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10(A&amp;B)" sheetId="1" r:id="rId1"/>
    <sheet name="Academic Project " sheetId="2" r:id="rId2"/>
    <sheet name="2019C" sheetId="3" r:id="rId3"/>
    <sheet name="2019C Academic" sheetId="4" r:id="rId4"/>
    <sheet name="Percentage" sheetId="5" r:id="rId5"/>
    <sheet name="UMBI adjustment" sheetId="6" r:id="rId6"/>
  </sheets>
  <definedNames>
    <definedName name="_xlnm.Print_Titles" localSheetId="0">'2010(A&amp;B)'!$A:$A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<sst xmlns="http://schemas.openxmlformats.org/spreadsheetml/2006/main" count="1164" uniqueCount="166">
  <si>
    <t xml:space="preserve">    University System of Maryland</t>
  </si>
  <si>
    <t xml:space="preserve">       Distribution of Debt Services</t>
  </si>
  <si>
    <t>2010 Series A Bond Funded Projects</t>
  </si>
  <si>
    <t>Payment</t>
  </si>
  <si>
    <t xml:space="preserve">           Total Auxiliary Projects - 2010A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</si>
  <si>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</si>
  <si>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</si>
  <si>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</si>
  <si>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UMCP Golf Course Improvements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</si>
  <si>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</si>
  <si>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</si>
  <si>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</si>
  <si>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</si>
  <si>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  UMBC Resident Hall Renovation (Auxiliary)</t>
  </si>
  <si>
    <t xml:space="preserve">           UMBC Surface Lots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</si>
  <si>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</si>
  <si>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</si>
  <si>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</si>
  <si>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</si>
  <si>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</si>
  <si>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</si>
  <si>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</si>
  <si>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</si>
  <si>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</si>
  <si>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</si>
  <si>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Dining Commons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</si>
  <si>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</si>
  <si>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</si>
  <si>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</si>
  <si>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</si>
  <si>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</si>
  <si>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</si>
  <si>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</si>
  <si>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UMCP New Journalism Building (Academic) 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</si>
  <si>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</si>
  <si>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</si>
  <si>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</si>
  <si>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</si>
  <si>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</si>
  <si>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</si>
  <si>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</si>
  <si>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</si>
  <si>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</si>
  <si>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</si>
  <si>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</si>
  <si>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</si>
  <si>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</si>
  <si>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</si>
  <si>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</si>
  <si>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</si>
  <si>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</si>
  <si>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</si>
  <si>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</si>
  <si>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</si>
  <si>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</si>
  <si>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</si>
  <si>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</si>
  <si>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</si>
  <si>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</si>
  <si>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</si>
  <si>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</si>
  <si>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</si>
  <si>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</si>
  <si>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</si>
  <si>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</si>
  <si>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</si>
  <si>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</si>
  <si>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</si>
  <si>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</si>
  <si>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</si>
  <si>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</si>
  <si>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</si>
  <si>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New Journalism Building</t>
  </si>
  <si>
    <t>25th Acad</t>
  </si>
  <si>
    <t>Emergency Project</t>
  </si>
  <si>
    <t>28,29th Acad</t>
  </si>
  <si>
    <t>Pharmacy Hall Addition and Renovation</t>
  </si>
  <si>
    <t>19,24th Acad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</si>
  <si>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</si>
  <si>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</si>
  <si>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</si>
  <si>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</si>
  <si>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</si>
  <si>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24,25,26,27,28,29th Acad</t>
  </si>
  <si>
    <t>28,29th Aux</t>
  </si>
  <si>
    <t>Fraternity/Sorority Houses Renovation</t>
  </si>
  <si>
    <t>27th Aux</t>
  </si>
  <si>
    <t>High Rise Residence Hall A/C</t>
  </si>
  <si>
    <t>29th Aux</t>
  </si>
  <si>
    <t>Golf Course Improvements</t>
  </si>
  <si>
    <t>26th Aux</t>
  </si>
  <si>
    <t>SCUB Utilities Facility</t>
  </si>
  <si>
    <t>New Campus Center</t>
  </si>
  <si>
    <t>Hillcrest Demolition/Parking Lot</t>
  </si>
  <si>
    <t>Dining Hall: Upgrades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</si>
  <si>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</si>
  <si>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</si>
  <si>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</si>
  <si>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</si>
  <si>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</si>
  <si>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</si>
  <si>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</si>
  <si>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</si>
  <si>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</si>
  <si>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</si>
  <si>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</si>
  <si>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</si>
  <si>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</si>
  <si>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</si>
  <si>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</si>
  <si>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</si>
  <si>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</si>
  <si>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2010 Series (A&amp; B) Bonds</t>
  </si>
  <si>
    <t>29, 32 Acad</t>
  </si>
  <si>
    <t>28,32 Acad</t>
  </si>
  <si>
    <t>College of Liberal Arts Complex</t>
  </si>
  <si>
    <t>27,28,29th Acad</t>
  </si>
  <si>
    <t>26,27,28,29th Acad</t>
  </si>
  <si>
    <t>27,28th Acad</t>
  </si>
  <si>
    <t>26th Acad</t>
  </si>
  <si>
    <t>Dental School</t>
  </si>
  <si>
    <t>26,28,29,32th Acad</t>
  </si>
  <si>
    <t>Utilities Upgrade/Site Improvement</t>
  </si>
  <si>
    <t>22,25th Acad</t>
  </si>
  <si>
    <t>32nd Aux</t>
  </si>
  <si>
    <t>Parking System Improvements</t>
  </si>
  <si>
    <t>29,32th Aux</t>
  </si>
  <si>
    <t>28,29,32th Aux</t>
  </si>
  <si>
    <t>29,32nd Aux</t>
  </si>
  <si>
    <t>Wicomico Hall System Upgrade</t>
  </si>
  <si>
    <t>27,28,29th Aux</t>
  </si>
  <si>
    <t>25,27th Aux</t>
  </si>
  <si>
    <t>New Parking Lot</t>
  </si>
  <si>
    <t xml:space="preserve">        Total Academic Projects - 2010A &amp;B</t>
  </si>
  <si>
    <t>2010 Series A &amp; B Bond Funded Projects</t>
  </si>
  <si>
    <t xml:space="preserve">          Distribution of Debt Services</t>
  </si>
  <si>
    <t xml:space="preserve">       University System of Maryland</t>
  </si>
  <si>
    <t xml:space="preserve">          UMB Dental School (Acedemic)</t>
  </si>
  <si>
    <t xml:space="preserve">       UMBI Facilities Renewal (Academic) </t>
  </si>
  <si>
    <t xml:space="preserve">       UMES Utilities Upgrade (Academic)</t>
  </si>
  <si>
    <t xml:space="preserve">      CEES Facilities Renewal (Academic)</t>
  </si>
  <si>
    <t xml:space="preserve">      CEES Emergency Projects (Academic)</t>
  </si>
  <si>
    <t xml:space="preserve">       BSU Emergency Projects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</si>
  <si>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</si>
  <si>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</si>
  <si>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</si>
  <si>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</si>
  <si>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UMES Wicomico Hall System (Auxiliary)</t>
  </si>
  <si>
    <t xml:space="preserve">         UMBC New Parking Lot (Auxiliary)</t>
  </si>
  <si>
    <t xml:space="preserve"> UMBC Parking System Improvement (Auxiliary)</t>
  </si>
  <si>
    <t>2010 Series A &amp; 2010 Series B Bond Funded Projects</t>
  </si>
  <si>
    <t xml:space="preserve">              University System of Maryland</t>
  </si>
  <si>
    <t xml:space="preserve">                Distribution of Debt Services</t>
  </si>
  <si>
    <t>Athletic Practice Fields</t>
  </si>
  <si>
    <t xml:space="preserve">     UMBC Athletic Practice Fields (Auxiliary)</t>
  </si>
  <si>
    <t xml:space="preserve">      Total Debt Service - 2010 Series A &amp; B</t>
  </si>
  <si>
    <t>Amort of</t>
  </si>
  <si>
    <t>Premium</t>
  </si>
  <si>
    <t xml:space="preserve">      UMCP Transfer from UMBI (Academic)</t>
  </si>
  <si>
    <t xml:space="preserve">      UMBC Transfer from UMBI (Academic)</t>
  </si>
  <si>
    <t>After 2019 C 2010A &amp; 2010B Bonds</t>
  </si>
  <si>
    <t>2010 Series A &amp; 2010 Series B Bond Funded Projects After 2019C</t>
  </si>
  <si>
    <t xml:space="preserve">      Total Debt Service - 2010 Series A &amp; B Refinanced on</t>
  </si>
  <si>
    <t>2019C</t>
  </si>
  <si>
    <t>2010 Series A &amp; 2010 Series B Bond Refinanced on 2019C</t>
  </si>
  <si>
    <t>Loss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</si>
</sst>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3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175" fontId="0" fillId="0" borderId="0" xfId="42" applyNumberFormat="1" applyFont="1" applyAlignment="1">
      <alignment/>
    </xf>
    <xf numFmtId="38" fontId="0" fillId="0" borderId="13" xfId="0" applyNumberFormat="1" applyBorder="1" applyAlignment="1">
      <alignment horizontal="center"/>
    </xf>
    <xf numFmtId="38" fontId="2" fillId="0" borderId="11" xfId="0" applyNumberFormat="1" applyFont="1" applyBorder="1" applyAlignment="1">
      <alignment horizontal="left"/>
    </xf>
    <xf numFmtId="38" fontId="0" fillId="33" borderId="13" xfId="0" applyNumberFormat="1" applyFill="1" applyBorder="1" applyAlignment="1">
      <alignment horizontal="center"/>
    </xf>
    <xf numFmtId="9" fontId="0" fillId="0" borderId="0" xfId="59" applyFont="1" applyAlignment="1">
      <alignment/>
    </xf>
    <xf numFmtId="17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559"/>
  <sheetViews>
    <sheetView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13.7109375" defaultRowHeight="12.75"/>
  <cols>
    <col min="1" max="1" width="9.7109375" style="40" customWidth="1"/>
    <col min="2" max="5" width="13.7109375" style="3" customWidth="1"/>
    <col min="6" max="6" width="3.7109375" style="5" customWidth="1"/>
    <col min="7" max="10" width="13.7109375" style="5" customWidth="1"/>
    <col min="11" max="11" width="3.7109375" style="5" customWidth="1"/>
    <col min="12" max="15" width="13.7109375" style="0" customWidth="1"/>
    <col min="16" max="16" width="3.7109375" style="5" customWidth="1"/>
    <col min="17" max="20" width="13.7109375" style="0" customWidth="1"/>
    <col min="21" max="21" width="3.7109375" style="5" customWidth="1"/>
    <col min="22" max="25" width="13.7109375" style="5" customWidth="1"/>
    <col min="26" max="26" width="3.7109375" style="5" customWidth="1"/>
    <col min="27" max="30" width="13.7109375" style="5" customWidth="1"/>
    <col min="31" max="31" width="3.7109375" style="5" customWidth="1"/>
    <col min="32" max="35" width="13.7109375" style="5" customWidth="1"/>
    <col min="36" max="36" width="3.7109375" style="5" customWidth="1"/>
    <col min="37" max="40" width="13.7109375" style="0" customWidth="1"/>
    <col min="41" max="41" width="3.7109375" style="5" customWidth="1"/>
    <col min="42" max="45" width="13.7109375" style="0" customWidth="1"/>
    <col min="46" max="46" width="3.7109375" style="6" customWidth="1"/>
    <col min="47" max="50" width="13.7109375" style="0" customWidth="1"/>
    <col min="51" max="51" width="3.7109375" style="6" customWidth="1"/>
    <col min="52" max="55" width="13.7109375" style="0" customWidth="1"/>
    <col min="56" max="56" width="3.7109375" style="0" customWidth="1"/>
    <col min="57" max="60" width="13.7109375" style="6" customWidth="1"/>
    <col min="61" max="61" width="3.7109375" style="6" customWidth="1"/>
    <col min="62" max="65" width="13.7109375" style="6" customWidth="1"/>
    <col min="66" max="66" width="3.7109375" style="6" customWidth="1"/>
    <col min="67" max="70" width="12.7109375" style="6" customWidth="1"/>
    <col min="71" max="71" width="3.7109375" style="6" customWidth="1"/>
    <col min="72" max="75" width="13.7109375" style="6" customWidth="1"/>
    <col min="76" max="76" width="3.7109375" style="6" customWidth="1"/>
    <col min="77" max="80" width="13.7109375" style="6" customWidth="1"/>
    <col min="81" max="81" width="3.7109375" style="6" customWidth="1"/>
    <col min="82" max="85" width="13.7109375" style="6" customWidth="1"/>
    <col min="86" max="86" width="3.7109375" style="6" customWidth="1"/>
    <col min="87" max="90" width="13.7109375" style="6" customWidth="1"/>
    <col min="91" max="91" width="3.7109375" style="6" customWidth="1"/>
    <col min="92" max="95" width="13.7109375" style="6" customWidth="1"/>
    <col min="96" max="96" width="3.7109375" style="6" customWidth="1"/>
    <col min="97" max="100" width="13.7109375" style="6" customWidth="1"/>
    <col min="101" max="101" width="3.7109375" style="6" customWidth="1"/>
    <col min="102" max="105" width="12.7109375" style="6" customWidth="1"/>
    <col min="106" max="106" width="3.7109375" style="6" customWidth="1"/>
    <col min="107" max="110" width="13.7109375" style="6" customWidth="1"/>
    <col min="111" max="111" width="3.7109375" style="6" customWidth="1"/>
    <col min="112" max="115" width="13.7109375" style="6" customWidth="1"/>
    <col min="116" max="116" width="3.7109375" style="6" customWidth="1"/>
    <col min="117" max="120" width="13.7109375" style="6" customWidth="1"/>
    <col min="121" max="121" width="3.7109375" style="6" customWidth="1"/>
    <col min="122" max="125" width="13.7109375" style="6" customWidth="1"/>
    <col min="126" max="126" width="3.7109375" style="6" customWidth="1"/>
    <col min="127" max="130" width="13.7109375" style="6" customWidth="1"/>
    <col min="131" max="131" width="3.7109375" style="6" customWidth="1"/>
    <col min="132" max="135" width="13.7109375" style="6" customWidth="1"/>
    <col min="136" max="136" width="3.7109375" style="6" customWidth="1"/>
    <col min="137" max="140" width="13.7109375" style="6" customWidth="1"/>
    <col min="141" max="141" width="3.7109375" style="6" customWidth="1"/>
    <col min="142" max="145" width="13.7109375" style="6" customWidth="1"/>
    <col min="146" max="146" width="3.7109375" style="6" customWidth="1"/>
    <col min="147" max="150" width="13.7109375" style="6" customWidth="1"/>
    <col min="151" max="151" width="3.7109375" style="6" customWidth="1"/>
    <col min="152" max="154" width="13.7109375" style="6" customWidth="1"/>
    <col min="155" max="155" width="3.7109375" style="0" customWidth="1"/>
  </cols>
  <sheetData>
    <row r="1" spans="1:152" ht="12.75">
      <c r="A1" s="1"/>
      <c r="B1" s="4"/>
      <c r="C1" s="4"/>
      <c r="G1" s="4"/>
      <c r="L1" s="4" t="s">
        <v>151</v>
      </c>
      <c r="V1" s="4"/>
      <c r="AA1" s="4" t="s">
        <v>151</v>
      </c>
      <c r="AK1" s="4"/>
      <c r="AP1" s="4" t="s">
        <v>151</v>
      </c>
      <c r="BE1" s="4" t="s">
        <v>151</v>
      </c>
      <c r="BJ1" s="4"/>
      <c r="BO1" s="4"/>
      <c r="BT1" s="4" t="s">
        <v>151</v>
      </c>
      <c r="CI1" s="4" t="s">
        <v>151</v>
      </c>
      <c r="CX1" s="4" t="s">
        <v>151</v>
      </c>
      <c r="DM1" s="4" t="s">
        <v>151</v>
      </c>
      <c r="DW1" s="4"/>
      <c r="EB1" s="4" t="s">
        <v>151</v>
      </c>
      <c r="EQ1" s="4" t="s">
        <v>151</v>
      </c>
      <c r="EV1" s="4"/>
    </row>
    <row r="2" spans="1:152" ht="12.75">
      <c r="A2" s="1"/>
      <c r="B2" s="4"/>
      <c r="C2" s="4"/>
      <c r="G2" s="4"/>
      <c r="L2" s="4" t="s">
        <v>152</v>
      </c>
      <c r="V2" s="4"/>
      <c r="AA2" s="4" t="s">
        <v>152</v>
      </c>
      <c r="AK2" s="4"/>
      <c r="AP2" s="4" t="s">
        <v>152</v>
      </c>
      <c r="BE2" s="4" t="s">
        <v>152</v>
      </c>
      <c r="BJ2" s="4"/>
      <c r="BO2" s="4"/>
      <c r="BT2" s="4" t="s">
        <v>152</v>
      </c>
      <c r="CI2" s="4" t="s">
        <v>152</v>
      </c>
      <c r="CX2" s="4" t="s">
        <v>152</v>
      </c>
      <c r="DM2" s="4" t="s">
        <v>152</v>
      </c>
      <c r="DW2" s="4"/>
      <c r="EB2" s="4" t="s">
        <v>152</v>
      </c>
      <c r="EQ2" s="4" t="s">
        <v>152</v>
      </c>
      <c r="EV2" s="4"/>
    </row>
    <row r="3" spans="1:152" ht="12.75">
      <c r="A3" s="1"/>
      <c r="B3" s="7"/>
      <c r="C3" s="7"/>
      <c r="G3" s="4"/>
      <c r="L3" s="4" t="s">
        <v>161</v>
      </c>
      <c r="M3" s="8"/>
      <c r="V3" s="4"/>
      <c r="AA3" s="4" t="s">
        <v>150</v>
      </c>
      <c r="AK3" s="4"/>
      <c r="AP3" s="4" t="s">
        <v>150</v>
      </c>
      <c r="BE3" s="4" t="s">
        <v>150</v>
      </c>
      <c r="BJ3" s="4"/>
      <c r="BO3" s="4"/>
      <c r="BT3" s="4" t="s">
        <v>150</v>
      </c>
      <c r="CI3" s="4" t="s">
        <v>150</v>
      </c>
      <c r="CX3" s="4" t="s">
        <v>150</v>
      </c>
      <c r="DM3" s="4" t="s">
        <v>150</v>
      </c>
      <c r="DW3" s="4"/>
      <c r="EB3" s="4" t="s">
        <v>150</v>
      </c>
      <c r="EQ3" s="4" t="s">
        <v>150</v>
      </c>
      <c r="EV3" s="4"/>
    </row>
    <row r="4" spans="1:3" ht="12.75">
      <c r="A4" s="1"/>
      <c r="B4" s="4"/>
      <c r="C4" s="4"/>
    </row>
    <row r="5" spans="1:154" ht="12.75">
      <c r="A5" s="9" t="s">
        <v>3</v>
      </c>
      <c r="B5" s="10" t="s">
        <v>155</v>
      </c>
      <c r="C5" s="11"/>
      <c r="D5" s="12"/>
      <c r="E5" s="12"/>
      <c r="G5" s="13" t="s">
        <v>133</v>
      </c>
      <c r="H5" s="14"/>
      <c r="I5" s="15"/>
      <c r="J5" s="12"/>
      <c r="L5" s="13" t="s">
        <v>4</v>
      </c>
      <c r="M5" s="16"/>
      <c r="N5" s="15"/>
      <c r="O5" s="12"/>
      <c r="Q5" s="17" t="s">
        <v>5</v>
      </c>
      <c r="R5" s="18"/>
      <c r="S5" s="19"/>
      <c r="T5" s="12"/>
      <c r="V5" s="20" t="s">
        <v>6</v>
      </c>
      <c r="W5" s="18"/>
      <c r="X5" s="19"/>
      <c r="Y5" s="12"/>
      <c r="AA5" s="20" t="s">
        <v>7</v>
      </c>
      <c r="AB5" s="18"/>
      <c r="AC5" s="19"/>
      <c r="AD5" s="12"/>
      <c r="AF5" s="20" t="s">
        <v>146</v>
      </c>
      <c r="AG5" s="18"/>
      <c r="AH5" s="19"/>
      <c r="AI5" s="12"/>
      <c r="AK5" s="17" t="s">
        <v>8</v>
      </c>
      <c r="AL5" s="18"/>
      <c r="AM5" s="19"/>
      <c r="AN5" s="12"/>
      <c r="AP5" s="17" t="s">
        <v>9</v>
      </c>
      <c r="AQ5" s="18"/>
      <c r="AR5" s="19"/>
      <c r="AS5" s="12"/>
      <c r="AU5" s="17" t="s">
        <v>10</v>
      </c>
      <c r="AV5" s="18"/>
      <c r="AW5" s="19"/>
      <c r="AX5" s="12"/>
      <c r="AZ5" s="20" t="s">
        <v>147</v>
      </c>
      <c r="BA5" s="18"/>
      <c r="BB5" s="19"/>
      <c r="BC5" s="12"/>
      <c r="BD5" s="21"/>
      <c r="BE5" s="17" t="s">
        <v>154</v>
      </c>
      <c r="BF5" s="18"/>
      <c r="BG5" s="19"/>
      <c r="BH5" s="12"/>
      <c r="BJ5" s="20" t="s">
        <v>11</v>
      </c>
      <c r="BK5" s="18"/>
      <c r="BL5" s="19"/>
      <c r="BM5" s="12"/>
      <c r="BO5" s="17" t="s">
        <v>12</v>
      </c>
      <c r="BP5" s="18"/>
      <c r="BQ5" s="19"/>
      <c r="BR5" s="12"/>
      <c r="BT5" s="17" t="s">
        <v>13</v>
      </c>
      <c r="BU5" s="18"/>
      <c r="BV5" s="19"/>
      <c r="BW5" s="12"/>
      <c r="BY5" s="17" t="s">
        <v>148</v>
      </c>
      <c r="BZ5" s="18"/>
      <c r="CA5" s="19"/>
      <c r="CB5" s="12"/>
      <c r="CD5" s="17" t="s">
        <v>14</v>
      </c>
      <c r="CE5" s="18"/>
      <c r="CF5" s="19"/>
      <c r="CG5" s="12"/>
      <c r="CI5" s="20" t="s">
        <v>149</v>
      </c>
      <c r="CJ5" s="18"/>
      <c r="CK5" s="19"/>
      <c r="CL5" s="12"/>
      <c r="CN5" s="17" t="s">
        <v>15</v>
      </c>
      <c r="CO5" s="18"/>
      <c r="CP5" s="19"/>
      <c r="CQ5" s="12"/>
      <c r="CS5" s="17" t="s">
        <v>16</v>
      </c>
      <c r="CT5" s="18"/>
      <c r="CU5" s="19"/>
      <c r="CV5" s="12"/>
      <c r="CX5" s="17" t="s">
        <v>17</v>
      </c>
      <c r="CY5" s="18"/>
      <c r="CZ5" s="19"/>
      <c r="DA5" s="12"/>
      <c r="DC5" s="17" t="s">
        <v>18</v>
      </c>
      <c r="DD5" s="18"/>
      <c r="DE5" s="19"/>
      <c r="DF5" s="12"/>
      <c r="DH5" s="17" t="s">
        <v>19</v>
      </c>
      <c r="DI5" s="18"/>
      <c r="DJ5" s="19"/>
      <c r="DK5" s="12"/>
      <c r="DM5" s="17" t="s">
        <v>20</v>
      </c>
      <c r="DN5" s="18"/>
      <c r="DO5" s="19"/>
      <c r="DP5" s="12"/>
      <c r="DR5" s="20" t="s">
        <v>21</v>
      </c>
      <c r="DS5" s="18"/>
      <c r="DT5" s="19"/>
      <c r="DU5" s="12"/>
      <c r="DW5" s="20" t="s">
        <v>22</v>
      </c>
      <c r="DX5" s="18"/>
      <c r="DY5" s="19"/>
      <c r="DZ5" s="12"/>
      <c r="EB5" s="20" t="s">
        <v>23</v>
      </c>
      <c r="EC5" s="18"/>
      <c r="ED5" s="19"/>
      <c r="EE5" s="12"/>
      <c r="EG5" s="20" t="s">
        <v>24</v>
      </c>
      <c r="EH5" s="18"/>
      <c r="EI5" s="19"/>
      <c r="EJ5" s="12"/>
      <c r="EL5" s="17" t="s">
        <v>25</v>
      </c>
      <c r="EM5" s="18"/>
      <c r="EN5" s="19"/>
      <c r="EO5" s="12"/>
      <c r="EP5" s="21"/>
      <c r="EQ5" s="17" t="s">
        <v>26</v>
      </c>
      <c r="ER5" s="18"/>
      <c r="ES5" s="19"/>
      <c r="ET5" s="12"/>
      <c r="EV5" s="20" t="s">
        <v>27</v>
      </c>
      <c r="EW5" s="18"/>
      <c r="EX5" s="19"/>
    </row>
    <row r="6" spans="1:154" s="8" customFormat="1" ht="12.75">
      <c r="A6" s="22" t="s">
        <v>28</v>
      </c>
      <c r="B6" s="44"/>
      <c r="C6" s="45" t="s">
        <v>160</v>
      </c>
      <c r="D6" s="15"/>
      <c r="E6" s="77" t="s">
        <v>156</v>
      </c>
      <c r="F6" s="5"/>
      <c r="G6" s="23"/>
      <c r="H6" s="24">
        <v>0.1433129</v>
      </c>
      <c r="I6" s="25"/>
      <c r="J6" s="77" t="s">
        <v>156</v>
      </c>
      <c r="K6" s="5"/>
      <c r="L6" s="23"/>
      <c r="M6" s="26">
        <f>R6+AL6+AQ6+BU6+DD6+DI6+DN6+DS6+EM6+ER6+EW6+W6+AV6+BK6+BP6+CE6+CO6+CT6+CY6+DX6+EC6+EH6+AB6+AG6+BA6+BZ6+CJ6+BF6</f>
        <v>0.8566871</v>
      </c>
      <c r="N6" s="25"/>
      <c r="O6" s="77" t="s">
        <v>156</v>
      </c>
      <c r="P6" s="5"/>
      <c r="Q6" s="27"/>
      <c r="R6" s="28">
        <v>0.016981</v>
      </c>
      <c r="S6" s="25"/>
      <c r="T6" s="77" t="s">
        <v>156</v>
      </c>
      <c r="U6" s="5"/>
      <c r="V6" s="27"/>
      <c r="W6" s="28">
        <v>0.0040444</v>
      </c>
      <c r="X6" s="25"/>
      <c r="Y6" s="77" t="s">
        <v>156</v>
      </c>
      <c r="Z6" s="5"/>
      <c r="AA6" s="27"/>
      <c r="AB6" s="28">
        <v>0.0009962</v>
      </c>
      <c r="AC6" s="25"/>
      <c r="AD6" s="77" t="s">
        <v>156</v>
      </c>
      <c r="AE6" s="5"/>
      <c r="AF6" s="27"/>
      <c r="AG6" s="28">
        <v>3.64E-05</v>
      </c>
      <c r="AH6" s="25"/>
      <c r="AI6" s="77" t="s">
        <v>156</v>
      </c>
      <c r="AJ6" s="5"/>
      <c r="AK6" s="27"/>
      <c r="AL6" s="28">
        <v>4E-06</v>
      </c>
      <c r="AM6" s="25"/>
      <c r="AN6" s="77" t="s">
        <v>156</v>
      </c>
      <c r="AO6" s="5"/>
      <c r="AP6" s="27"/>
      <c r="AQ6" s="28">
        <v>0.0516906</v>
      </c>
      <c r="AR6" s="25"/>
      <c r="AS6" s="77" t="s">
        <v>156</v>
      </c>
      <c r="AU6" s="27"/>
      <c r="AV6" s="28">
        <v>0.000621</v>
      </c>
      <c r="AW6" s="25"/>
      <c r="AX6" s="77" t="s">
        <v>156</v>
      </c>
      <c r="AZ6" s="27"/>
      <c r="BA6" s="28">
        <v>0.0007247</v>
      </c>
      <c r="BB6" s="25"/>
      <c r="BC6" s="77" t="s">
        <v>156</v>
      </c>
      <c r="BD6" s="75"/>
      <c r="BE6" s="27"/>
      <c r="BF6" s="28">
        <v>3.7E-06</v>
      </c>
      <c r="BG6" s="25"/>
      <c r="BH6" s="77" t="s">
        <v>156</v>
      </c>
      <c r="BJ6" s="27"/>
      <c r="BK6" s="28">
        <v>0.0038365</v>
      </c>
      <c r="BL6" s="25"/>
      <c r="BM6" s="77" t="s">
        <v>156</v>
      </c>
      <c r="BO6" s="27"/>
      <c r="BP6" s="28">
        <v>0.0021897</v>
      </c>
      <c r="BQ6" s="25"/>
      <c r="BR6" s="77" t="s">
        <v>156</v>
      </c>
      <c r="BT6" s="27"/>
      <c r="BU6" s="28">
        <v>0.0242091</v>
      </c>
      <c r="BV6" s="25"/>
      <c r="BW6" s="77" t="s">
        <v>156</v>
      </c>
      <c r="BY6" s="27"/>
      <c r="BZ6" s="28">
        <v>0.0001775</v>
      </c>
      <c r="CA6" s="25"/>
      <c r="CB6" s="77" t="s">
        <v>156</v>
      </c>
      <c r="CD6" s="27"/>
      <c r="CE6" s="28">
        <v>0.006347</v>
      </c>
      <c r="CF6" s="25"/>
      <c r="CG6" s="77" t="s">
        <v>156</v>
      </c>
      <c r="CI6" s="27"/>
      <c r="CJ6" s="28">
        <v>0.0149498</v>
      </c>
      <c r="CK6" s="25"/>
      <c r="CL6" s="77" t="s">
        <v>156</v>
      </c>
      <c r="CN6" s="27"/>
      <c r="CO6" s="28">
        <v>0.0058519</v>
      </c>
      <c r="CP6" s="25"/>
      <c r="CQ6" s="77" t="s">
        <v>156</v>
      </c>
      <c r="CS6" s="27"/>
      <c r="CT6" s="28">
        <v>0.0072492</v>
      </c>
      <c r="CU6" s="25"/>
      <c r="CV6" s="77" t="s">
        <v>156</v>
      </c>
      <c r="CX6" s="27"/>
      <c r="CY6" s="28">
        <v>0.0008385</v>
      </c>
      <c r="CZ6" s="25"/>
      <c r="DA6" s="77" t="s">
        <v>156</v>
      </c>
      <c r="DC6" s="27"/>
      <c r="DD6" s="28">
        <v>0.0886368</v>
      </c>
      <c r="DE6" s="25"/>
      <c r="DF6" s="77" t="s">
        <v>156</v>
      </c>
      <c r="DH6" s="27"/>
      <c r="DI6" s="28">
        <v>0.0843822</v>
      </c>
      <c r="DJ6" s="25"/>
      <c r="DK6" s="77" t="s">
        <v>156</v>
      </c>
      <c r="DM6" s="27"/>
      <c r="DN6" s="28">
        <v>0.0020006</v>
      </c>
      <c r="DO6" s="25"/>
      <c r="DP6" s="77" t="s">
        <v>156</v>
      </c>
      <c r="DR6" s="27"/>
      <c r="DS6" s="28">
        <v>0.143336</v>
      </c>
      <c r="DT6" s="25"/>
      <c r="DU6" s="77" t="s">
        <v>156</v>
      </c>
      <c r="DW6" s="27"/>
      <c r="DX6" s="28">
        <v>0.1843179</v>
      </c>
      <c r="DY6" s="25"/>
      <c r="DZ6" s="77" t="s">
        <v>156</v>
      </c>
      <c r="EB6" s="27"/>
      <c r="EC6" s="28">
        <v>0.0057512</v>
      </c>
      <c r="ED6" s="25"/>
      <c r="EE6" s="77" t="s">
        <v>156</v>
      </c>
      <c r="EG6" s="27"/>
      <c r="EH6" s="28">
        <v>0.0157699</v>
      </c>
      <c r="EI6" s="25"/>
      <c r="EJ6" s="77" t="s">
        <v>156</v>
      </c>
      <c r="EL6" s="27"/>
      <c r="EM6" s="28">
        <v>0.1113149</v>
      </c>
      <c r="EN6" s="25"/>
      <c r="EO6" s="77" t="s">
        <v>156</v>
      </c>
      <c r="EP6" s="29"/>
      <c r="EQ6" s="27"/>
      <c r="ER6" s="28">
        <v>0.0804264</v>
      </c>
      <c r="ES6" s="25"/>
      <c r="ET6" s="77" t="s">
        <v>156</v>
      </c>
      <c r="EV6" s="27"/>
      <c r="EW6" s="28"/>
      <c r="EX6" s="30"/>
    </row>
    <row r="7" spans="1:154" ht="12.75">
      <c r="A7" s="31"/>
      <c r="B7" s="32" t="s">
        <v>29</v>
      </c>
      <c r="C7" s="32" t="s">
        <v>30</v>
      </c>
      <c r="D7" s="32" t="s">
        <v>31</v>
      </c>
      <c r="E7" s="32" t="s">
        <v>157</v>
      </c>
      <c r="G7" s="32" t="s">
        <v>29</v>
      </c>
      <c r="H7" s="32" t="s">
        <v>30</v>
      </c>
      <c r="I7" s="32" t="s">
        <v>31</v>
      </c>
      <c r="J7" s="32" t="s">
        <v>157</v>
      </c>
      <c r="L7" s="32" t="s">
        <v>29</v>
      </c>
      <c r="M7" s="32" t="s">
        <v>30</v>
      </c>
      <c r="N7" s="32" t="s">
        <v>31</v>
      </c>
      <c r="O7" s="32" t="s">
        <v>157</v>
      </c>
      <c r="Q7" s="33" t="s">
        <v>29</v>
      </c>
      <c r="R7" s="33" t="s">
        <v>30</v>
      </c>
      <c r="S7" s="33" t="s">
        <v>31</v>
      </c>
      <c r="T7" s="32" t="s">
        <v>157</v>
      </c>
      <c r="V7" s="33" t="s">
        <v>29</v>
      </c>
      <c r="W7" s="33" t="s">
        <v>30</v>
      </c>
      <c r="X7" s="33" t="s">
        <v>31</v>
      </c>
      <c r="Y7" s="32" t="s">
        <v>157</v>
      </c>
      <c r="AA7" s="33" t="s">
        <v>29</v>
      </c>
      <c r="AB7" s="33" t="s">
        <v>30</v>
      </c>
      <c r="AC7" s="33" t="s">
        <v>31</v>
      </c>
      <c r="AD7" s="32" t="s">
        <v>157</v>
      </c>
      <c r="AF7" s="33" t="s">
        <v>29</v>
      </c>
      <c r="AG7" s="33" t="s">
        <v>30</v>
      </c>
      <c r="AH7" s="33" t="s">
        <v>31</v>
      </c>
      <c r="AI7" s="32" t="s">
        <v>157</v>
      </c>
      <c r="AK7" s="33" t="s">
        <v>29</v>
      </c>
      <c r="AL7" s="33" t="s">
        <v>30</v>
      </c>
      <c r="AM7" s="33" t="s">
        <v>31</v>
      </c>
      <c r="AN7" s="32" t="s">
        <v>157</v>
      </c>
      <c r="AP7" s="33" t="s">
        <v>29</v>
      </c>
      <c r="AQ7" s="33" t="s">
        <v>30</v>
      </c>
      <c r="AR7" s="33" t="s">
        <v>31</v>
      </c>
      <c r="AS7" s="32" t="s">
        <v>157</v>
      </c>
      <c r="AU7" s="33" t="s">
        <v>29</v>
      </c>
      <c r="AV7" s="33" t="s">
        <v>30</v>
      </c>
      <c r="AW7" s="33" t="s">
        <v>31</v>
      </c>
      <c r="AX7" s="32" t="s">
        <v>157</v>
      </c>
      <c r="AZ7" s="33" t="s">
        <v>29</v>
      </c>
      <c r="BA7" s="33" t="s">
        <v>30</v>
      </c>
      <c r="BB7" s="33" t="s">
        <v>31</v>
      </c>
      <c r="BC7" s="32" t="s">
        <v>157</v>
      </c>
      <c r="BD7" s="34"/>
      <c r="BE7" s="33" t="s">
        <v>29</v>
      </c>
      <c r="BF7" s="33" t="s">
        <v>30</v>
      </c>
      <c r="BG7" s="33" t="s">
        <v>31</v>
      </c>
      <c r="BH7" s="32" t="s">
        <v>157</v>
      </c>
      <c r="BJ7" s="33" t="s">
        <v>29</v>
      </c>
      <c r="BK7" s="33" t="s">
        <v>30</v>
      </c>
      <c r="BL7" s="33" t="s">
        <v>31</v>
      </c>
      <c r="BM7" s="32" t="s">
        <v>157</v>
      </c>
      <c r="BO7" s="33" t="s">
        <v>29</v>
      </c>
      <c r="BP7" s="33" t="s">
        <v>30</v>
      </c>
      <c r="BQ7" s="33" t="s">
        <v>31</v>
      </c>
      <c r="BR7" s="32" t="s">
        <v>157</v>
      </c>
      <c r="BT7" s="33" t="s">
        <v>29</v>
      </c>
      <c r="BU7" s="33" t="s">
        <v>30</v>
      </c>
      <c r="BV7" s="33" t="s">
        <v>31</v>
      </c>
      <c r="BW7" s="32" t="s">
        <v>157</v>
      </c>
      <c r="BY7" s="33" t="s">
        <v>29</v>
      </c>
      <c r="BZ7" s="33" t="s">
        <v>30</v>
      </c>
      <c r="CA7" s="33" t="s">
        <v>31</v>
      </c>
      <c r="CB7" s="32" t="s">
        <v>157</v>
      </c>
      <c r="CD7" s="33" t="s">
        <v>29</v>
      </c>
      <c r="CE7" s="33" t="s">
        <v>30</v>
      </c>
      <c r="CF7" s="33" t="s">
        <v>31</v>
      </c>
      <c r="CG7" s="32" t="s">
        <v>157</v>
      </c>
      <c r="CI7" s="33" t="s">
        <v>29</v>
      </c>
      <c r="CJ7" s="33" t="s">
        <v>30</v>
      </c>
      <c r="CK7" s="33" t="s">
        <v>31</v>
      </c>
      <c r="CL7" s="32" t="s">
        <v>157</v>
      </c>
      <c r="CN7" s="33" t="s">
        <v>29</v>
      </c>
      <c r="CO7" s="33" t="s">
        <v>30</v>
      </c>
      <c r="CP7" s="33" t="s">
        <v>31</v>
      </c>
      <c r="CQ7" s="32" t="s">
        <v>157</v>
      </c>
      <c r="CS7" s="33" t="s">
        <v>29</v>
      </c>
      <c r="CT7" s="33" t="s">
        <v>30</v>
      </c>
      <c r="CU7" s="33" t="s">
        <v>31</v>
      </c>
      <c r="CV7" s="32" t="s">
        <v>157</v>
      </c>
      <c r="CX7" s="33" t="s">
        <v>29</v>
      </c>
      <c r="CY7" s="33" t="s">
        <v>30</v>
      </c>
      <c r="CZ7" s="33" t="s">
        <v>31</v>
      </c>
      <c r="DA7" s="32" t="s">
        <v>157</v>
      </c>
      <c r="DC7" s="33" t="s">
        <v>29</v>
      </c>
      <c r="DD7" s="33" t="s">
        <v>30</v>
      </c>
      <c r="DE7" s="33" t="s">
        <v>31</v>
      </c>
      <c r="DF7" s="32" t="s">
        <v>157</v>
      </c>
      <c r="DH7" s="33" t="s">
        <v>29</v>
      </c>
      <c r="DI7" s="33" t="s">
        <v>30</v>
      </c>
      <c r="DJ7" s="33" t="s">
        <v>31</v>
      </c>
      <c r="DK7" s="32" t="s">
        <v>157</v>
      </c>
      <c r="DM7" s="33" t="s">
        <v>29</v>
      </c>
      <c r="DN7" s="33" t="s">
        <v>30</v>
      </c>
      <c r="DO7" s="33" t="s">
        <v>31</v>
      </c>
      <c r="DP7" s="32" t="s">
        <v>157</v>
      </c>
      <c r="DR7" s="33" t="s">
        <v>29</v>
      </c>
      <c r="DS7" s="33" t="s">
        <v>30</v>
      </c>
      <c r="DT7" s="33" t="s">
        <v>31</v>
      </c>
      <c r="DU7" s="32" t="s">
        <v>157</v>
      </c>
      <c r="DW7" s="33" t="s">
        <v>29</v>
      </c>
      <c r="DX7" s="33" t="s">
        <v>30</v>
      </c>
      <c r="DY7" s="33" t="s">
        <v>31</v>
      </c>
      <c r="DZ7" s="32" t="s">
        <v>157</v>
      </c>
      <c r="EB7" s="33" t="s">
        <v>29</v>
      </c>
      <c r="EC7" s="33" t="s">
        <v>30</v>
      </c>
      <c r="ED7" s="33" t="s">
        <v>31</v>
      </c>
      <c r="EE7" s="32" t="s">
        <v>157</v>
      </c>
      <c r="EG7" s="33" t="s">
        <v>29</v>
      </c>
      <c r="EH7" s="33" t="s">
        <v>30</v>
      </c>
      <c r="EI7" s="33" t="s">
        <v>31</v>
      </c>
      <c r="EJ7" s="32" t="s">
        <v>157</v>
      </c>
      <c r="EL7" s="33" t="s">
        <v>29</v>
      </c>
      <c r="EM7" s="33" t="s">
        <v>30</v>
      </c>
      <c r="EN7" s="33" t="s">
        <v>31</v>
      </c>
      <c r="EO7" s="32" t="s">
        <v>157</v>
      </c>
      <c r="EP7" s="34"/>
      <c r="EQ7" s="33" t="s">
        <v>29</v>
      </c>
      <c r="ER7" s="33" t="s">
        <v>30</v>
      </c>
      <c r="ES7" s="33" t="s">
        <v>31</v>
      </c>
      <c r="ET7" s="32" t="s">
        <v>157</v>
      </c>
      <c r="EV7" s="33" t="s">
        <v>29</v>
      </c>
      <c r="EW7" s="33" t="s">
        <v>30</v>
      </c>
      <c r="EX7" s="33" t="s">
        <v>31</v>
      </c>
    </row>
    <row r="8" spans="1:193" ht="12.75">
      <c r="A8" s="40">
        <v>44105</v>
      </c>
      <c r="C8" s="3">
        <v>88335</v>
      </c>
      <c r="D8" s="37">
        <f aca="true" t="shared" si="0" ref="D8:D27">B8+C8</f>
        <v>88335</v>
      </c>
      <c r="E8" s="37">
        <v>78632</v>
      </c>
      <c r="G8" s="38">
        <f>'Academic Project '!H8</f>
        <v>0</v>
      </c>
      <c r="H8" s="38">
        <f>'Academic Project '!I8</f>
        <v>12659.5450215</v>
      </c>
      <c r="I8" s="38">
        <f aca="true" t="shared" si="1" ref="I8:I27">G8+H8</f>
        <v>12659.5450215</v>
      </c>
      <c r="J8" s="38">
        <f>'Academic Project '!K8</f>
        <v>11268.979952799999</v>
      </c>
      <c r="L8" s="38"/>
      <c r="M8" s="37">
        <f aca="true" t="shared" si="2" ref="M8:O27">R8+AL8+AQ8+AV8+BK8+BP8+BU8+CO8+CY8+DD8+DI8+DN8+DS8+DX8+EM8+ER8+EW8+W8+CE8+CT8+EC8+EH8+AB8+AG8+BA8+BZ8+CJ8+BF8</f>
        <v>75675.45497850001</v>
      </c>
      <c r="N8" s="5">
        <f aca="true" t="shared" si="3" ref="N8:N27">L8+M8</f>
        <v>75675.45497850001</v>
      </c>
      <c r="O8" s="37">
        <f t="shared" si="2"/>
        <v>67362.4145808</v>
      </c>
      <c r="Q8" s="38"/>
      <c r="R8" s="38">
        <f aca="true" t="shared" si="4" ref="R8:R27">C8*$R$6</f>
        <v>1500.016635</v>
      </c>
      <c r="S8" s="5">
        <f aca="true" t="shared" si="5" ref="S8:S27">Q8+R8</f>
        <v>1500.016635</v>
      </c>
      <c r="T8" s="38">
        <f aca="true" t="shared" si="6" ref="T8:T27">R$6*$E8</f>
        <v>1335.249992</v>
      </c>
      <c r="W8" s="38">
        <f aca="true" t="shared" si="7" ref="W8:W27">C8*$W$6</f>
        <v>357.262074</v>
      </c>
      <c r="X8" s="38">
        <f aca="true" t="shared" si="8" ref="X8:X27">V8+W8</f>
        <v>357.262074</v>
      </c>
      <c r="Y8" s="38">
        <f aca="true" t="shared" si="9" ref="Y8:Y27">W$6*$E8</f>
        <v>318.0192608</v>
      </c>
      <c r="AB8" s="5">
        <f aca="true" t="shared" si="10" ref="AB8:AB27">C8*$AB$6</f>
        <v>87.99932700000001</v>
      </c>
      <c r="AC8" s="5">
        <f aca="true" t="shared" si="11" ref="AC8:AC27">AA8+AB8</f>
        <v>87.99932700000001</v>
      </c>
      <c r="AD8" s="38">
        <f aca="true" t="shared" si="12" ref="AD8:AD27">AB$6*$E8</f>
        <v>78.3331984</v>
      </c>
      <c r="AG8" s="5">
        <f aca="true" t="shared" si="13" ref="AG8:AG27">C8*$AG$6</f>
        <v>3.215394</v>
      </c>
      <c r="AH8" s="5">
        <f aca="true" t="shared" si="14" ref="AH8:AH27">AF8+AG8</f>
        <v>3.215394</v>
      </c>
      <c r="AI8" s="38">
        <f aca="true" t="shared" si="15" ref="AI8:AI27">AG$6*$E8</f>
        <v>2.8622047999999998</v>
      </c>
      <c r="AK8" s="38"/>
      <c r="AL8" s="38">
        <f aca="true" t="shared" si="16" ref="AL8:AL27">C8*$AL$6</f>
        <v>0.35334</v>
      </c>
      <c r="AM8" s="5">
        <f aca="true" t="shared" si="17" ref="AM8:AM27">AK8+AL8</f>
        <v>0.35334</v>
      </c>
      <c r="AN8" s="38"/>
      <c r="AP8" s="38"/>
      <c r="AQ8" s="38">
        <f aca="true" t="shared" si="18" ref="AQ8:AQ27">C8*$AQ$6</f>
        <v>4566.089151</v>
      </c>
      <c r="AR8" s="5">
        <f aca="true" t="shared" si="19" ref="AR8:AR27">AP8+AQ8</f>
        <v>4566.089151</v>
      </c>
      <c r="AS8" s="38">
        <f aca="true" t="shared" si="20" ref="AS8:AS27">AQ$6*$E8</f>
        <v>4064.5352592000004</v>
      </c>
      <c r="AT8" s="5"/>
      <c r="AU8" s="38"/>
      <c r="AV8" s="38">
        <f aca="true" t="shared" si="21" ref="AV8:AV27">C8*$AV$6</f>
        <v>54.856035000000006</v>
      </c>
      <c r="AW8" s="5">
        <f aca="true" t="shared" si="22" ref="AW8:AW27">AU8+AV8</f>
        <v>54.856035000000006</v>
      </c>
      <c r="AX8" s="38">
        <f aca="true" t="shared" si="23" ref="AX8:AX27">AV$6*$E8</f>
        <v>48.830472</v>
      </c>
      <c r="AY8" s="5"/>
      <c r="AZ8" s="38"/>
      <c r="BA8" s="38">
        <f aca="true" t="shared" si="24" ref="BA8:BA27">C8*$BA$6</f>
        <v>64.0163745</v>
      </c>
      <c r="BB8" s="5">
        <f aca="true" t="shared" si="25" ref="BB8:BB27">AZ8+BA8</f>
        <v>64.0163745</v>
      </c>
      <c r="BC8" s="38">
        <f aca="true" t="shared" si="26" ref="BC8:BC27">BA$6*$E8</f>
        <v>56.9846104</v>
      </c>
      <c r="BD8" s="5"/>
      <c r="BE8" s="38"/>
      <c r="BF8" s="38">
        <f aca="true" t="shared" si="27" ref="BF8:BF27">C8*$BF$6</f>
        <v>0.3268395</v>
      </c>
      <c r="BG8" s="5">
        <f aca="true" t="shared" si="28" ref="BG8:BG27">BE8+BF8</f>
        <v>0.3268395</v>
      </c>
      <c r="BH8" s="38"/>
      <c r="BI8" s="5"/>
      <c r="BJ8" s="38"/>
      <c r="BK8" s="38">
        <f aca="true" t="shared" si="29" ref="BK8:BK27">C8*$BK$6</f>
        <v>338.8972275</v>
      </c>
      <c r="BL8" s="5">
        <f aca="true" t="shared" si="30" ref="BL8:BL27">BJ8+BK8</f>
        <v>338.8972275</v>
      </c>
      <c r="BM8" s="38">
        <f aca="true" t="shared" si="31" ref="BM8:BM27">BK$6*$E8</f>
        <v>301.671668</v>
      </c>
      <c r="BN8" s="5"/>
      <c r="BO8" s="5"/>
      <c r="BP8" s="5">
        <f aca="true" t="shared" si="32" ref="BP8:BP27">C8*$BP$6</f>
        <v>193.4271495</v>
      </c>
      <c r="BQ8" s="5">
        <f aca="true" t="shared" si="33" ref="BQ8:BQ27">BO8+BP8</f>
        <v>193.4271495</v>
      </c>
      <c r="BR8" s="38">
        <f aca="true" t="shared" si="34" ref="BR8:BR27">BP$6*$E8</f>
        <v>172.18049040000002</v>
      </c>
      <c r="BS8" s="5"/>
      <c r="BT8" s="38"/>
      <c r="BU8" s="38">
        <f aca="true" t="shared" si="35" ref="BU8:BU27">C8*$BU$6</f>
        <v>2138.5108485</v>
      </c>
      <c r="BV8" s="5">
        <f aca="true" t="shared" si="36" ref="BV8:BV27">BT8+BU8</f>
        <v>2138.5108485</v>
      </c>
      <c r="BW8" s="38">
        <f aca="true" t="shared" si="37" ref="BW8:BW27">BU$6*$E8</f>
        <v>1903.6099512</v>
      </c>
      <c r="BX8" s="5"/>
      <c r="BY8" s="38"/>
      <c r="BZ8" s="38">
        <f aca="true" t="shared" si="38" ref="BZ8:BZ27">C8*$BZ$6</f>
        <v>15.6794625</v>
      </c>
      <c r="CA8" s="5">
        <f aca="true" t="shared" si="39" ref="CA8:CA27">BY8+BZ8</f>
        <v>15.6794625</v>
      </c>
      <c r="CB8" s="38">
        <f aca="true" t="shared" si="40" ref="CB8:CB27">BZ$6*$E8</f>
        <v>13.957180000000001</v>
      </c>
      <c r="CC8" s="5"/>
      <c r="CD8" s="5"/>
      <c r="CE8" s="38">
        <f aca="true" t="shared" si="41" ref="CE8:CE27">C8*$CE$6</f>
        <v>560.662245</v>
      </c>
      <c r="CF8" s="38">
        <f aca="true" t="shared" si="42" ref="CF8:CF27">CD8+CE8</f>
        <v>560.662245</v>
      </c>
      <c r="CG8" s="38">
        <f aca="true" t="shared" si="43" ref="CG8:CG27">CE$6*$E8</f>
        <v>499.077304</v>
      </c>
      <c r="CH8" s="5"/>
      <c r="CI8" s="5"/>
      <c r="CJ8" s="38">
        <f aca="true" t="shared" si="44" ref="CJ8:CJ27">C8*$CJ$6</f>
        <v>1320.590583</v>
      </c>
      <c r="CK8" s="38">
        <f aca="true" t="shared" si="45" ref="CK8:CK27">CI8+CJ8</f>
        <v>1320.590583</v>
      </c>
      <c r="CL8" s="38">
        <f aca="true" t="shared" si="46" ref="CL8:CL27">CJ$6*$E8</f>
        <v>1175.5326736</v>
      </c>
      <c r="CM8" s="5"/>
      <c r="CN8" s="38"/>
      <c r="CO8" s="38">
        <f aca="true" t="shared" si="47" ref="CO8:CO27">C8*$CO$6</f>
        <v>516.9275865</v>
      </c>
      <c r="CP8" s="5">
        <f aca="true" t="shared" si="48" ref="CP8:CP27">CN8+CO8</f>
        <v>516.9275865</v>
      </c>
      <c r="CQ8" s="38">
        <f aca="true" t="shared" si="49" ref="CQ8:CQ27">CO$6*$E8</f>
        <v>460.1466008</v>
      </c>
      <c r="CR8" s="5"/>
      <c r="CS8" s="5"/>
      <c r="CT8" s="38">
        <f aca="true" t="shared" si="50" ref="CT8:CT27">C8*$CT$6</f>
        <v>640.358082</v>
      </c>
      <c r="CU8" s="38">
        <f aca="true" t="shared" si="51" ref="CU8:CU27">CS8+CT8</f>
        <v>640.358082</v>
      </c>
      <c r="CV8" s="38">
        <f aca="true" t="shared" si="52" ref="CV8:CV27">CT$6*$E8</f>
        <v>570.0190944</v>
      </c>
      <c r="CW8" s="5"/>
      <c r="CX8" s="5"/>
      <c r="CY8" s="5">
        <f aca="true" t="shared" si="53" ref="CY8:CY27">C8*$CY$6</f>
        <v>74.0688975</v>
      </c>
      <c r="CZ8" s="5">
        <f aca="true" t="shared" si="54" ref="CZ8:CZ27">CX8+CY8</f>
        <v>74.0688975</v>
      </c>
      <c r="DA8" s="38">
        <f aca="true" t="shared" si="55" ref="DA8:DA27">CY$6*$E8</f>
        <v>65.93293200000001</v>
      </c>
      <c r="DB8" s="5"/>
      <c r="DC8" s="38"/>
      <c r="DD8" s="38">
        <f aca="true" t="shared" si="56" ref="DD8:DD27">C8*$DD$6</f>
        <v>7829.731728</v>
      </c>
      <c r="DE8" s="5">
        <f aca="true" t="shared" si="57" ref="DE8:DE27">DC8+DD8</f>
        <v>7829.731728</v>
      </c>
      <c r="DF8" s="38">
        <f aca="true" t="shared" si="58" ref="DF8:DF27">DD$6*$E8</f>
        <v>6969.6888576</v>
      </c>
      <c r="DG8" s="5"/>
      <c r="DH8" s="38"/>
      <c r="DI8" s="38">
        <f aca="true" t="shared" si="59" ref="DI8:DI27">C8*$DI$6</f>
        <v>7453.901637</v>
      </c>
      <c r="DJ8" s="5">
        <f aca="true" t="shared" si="60" ref="DJ8:DJ27">DH8+DI8</f>
        <v>7453.901637</v>
      </c>
      <c r="DK8" s="38">
        <f aca="true" t="shared" si="61" ref="DK8:DK27">DI$6*$E8</f>
        <v>6635.141150400001</v>
      </c>
      <c r="DL8" s="5"/>
      <c r="DM8" s="38"/>
      <c r="DN8" s="38">
        <f aca="true" t="shared" si="62" ref="DN8:DN27">C8*$DN$6</f>
        <v>176.72300099999998</v>
      </c>
      <c r="DO8" s="5">
        <f aca="true" t="shared" si="63" ref="DO8:DO27">DM8+DN8</f>
        <v>176.72300099999998</v>
      </c>
      <c r="DP8" s="38">
        <f aca="true" t="shared" si="64" ref="DP8:DP27">DN$6*$E8</f>
        <v>157.3111792</v>
      </c>
      <c r="DQ8" s="5"/>
      <c r="DR8" s="38"/>
      <c r="DS8" s="38">
        <f aca="true" t="shared" si="65" ref="DS8:DS27">C8*$DS$6</f>
        <v>12661.58556</v>
      </c>
      <c r="DT8" s="5">
        <f aca="true" t="shared" si="66" ref="DT8:DT27">DR8+DS8</f>
        <v>12661.58556</v>
      </c>
      <c r="DU8" s="38">
        <f aca="true" t="shared" si="67" ref="DU8:DU27">DS$6*$E8</f>
        <v>11270.796352</v>
      </c>
      <c r="DV8" s="5"/>
      <c r="DW8" s="38"/>
      <c r="DX8" s="38">
        <f aca="true" t="shared" si="68" ref="DX8:DX27">C8*$DX$6</f>
        <v>16281.7216965</v>
      </c>
      <c r="DY8" s="5">
        <f aca="true" t="shared" si="69" ref="DY8:DY27">DW8+DX8</f>
        <v>16281.7216965</v>
      </c>
      <c r="DZ8" s="38">
        <f aca="true" t="shared" si="70" ref="DZ8:DZ27">DX$6*$E8</f>
        <v>14493.2851128</v>
      </c>
      <c r="EA8" s="5"/>
      <c r="EB8" s="5"/>
      <c r="EC8" s="38">
        <f aca="true" t="shared" si="71" ref="EC8:EC27">C8*$EC$6</f>
        <v>508.03225199999997</v>
      </c>
      <c r="ED8" s="38">
        <f aca="true" t="shared" si="72" ref="ED8:ED27">EB8+EC8</f>
        <v>508.03225199999997</v>
      </c>
      <c r="EE8" s="38">
        <f aca="true" t="shared" si="73" ref="EE8:EE27">EC$6*$E8</f>
        <v>452.2283584</v>
      </c>
      <c r="EF8" s="5"/>
      <c r="EG8" s="5"/>
      <c r="EH8" s="38">
        <f aca="true" t="shared" si="74" ref="EH8:EH27">C8*$EH$6</f>
        <v>1393.0341165</v>
      </c>
      <c r="EI8" s="38">
        <f aca="true" t="shared" si="75" ref="EI8:EI27">EG8+EH8</f>
        <v>1393.0341165</v>
      </c>
      <c r="EJ8" s="38">
        <f aca="true" t="shared" si="76" ref="EJ8:EJ27">EH$6*$E8</f>
        <v>1240.0187768</v>
      </c>
      <c r="EK8" s="5"/>
      <c r="EL8" s="38"/>
      <c r="EM8" s="38">
        <f aca="true" t="shared" si="77" ref="EM8:EM27">C8*$EM$6</f>
        <v>9833.0016915</v>
      </c>
      <c r="EN8" s="5">
        <f aca="true" t="shared" si="78" ref="EN8:EN27">EL8+EM8</f>
        <v>9833.0016915</v>
      </c>
      <c r="EO8" s="38">
        <f aca="true" t="shared" si="79" ref="EO8:EO27">EM$6*$E8</f>
        <v>8752.9132168</v>
      </c>
      <c r="EP8" s="5"/>
      <c r="EQ8" s="38"/>
      <c r="ER8" s="38">
        <f aca="true" t="shared" si="80" ref="ER8:ER27">C8*$ER$6</f>
        <v>7104.466044</v>
      </c>
      <c r="ES8" s="5">
        <f aca="true" t="shared" si="81" ref="ES8:ES27">EQ8+ER8</f>
        <v>7104.466044</v>
      </c>
      <c r="ET8" s="38">
        <f aca="true" t="shared" si="82" ref="ET8:ET27">ER$6*$E8</f>
        <v>6324.0886848</v>
      </c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</row>
    <row r="9" spans="1:193" ht="12.75">
      <c r="A9" s="40">
        <v>44287</v>
      </c>
      <c r="B9" s="3">
        <v>6040000</v>
      </c>
      <c r="C9" s="3">
        <v>88335</v>
      </c>
      <c r="D9" s="37">
        <f t="shared" si="0"/>
        <v>6128335</v>
      </c>
      <c r="E9" s="37">
        <v>78632</v>
      </c>
      <c r="G9" s="38">
        <f>'Academic Project '!H9</f>
        <v>865609.9160000001</v>
      </c>
      <c r="H9" s="38">
        <f>'Academic Project '!I9</f>
        <v>12659.5450215</v>
      </c>
      <c r="I9" s="38">
        <f t="shared" si="1"/>
        <v>878269.4610215</v>
      </c>
      <c r="J9" s="38">
        <f>'Academic Project '!K9</f>
        <v>11268.979952799999</v>
      </c>
      <c r="L9" s="38">
        <f>Q9+V9+AA9+AK9+AP9+AU9+BJ9+BO9+BT9+CD9+CN9+CS9+CX9+DC9+DH9+DM9+DR9+DW9+EB9+EG9+EL9+EQ9+EV9+AF9+AZ9+BY9+CI9+BE9</f>
        <v>5174390.084000001</v>
      </c>
      <c r="M9" s="37">
        <f t="shared" si="2"/>
        <v>75675.45497850001</v>
      </c>
      <c r="N9" s="5">
        <f t="shared" si="3"/>
        <v>5250065.5389785</v>
      </c>
      <c r="O9" s="37">
        <f t="shared" si="2"/>
        <v>67362.4145808</v>
      </c>
      <c r="Q9" s="38">
        <f aca="true" t="shared" si="83" ref="Q9:Q27">B9*$R$6</f>
        <v>102565.23999999999</v>
      </c>
      <c r="R9" s="38">
        <f t="shared" si="4"/>
        <v>1500.016635</v>
      </c>
      <c r="S9" s="5">
        <f t="shared" si="5"/>
        <v>104065.256635</v>
      </c>
      <c r="T9" s="38">
        <f t="shared" si="6"/>
        <v>1335.249992</v>
      </c>
      <c r="V9" s="5">
        <f aca="true" t="shared" si="84" ref="V9:V27">B9*$W$6</f>
        <v>24428.176</v>
      </c>
      <c r="W9" s="38">
        <f t="shared" si="7"/>
        <v>357.262074</v>
      </c>
      <c r="X9" s="38">
        <f t="shared" si="8"/>
        <v>24785.438073999998</v>
      </c>
      <c r="Y9" s="38">
        <f t="shared" si="9"/>
        <v>318.0192608</v>
      </c>
      <c r="AA9" s="5">
        <f aca="true" t="shared" si="85" ref="AA9:AA27">B9*$AB$6</f>
        <v>6017.048</v>
      </c>
      <c r="AB9" s="5">
        <f t="shared" si="10"/>
        <v>87.99932700000001</v>
      </c>
      <c r="AC9" s="5">
        <f t="shared" si="11"/>
        <v>6105.047327</v>
      </c>
      <c r="AD9" s="38">
        <f t="shared" si="12"/>
        <v>78.3331984</v>
      </c>
      <c r="AF9" s="5">
        <f aca="true" t="shared" si="86" ref="AF9:AF27">B9*$AG$6</f>
        <v>219.856</v>
      </c>
      <c r="AG9" s="5">
        <f t="shared" si="13"/>
        <v>3.215394</v>
      </c>
      <c r="AH9" s="5">
        <f t="shared" si="14"/>
        <v>223.071394</v>
      </c>
      <c r="AI9" s="38">
        <f t="shared" si="15"/>
        <v>2.8622047999999998</v>
      </c>
      <c r="AK9" s="38">
        <f aca="true" t="shared" si="87" ref="AK9:AK27">B9*$AL$6</f>
        <v>24.16</v>
      </c>
      <c r="AL9" s="38">
        <f t="shared" si="16"/>
        <v>0.35334</v>
      </c>
      <c r="AM9" s="5">
        <f t="shared" si="17"/>
        <v>24.51334</v>
      </c>
      <c r="AN9" s="38"/>
      <c r="AP9" s="38">
        <f aca="true" t="shared" si="88" ref="AP9:AP27">B9*$AQ$6</f>
        <v>312211.22400000005</v>
      </c>
      <c r="AQ9" s="38">
        <f t="shared" si="18"/>
        <v>4566.089151</v>
      </c>
      <c r="AR9" s="5">
        <f t="shared" si="19"/>
        <v>316777.31315100007</v>
      </c>
      <c r="AS9" s="38">
        <f t="shared" si="20"/>
        <v>4064.5352592000004</v>
      </c>
      <c r="AT9" s="5"/>
      <c r="AU9" s="38">
        <f aca="true" t="shared" si="89" ref="AU9:AU27">B9*$AV$6</f>
        <v>3750.84</v>
      </c>
      <c r="AV9" s="38">
        <f t="shared" si="21"/>
        <v>54.856035000000006</v>
      </c>
      <c r="AW9" s="5">
        <f t="shared" si="22"/>
        <v>3805.696035</v>
      </c>
      <c r="AX9" s="38">
        <f t="shared" si="23"/>
        <v>48.830472</v>
      </c>
      <c r="AY9" s="5"/>
      <c r="AZ9" s="38">
        <f aca="true" t="shared" si="90" ref="AZ9:AZ27">B9*$BA$6</f>
        <v>4377.188</v>
      </c>
      <c r="BA9" s="38">
        <f t="shared" si="24"/>
        <v>64.0163745</v>
      </c>
      <c r="BB9" s="5">
        <f t="shared" si="25"/>
        <v>4441.2043745</v>
      </c>
      <c r="BC9" s="38">
        <f t="shared" si="26"/>
        <v>56.9846104</v>
      </c>
      <c r="BD9" s="5"/>
      <c r="BE9" s="38">
        <f>B9*$BF$6</f>
        <v>22.348000000000003</v>
      </c>
      <c r="BF9" s="38">
        <f t="shared" si="27"/>
        <v>0.3268395</v>
      </c>
      <c r="BG9" s="5">
        <f t="shared" si="28"/>
        <v>22.6748395</v>
      </c>
      <c r="BH9" s="38"/>
      <c r="BI9" s="5"/>
      <c r="BJ9" s="38">
        <f aca="true" t="shared" si="91" ref="BJ9:BJ27">B9*$BK$6</f>
        <v>23172.46</v>
      </c>
      <c r="BK9" s="38">
        <f t="shared" si="29"/>
        <v>338.8972275</v>
      </c>
      <c r="BL9" s="5">
        <f t="shared" si="30"/>
        <v>23511.3572275</v>
      </c>
      <c r="BM9" s="38">
        <f t="shared" si="31"/>
        <v>301.671668</v>
      </c>
      <c r="BN9" s="5"/>
      <c r="BO9" s="5">
        <f aca="true" t="shared" si="92" ref="BO9:BO27">B9*$BP$6</f>
        <v>13225.788</v>
      </c>
      <c r="BP9" s="5">
        <f t="shared" si="32"/>
        <v>193.4271495</v>
      </c>
      <c r="BQ9" s="5">
        <f t="shared" si="33"/>
        <v>13419.2151495</v>
      </c>
      <c r="BR9" s="38">
        <f t="shared" si="34"/>
        <v>172.18049040000002</v>
      </c>
      <c r="BS9" s="5"/>
      <c r="BT9" s="38">
        <f aca="true" t="shared" si="93" ref="BT9:BT27">B9*$BU$6</f>
        <v>146222.964</v>
      </c>
      <c r="BU9" s="38">
        <f t="shared" si="35"/>
        <v>2138.5108485</v>
      </c>
      <c r="BV9" s="5">
        <f t="shared" si="36"/>
        <v>148361.47484850002</v>
      </c>
      <c r="BW9" s="38">
        <f t="shared" si="37"/>
        <v>1903.6099512</v>
      </c>
      <c r="BX9" s="5"/>
      <c r="BY9" s="38">
        <f aca="true" t="shared" si="94" ref="BY9:BY27">B9*$BZ$6</f>
        <v>1072.1000000000001</v>
      </c>
      <c r="BZ9" s="38">
        <f t="shared" si="38"/>
        <v>15.6794625</v>
      </c>
      <c r="CA9" s="5">
        <f t="shared" si="39"/>
        <v>1087.7794625000001</v>
      </c>
      <c r="CB9" s="38">
        <f t="shared" si="40"/>
        <v>13.957180000000001</v>
      </c>
      <c r="CC9" s="5"/>
      <c r="CD9" s="5">
        <f aca="true" t="shared" si="95" ref="CD9:CD27">B9*$CE$6</f>
        <v>38335.880000000005</v>
      </c>
      <c r="CE9" s="38">
        <f t="shared" si="41"/>
        <v>560.662245</v>
      </c>
      <c r="CF9" s="38">
        <f t="shared" si="42"/>
        <v>38896.542245000004</v>
      </c>
      <c r="CG9" s="38">
        <f t="shared" si="43"/>
        <v>499.077304</v>
      </c>
      <c r="CH9" s="5"/>
      <c r="CI9" s="5">
        <f aca="true" t="shared" si="96" ref="CI9:CI27">B9*$CJ$6</f>
        <v>90296.792</v>
      </c>
      <c r="CJ9" s="38">
        <f t="shared" si="44"/>
        <v>1320.590583</v>
      </c>
      <c r="CK9" s="38">
        <f t="shared" si="45"/>
        <v>91617.382583</v>
      </c>
      <c r="CL9" s="38">
        <f t="shared" si="46"/>
        <v>1175.5326736</v>
      </c>
      <c r="CM9" s="5"/>
      <c r="CN9" s="38">
        <f aca="true" t="shared" si="97" ref="CN9:CN27">B9*$CO$6</f>
        <v>35345.476</v>
      </c>
      <c r="CO9" s="38">
        <f t="shared" si="47"/>
        <v>516.9275865</v>
      </c>
      <c r="CP9" s="5">
        <f t="shared" si="48"/>
        <v>35862.403586500004</v>
      </c>
      <c r="CQ9" s="38">
        <f t="shared" si="49"/>
        <v>460.1466008</v>
      </c>
      <c r="CR9" s="5"/>
      <c r="CS9" s="5">
        <f aca="true" t="shared" si="98" ref="CS9:CS27">B9*$CT$6</f>
        <v>43785.168</v>
      </c>
      <c r="CT9" s="38">
        <f t="shared" si="50"/>
        <v>640.358082</v>
      </c>
      <c r="CU9" s="38">
        <f t="shared" si="51"/>
        <v>44425.526082</v>
      </c>
      <c r="CV9" s="38">
        <f t="shared" si="52"/>
        <v>570.0190944</v>
      </c>
      <c r="CW9" s="5"/>
      <c r="CX9" s="5">
        <f aca="true" t="shared" si="99" ref="CX9:CX27">B9*$CY$6</f>
        <v>5064.54</v>
      </c>
      <c r="CY9" s="5">
        <f t="shared" si="53"/>
        <v>74.0688975</v>
      </c>
      <c r="CZ9" s="5">
        <f t="shared" si="54"/>
        <v>5138.6088975</v>
      </c>
      <c r="DA9" s="38">
        <f t="shared" si="55"/>
        <v>65.93293200000001</v>
      </c>
      <c r="DB9" s="5"/>
      <c r="DC9" s="38">
        <f aca="true" t="shared" si="100" ref="DC9:DC27">B9*$DD$6</f>
        <v>535366.272</v>
      </c>
      <c r="DD9" s="38">
        <f t="shared" si="56"/>
        <v>7829.731728</v>
      </c>
      <c r="DE9" s="5">
        <f t="shared" si="57"/>
        <v>543196.003728</v>
      </c>
      <c r="DF9" s="38">
        <f t="shared" si="58"/>
        <v>6969.6888576</v>
      </c>
      <c r="DG9" s="5"/>
      <c r="DH9" s="38">
        <f aca="true" t="shared" si="101" ref="DH9:DH27">B9*$DI$6</f>
        <v>509668.488</v>
      </c>
      <c r="DI9" s="38">
        <f t="shared" si="59"/>
        <v>7453.901637</v>
      </c>
      <c r="DJ9" s="5">
        <f t="shared" si="60"/>
        <v>517122.389637</v>
      </c>
      <c r="DK9" s="38">
        <f t="shared" si="61"/>
        <v>6635.141150400001</v>
      </c>
      <c r="DL9" s="5"/>
      <c r="DM9" s="38">
        <f aca="true" t="shared" si="102" ref="DM9:DM27">B9*$DN$6</f>
        <v>12083.624</v>
      </c>
      <c r="DN9" s="38">
        <f t="shared" si="62"/>
        <v>176.72300099999998</v>
      </c>
      <c r="DO9" s="5">
        <f t="shared" si="63"/>
        <v>12260.347001</v>
      </c>
      <c r="DP9" s="38">
        <f t="shared" si="64"/>
        <v>157.3111792</v>
      </c>
      <c r="DQ9" s="5"/>
      <c r="DR9" s="38">
        <f aca="true" t="shared" si="103" ref="DR9:DR27">B9*$DS$6</f>
        <v>865749.44</v>
      </c>
      <c r="DS9" s="38">
        <f t="shared" si="65"/>
        <v>12661.58556</v>
      </c>
      <c r="DT9" s="5">
        <f t="shared" si="66"/>
        <v>878411.02556</v>
      </c>
      <c r="DU9" s="38">
        <f t="shared" si="67"/>
        <v>11270.796352</v>
      </c>
      <c r="DV9" s="5"/>
      <c r="DW9" s="38">
        <f aca="true" t="shared" si="104" ref="DW9:DW27">B9*$DX$6</f>
        <v>1113280.1160000002</v>
      </c>
      <c r="DX9" s="38">
        <f t="shared" si="68"/>
        <v>16281.7216965</v>
      </c>
      <c r="DY9" s="5">
        <f t="shared" si="69"/>
        <v>1129561.8376965001</v>
      </c>
      <c r="DZ9" s="38">
        <f t="shared" si="70"/>
        <v>14493.2851128</v>
      </c>
      <c r="EA9" s="5"/>
      <c r="EB9" s="5">
        <f aca="true" t="shared" si="105" ref="EB9:EB27">B9*$EC$6</f>
        <v>34737.248</v>
      </c>
      <c r="EC9" s="38">
        <f t="shared" si="71"/>
        <v>508.03225199999997</v>
      </c>
      <c r="ED9" s="38">
        <f t="shared" si="72"/>
        <v>35245.280252</v>
      </c>
      <c r="EE9" s="38">
        <f t="shared" si="73"/>
        <v>452.2283584</v>
      </c>
      <c r="EF9" s="5"/>
      <c r="EG9" s="5">
        <f aca="true" t="shared" si="106" ref="EG9:EG27">B9*$EH$6</f>
        <v>95250.196</v>
      </c>
      <c r="EH9" s="38">
        <f t="shared" si="74"/>
        <v>1393.0341165</v>
      </c>
      <c r="EI9" s="38">
        <f t="shared" si="75"/>
        <v>96643.2301165</v>
      </c>
      <c r="EJ9" s="38">
        <f t="shared" si="76"/>
        <v>1240.0187768</v>
      </c>
      <c r="EK9" s="5"/>
      <c r="EL9" s="38">
        <f aca="true" t="shared" si="107" ref="EL9:EL27">B9*$EM$6</f>
        <v>672341.9959999999</v>
      </c>
      <c r="EM9" s="38">
        <f t="shared" si="77"/>
        <v>9833.0016915</v>
      </c>
      <c r="EN9" s="5">
        <f t="shared" si="78"/>
        <v>682174.9976914999</v>
      </c>
      <c r="EO9" s="38">
        <f t="shared" si="79"/>
        <v>8752.9132168</v>
      </c>
      <c r="EP9" s="5"/>
      <c r="EQ9" s="38">
        <f aca="true" t="shared" si="108" ref="EQ9:EQ27">B9*$ER$6</f>
        <v>485775.45599999995</v>
      </c>
      <c r="ER9" s="38">
        <f t="shared" si="80"/>
        <v>7104.466044</v>
      </c>
      <c r="ES9" s="5">
        <f t="shared" si="81"/>
        <v>492879.92204399995</v>
      </c>
      <c r="ET9" s="38">
        <f t="shared" si="82"/>
        <v>6324.0886848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</row>
    <row r="10" spans="1:193" ht="12.75">
      <c r="A10" s="40">
        <v>44470</v>
      </c>
      <c r="B10" s="76"/>
      <c r="C10" s="76"/>
      <c r="D10" s="37">
        <f t="shared" si="0"/>
        <v>0</v>
      </c>
      <c r="E10" s="37"/>
      <c r="G10" s="38">
        <f>'Academic Project '!H10</f>
        <v>0</v>
      </c>
      <c r="H10" s="38">
        <f>'Academic Project '!I10</f>
        <v>0</v>
      </c>
      <c r="I10" s="38">
        <f t="shared" si="1"/>
        <v>0</v>
      </c>
      <c r="J10" s="38">
        <f>'Academic Project '!K10</f>
        <v>0</v>
      </c>
      <c r="L10" s="38"/>
      <c r="M10" s="37">
        <f t="shared" si="2"/>
        <v>0</v>
      </c>
      <c r="N10" s="5">
        <f t="shared" si="3"/>
        <v>0</v>
      </c>
      <c r="O10" s="37">
        <f t="shared" si="2"/>
        <v>0</v>
      </c>
      <c r="Q10" s="38"/>
      <c r="R10" s="38">
        <f t="shared" si="4"/>
        <v>0</v>
      </c>
      <c r="S10" s="5">
        <f t="shared" si="5"/>
        <v>0</v>
      </c>
      <c r="T10" s="38">
        <f t="shared" si="6"/>
        <v>0</v>
      </c>
      <c r="W10" s="38">
        <f t="shared" si="7"/>
        <v>0</v>
      </c>
      <c r="X10" s="38">
        <f t="shared" si="8"/>
        <v>0</v>
      </c>
      <c r="Y10" s="38">
        <f t="shared" si="9"/>
        <v>0</v>
      </c>
      <c r="AB10" s="5">
        <f t="shared" si="10"/>
        <v>0</v>
      </c>
      <c r="AC10" s="5">
        <f t="shared" si="11"/>
        <v>0</v>
      </c>
      <c r="AD10" s="38">
        <f t="shared" si="12"/>
        <v>0</v>
      </c>
      <c r="AG10" s="5">
        <f t="shared" si="13"/>
        <v>0</v>
      </c>
      <c r="AH10" s="5">
        <f t="shared" si="14"/>
        <v>0</v>
      </c>
      <c r="AI10" s="38">
        <f t="shared" si="15"/>
        <v>0</v>
      </c>
      <c r="AK10" s="38"/>
      <c r="AL10" s="38">
        <f t="shared" si="16"/>
        <v>0</v>
      </c>
      <c r="AM10" s="5">
        <f t="shared" si="17"/>
        <v>0</v>
      </c>
      <c r="AN10" s="38"/>
      <c r="AP10" s="38"/>
      <c r="AQ10" s="38">
        <f t="shared" si="18"/>
        <v>0</v>
      </c>
      <c r="AR10" s="5">
        <f t="shared" si="19"/>
        <v>0</v>
      </c>
      <c r="AS10" s="38">
        <f t="shared" si="20"/>
        <v>0</v>
      </c>
      <c r="AT10" s="5"/>
      <c r="AU10" s="38"/>
      <c r="AV10" s="38">
        <f t="shared" si="21"/>
        <v>0</v>
      </c>
      <c r="AW10" s="5">
        <f t="shared" si="22"/>
        <v>0</v>
      </c>
      <c r="AX10" s="38">
        <f t="shared" si="23"/>
        <v>0</v>
      </c>
      <c r="AY10" s="5"/>
      <c r="AZ10" s="38"/>
      <c r="BA10" s="38">
        <f t="shared" si="24"/>
        <v>0</v>
      </c>
      <c r="BB10" s="5">
        <f t="shared" si="25"/>
        <v>0</v>
      </c>
      <c r="BC10" s="38">
        <f t="shared" si="26"/>
        <v>0</v>
      </c>
      <c r="BD10" s="5"/>
      <c r="BE10" s="38"/>
      <c r="BF10" s="38">
        <f t="shared" si="27"/>
        <v>0</v>
      </c>
      <c r="BG10" s="5">
        <f t="shared" si="28"/>
        <v>0</v>
      </c>
      <c r="BH10" s="38"/>
      <c r="BI10" s="5"/>
      <c r="BJ10" s="38"/>
      <c r="BK10" s="38">
        <f t="shared" si="29"/>
        <v>0</v>
      </c>
      <c r="BL10" s="5">
        <f t="shared" si="30"/>
        <v>0</v>
      </c>
      <c r="BM10" s="38">
        <f t="shared" si="31"/>
        <v>0</v>
      </c>
      <c r="BN10" s="5"/>
      <c r="BO10" s="5"/>
      <c r="BP10" s="5">
        <f t="shared" si="32"/>
        <v>0</v>
      </c>
      <c r="BQ10" s="5">
        <f t="shared" si="33"/>
        <v>0</v>
      </c>
      <c r="BR10" s="38">
        <f t="shared" si="34"/>
        <v>0</v>
      </c>
      <c r="BS10" s="5"/>
      <c r="BT10" s="38"/>
      <c r="BU10" s="38">
        <f t="shared" si="35"/>
        <v>0</v>
      </c>
      <c r="BV10" s="5">
        <f t="shared" si="36"/>
        <v>0</v>
      </c>
      <c r="BW10" s="38">
        <f t="shared" si="37"/>
        <v>0</v>
      </c>
      <c r="BX10" s="5"/>
      <c r="BY10" s="38"/>
      <c r="BZ10" s="38">
        <f t="shared" si="38"/>
        <v>0</v>
      </c>
      <c r="CA10" s="5">
        <f t="shared" si="39"/>
        <v>0</v>
      </c>
      <c r="CB10" s="38">
        <f t="shared" si="40"/>
        <v>0</v>
      </c>
      <c r="CC10" s="5"/>
      <c r="CD10" s="5"/>
      <c r="CE10" s="38">
        <f t="shared" si="41"/>
        <v>0</v>
      </c>
      <c r="CF10" s="38">
        <f t="shared" si="42"/>
        <v>0</v>
      </c>
      <c r="CG10" s="38">
        <f t="shared" si="43"/>
        <v>0</v>
      </c>
      <c r="CH10" s="5"/>
      <c r="CI10" s="5"/>
      <c r="CJ10" s="38">
        <f t="shared" si="44"/>
        <v>0</v>
      </c>
      <c r="CK10" s="38">
        <f t="shared" si="45"/>
        <v>0</v>
      </c>
      <c r="CL10" s="38">
        <f t="shared" si="46"/>
        <v>0</v>
      </c>
      <c r="CM10" s="5"/>
      <c r="CN10" s="38"/>
      <c r="CO10" s="38">
        <f t="shared" si="47"/>
        <v>0</v>
      </c>
      <c r="CP10" s="5">
        <f t="shared" si="48"/>
        <v>0</v>
      </c>
      <c r="CQ10" s="38">
        <f t="shared" si="49"/>
        <v>0</v>
      </c>
      <c r="CR10" s="5"/>
      <c r="CS10" s="5"/>
      <c r="CT10" s="38">
        <f t="shared" si="50"/>
        <v>0</v>
      </c>
      <c r="CU10" s="38">
        <f t="shared" si="51"/>
        <v>0</v>
      </c>
      <c r="CV10" s="38">
        <f t="shared" si="52"/>
        <v>0</v>
      </c>
      <c r="CW10" s="5"/>
      <c r="CX10" s="5"/>
      <c r="CY10" s="5">
        <f t="shared" si="53"/>
        <v>0</v>
      </c>
      <c r="CZ10" s="5">
        <f t="shared" si="54"/>
        <v>0</v>
      </c>
      <c r="DA10" s="38">
        <f t="shared" si="55"/>
        <v>0</v>
      </c>
      <c r="DB10" s="5"/>
      <c r="DC10" s="38"/>
      <c r="DD10" s="38">
        <f t="shared" si="56"/>
        <v>0</v>
      </c>
      <c r="DE10" s="5">
        <f t="shared" si="57"/>
        <v>0</v>
      </c>
      <c r="DF10" s="38">
        <f t="shared" si="58"/>
        <v>0</v>
      </c>
      <c r="DG10" s="5"/>
      <c r="DH10" s="38"/>
      <c r="DI10" s="38">
        <f t="shared" si="59"/>
        <v>0</v>
      </c>
      <c r="DJ10" s="5">
        <f t="shared" si="60"/>
        <v>0</v>
      </c>
      <c r="DK10" s="38">
        <f t="shared" si="61"/>
        <v>0</v>
      </c>
      <c r="DL10" s="5"/>
      <c r="DM10" s="38"/>
      <c r="DN10" s="38">
        <f t="shared" si="62"/>
        <v>0</v>
      </c>
      <c r="DO10" s="5">
        <f t="shared" si="63"/>
        <v>0</v>
      </c>
      <c r="DP10" s="38">
        <f t="shared" si="64"/>
        <v>0</v>
      </c>
      <c r="DQ10" s="5"/>
      <c r="DR10" s="38"/>
      <c r="DS10" s="38">
        <f t="shared" si="65"/>
        <v>0</v>
      </c>
      <c r="DT10" s="5">
        <f t="shared" si="66"/>
        <v>0</v>
      </c>
      <c r="DU10" s="38">
        <f t="shared" si="67"/>
        <v>0</v>
      </c>
      <c r="DV10" s="5"/>
      <c r="DW10" s="38"/>
      <c r="DX10" s="38">
        <f t="shared" si="68"/>
        <v>0</v>
      </c>
      <c r="DY10" s="5">
        <f t="shared" si="69"/>
        <v>0</v>
      </c>
      <c r="DZ10" s="38">
        <f t="shared" si="70"/>
        <v>0</v>
      </c>
      <c r="EA10" s="5"/>
      <c r="EB10" s="5"/>
      <c r="EC10" s="38">
        <f t="shared" si="71"/>
        <v>0</v>
      </c>
      <c r="ED10" s="38">
        <f t="shared" si="72"/>
        <v>0</v>
      </c>
      <c r="EE10" s="38">
        <f t="shared" si="73"/>
        <v>0</v>
      </c>
      <c r="EF10" s="5"/>
      <c r="EG10" s="5"/>
      <c r="EH10" s="38">
        <f t="shared" si="74"/>
        <v>0</v>
      </c>
      <c r="EI10" s="38">
        <f t="shared" si="75"/>
        <v>0</v>
      </c>
      <c r="EJ10" s="38">
        <f t="shared" si="76"/>
        <v>0</v>
      </c>
      <c r="EK10" s="5"/>
      <c r="EL10" s="38"/>
      <c r="EM10" s="38">
        <f t="shared" si="77"/>
        <v>0</v>
      </c>
      <c r="EN10" s="5">
        <f t="shared" si="78"/>
        <v>0</v>
      </c>
      <c r="EO10" s="38">
        <f t="shared" si="79"/>
        <v>0</v>
      </c>
      <c r="EP10" s="5"/>
      <c r="EQ10" s="38"/>
      <c r="ER10" s="38">
        <f t="shared" si="80"/>
        <v>0</v>
      </c>
      <c r="ES10" s="5">
        <f t="shared" si="81"/>
        <v>0</v>
      </c>
      <c r="ET10" s="38">
        <f t="shared" si="82"/>
        <v>0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</row>
    <row r="11" spans="1:193" ht="12.75">
      <c r="A11" s="40">
        <v>44652</v>
      </c>
      <c r="B11" s="76"/>
      <c r="C11" s="76"/>
      <c r="D11" s="37">
        <f t="shared" si="0"/>
        <v>0</v>
      </c>
      <c r="E11" s="37"/>
      <c r="G11" s="38">
        <f>'Academic Project '!H11</f>
        <v>0</v>
      </c>
      <c r="H11" s="38">
        <f>'Academic Project '!I11</f>
        <v>0</v>
      </c>
      <c r="I11" s="38">
        <f t="shared" si="1"/>
        <v>0</v>
      </c>
      <c r="J11" s="38">
        <f>'Academic Project '!K11</f>
        <v>0</v>
      </c>
      <c r="L11" s="38">
        <f>Q11+V11+AA11+AK11+AP11+AU11+BJ11+BO11+BT11+CD11+CN11+CS11+CX11+DC11+DH11+DM11+DR11+DW11+EB11+EG11+EL11+EQ11+EV11+AF11+AZ11+BY11+CI11+BE11</f>
        <v>0</v>
      </c>
      <c r="M11" s="37">
        <f t="shared" si="2"/>
        <v>0</v>
      </c>
      <c r="N11" s="5">
        <f t="shared" si="3"/>
        <v>0</v>
      </c>
      <c r="O11" s="37">
        <f t="shared" si="2"/>
        <v>0</v>
      </c>
      <c r="Q11" s="38">
        <f t="shared" si="83"/>
        <v>0</v>
      </c>
      <c r="R11" s="38">
        <f t="shared" si="4"/>
        <v>0</v>
      </c>
      <c r="S11" s="5">
        <f t="shared" si="5"/>
        <v>0</v>
      </c>
      <c r="T11" s="38">
        <f t="shared" si="6"/>
        <v>0</v>
      </c>
      <c r="V11" s="5">
        <f t="shared" si="84"/>
        <v>0</v>
      </c>
      <c r="W11" s="38">
        <f t="shared" si="7"/>
        <v>0</v>
      </c>
      <c r="X11" s="38">
        <f t="shared" si="8"/>
        <v>0</v>
      </c>
      <c r="Y11" s="38">
        <f t="shared" si="9"/>
        <v>0</v>
      </c>
      <c r="AA11" s="5">
        <f t="shared" si="85"/>
        <v>0</v>
      </c>
      <c r="AB11" s="5">
        <f t="shared" si="10"/>
        <v>0</v>
      </c>
      <c r="AC11" s="5">
        <f t="shared" si="11"/>
        <v>0</v>
      </c>
      <c r="AD11" s="38">
        <f t="shared" si="12"/>
        <v>0</v>
      </c>
      <c r="AF11" s="5">
        <f t="shared" si="86"/>
        <v>0</v>
      </c>
      <c r="AG11" s="5">
        <f t="shared" si="13"/>
        <v>0</v>
      </c>
      <c r="AH11" s="5">
        <f t="shared" si="14"/>
        <v>0</v>
      </c>
      <c r="AI11" s="38">
        <f t="shared" si="15"/>
        <v>0</v>
      </c>
      <c r="AK11" s="38">
        <f t="shared" si="87"/>
        <v>0</v>
      </c>
      <c r="AL11" s="38">
        <f t="shared" si="16"/>
        <v>0</v>
      </c>
      <c r="AM11" s="5">
        <f t="shared" si="17"/>
        <v>0</v>
      </c>
      <c r="AN11" s="38"/>
      <c r="AP11" s="38">
        <f t="shared" si="88"/>
        <v>0</v>
      </c>
      <c r="AQ11" s="38">
        <f t="shared" si="18"/>
        <v>0</v>
      </c>
      <c r="AR11" s="5">
        <f t="shared" si="19"/>
        <v>0</v>
      </c>
      <c r="AS11" s="38">
        <f t="shared" si="20"/>
        <v>0</v>
      </c>
      <c r="AT11" s="5"/>
      <c r="AU11" s="38">
        <f t="shared" si="89"/>
        <v>0</v>
      </c>
      <c r="AV11" s="38">
        <f t="shared" si="21"/>
        <v>0</v>
      </c>
      <c r="AW11" s="5">
        <f t="shared" si="22"/>
        <v>0</v>
      </c>
      <c r="AX11" s="38">
        <f t="shared" si="23"/>
        <v>0</v>
      </c>
      <c r="AY11" s="5"/>
      <c r="AZ11" s="38">
        <f t="shared" si="90"/>
        <v>0</v>
      </c>
      <c r="BA11" s="38">
        <f t="shared" si="24"/>
        <v>0</v>
      </c>
      <c r="BB11" s="5">
        <f t="shared" si="25"/>
        <v>0</v>
      </c>
      <c r="BC11" s="38">
        <f t="shared" si="26"/>
        <v>0</v>
      </c>
      <c r="BD11" s="5"/>
      <c r="BE11" s="38">
        <f>B11*$BF$6</f>
        <v>0</v>
      </c>
      <c r="BF11" s="38">
        <f t="shared" si="27"/>
        <v>0</v>
      </c>
      <c r="BG11" s="5">
        <f t="shared" si="28"/>
        <v>0</v>
      </c>
      <c r="BH11" s="38"/>
      <c r="BI11" s="5"/>
      <c r="BJ11" s="38">
        <f t="shared" si="91"/>
        <v>0</v>
      </c>
      <c r="BK11" s="38">
        <f t="shared" si="29"/>
        <v>0</v>
      </c>
      <c r="BL11" s="5">
        <f t="shared" si="30"/>
        <v>0</v>
      </c>
      <c r="BM11" s="38">
        <f t="shared" si="31"/>
        <v>0</v>
      </c>
      <c r="BN11" s="5"/>
      <c r="BO11" s="5">
        <f t="shared" si="92"/>
        <v>0</v>
      </c>
      <c r="BP11" s="5">
        <f t="shared" si="32"/>
        <v>0</v>
      </c>
      <c r="BQ11" s="5">
        <f t="shared" si="33"/>
        <v>0</v>
      </c>
      <c r="BR11" s="38">
        <f t="shared" si="34"/>
        <v>0</v>
      </c>
      <c r="BS11" s="5"/>
      <c r="BT11" s="38">
        <f t="shared" si="93"/>
        <v>0</v>
      </c>
      <c r="BU11" s="38">
        <f t="shared" si="35"/>
        <v>0</v>
      </c>
      <c r="BV11" s="5">
        <f t="shared" si="36"/>
        <v>0</v>
      </c>
      <c r="BW11" s="38">
        <f t="shared" si="37"/>
        <v>0</v>
      </c>
      <c r="BX11" s="5"/>
      <c r="BY11" s="38">
        <f t="shared" si="94"/>
        <v>0</v>
      </c>
      <c r="BZ11" s="38">
        <f t="shared" si="38"/>
        <v>0</v>
      </c>
      <c r="CA11" s="5">
        <f t="shared" si="39"/>
        <v>0</v>
      </c>
      <c r="CB11" s="38">
        <f t="shared" si="40"/>
        <v>0</v>
      </c>
      <c r="CC11" s="5"/>
      <c r="CD11" s="5">
        <f t="shared" si="95"/>
        <v>0</v>
      </c>
      <c r="CE11" s="38">
        <f t="shared" si="41"/>
        <v>0</v>
      </c>
      <c r="CF11" s="38">
        <f t="shared" si="42"/>
        <v>0</v>
      </c>
      <c r="CG11" s="38">
        <f t="shared" si="43"/>
        <v>0</v>
      </c>
      <c r="CH11" s="5"/>
      <c r="CI11" s="5">
        <f t="shared" si="96"/>
        <v>0</v>
      </c>
      <c r="CJ11" s="38">
        <f t="shared" si="44"/>
        <v>0</v>
      </c>
      <c r="CK11" s="38">
        <f t="shared" si="45"/>
        <v>0</v>
      </c>
      <c r="CL11" s="38">
        <f t="shared" si="46"/>
        <v>0</v>
      </c>
      <c r="CM11" s="5"/>
      <c r="CN11" s="38">
        <f t="shared" si="97"/>
        <v>0</v>
      </c>
      <c r="CO11" s="38">
        <f t="shared" si="47"/>
        <v>0</v>
      </c>
      <c r="CP11" s="5">
        <f t="shared" si="48"/>
        <v>0</v>
      </c>
      <c r="CQ11" s="38">
        <f t="shared" si="49"/>
        <v>0</v>
      </c>
      <c r="CR11" s="5"/>
      <c r="CS11" s="5">
        <f t="shared" si="98"/>
        <v>0</v>
      </c>
      <c r="CT11" s="38">
        <f t="shared" si="50"/>
        <v>0</v>
      </c>
      <c r="CU11" s="38">
        <f t="shared" si="51"/>
        <v>0</v>
      </c>
      <c r="CV11" s="38">
        <f t="shared" si="52"/>
        <v>0</v>
      </c>
      <c r="CW11" s="5"/>
      <c r="CX11" s="5">
        <f t="shared" si="99"/>
        <v>0</v>
      </c>
      <c r="CY11" s="5">
        <f t="shared" si="53"/>
        <v>0</v>
      </c>
      <c r="CZ11" s="5">
        <f t="shared" si="54"/>
        <v>0</v>
      </c>
      <c r="DA11" s="38">
        <f t="shared" si="55"/>
        <v>0</v>
      </c>
      <c r="DB11" s="5"/>
      <c r="DC11" s="38">
        <f t="shared" si="100"/>
        <v>0</v>
      </c>
      <c r="DD11" s="38">
        <f t="shared" si="56"/>
        <v>0</v>
      </c>
      <c r="DE11" s="5">
        <f t="shared" si="57"/>
        <v>0</v>
      </c>
      <c r="DF11" s="38">
        <f t="shared" si="58"/>
        <v>0</v>
      </c>
      <c r="DG11" s="5"/>
      <c r="DH11" s="38">
        <f t="shared" si="101"/>
        <v>0</v>
      </c>
      <c r="DI11" s="38">
        <f t="shared" si="59"/>
        <v>0</v>
      </c>
      <c r="DJ11" s="5">
        <f t="shared" si="60"/>
        <v>0</v>
      </c>
      <c r="DK11" s="38">
        <f t="shared" si="61"/>
        <v>0</v>
      </c>
      <c r="DL11" s="5"/>
      <c r="DM11" s="38">
        <f t="shared" si="102"/>
        <v>0</v>
      </c>
      <c r="DN11" s="38">
        <f t="shared" si="62"/>
        <v>0</v>
      </c>
      <c r="DO11" s="5">
        <f t="shared" si="63"/>
        <v>0</v>
      </c>
      <c r="DP11" s="38">
        <f t="shared" si="64"/>
        <v>0</v>
      </c>
      <c r="DQ11" s="5"/>
      <c r="DR11" s="38">
        <f t="shared" si="103"/>
        <v>0</v>
      </c>
      <c r="DS11" s="38">
        <f t="shared" si="65"/>
        <v>0</v>
      </c>
      <c r="DT11" s="5">
        <f t="shared" si="66"/>
        <v>0</v>
      </c>
      <c r="DU11" s="38">
        <f t="shared" si="67"/>
        <v>0</v>
      </c>
      <c r="DV11" s="5"/>
      <c r="DW11" s="38">
        <f t="shared" si="104"/>
        <v>0</v>
      </c>
      <c r="DX11" s="38">
        <f t="shared" si="68"/>
        <v>0</v>
      </c>
      <c r="DY11" s="5">
        <f t="shared" si="69"/>
        <v>0</v>
      </c>
      <c r="DZ11" s="38">
        <f t="shared" si="70"/>
        <v>0</v>
      </c>
      <c r="EA11" s="5"/>
      <c r="EB11" s="5">
        <f t="shared" si="105"/>
        <v>0</v>
      </c>
      <c r="EC11" s="38">
        <f t="shared" si="71"/>
        <v>0</v>
      </c>
      <c r="ED11" s="38">
        <f t="shared" si="72"/>
        <v>0</v>
      </c>
      <c r="EE11" s="38">
        <f t="shared" si="73"/>
        <v>0</v>
      </c>
      <c r="EF11" s="5"/>
      <c r="EG11" s="5">
        <f t="shared" si="106"/>
        <v>0</v>
      </c>
      <c r="EH11" s="38">
        <f t="shared" si="74"/>
        <v>0</v>
      </c>
      <c r="EI11" s="38">
        <f t="shared" si="75"/>
        <v>0</v>
      </c>
      <c r="EJ11" s="38">
        <f t="shared" si="76"/>
        <v>0</v>
      </c>
      <c r="EK11" s="5"/>
      <c r="EL11" s="38">
        <f t="shared" si="107"/>
        <v>0</v>
      </c>
      <c r="EM11" s="38">
        <f t="shared" si="77"/>
        <v>0</v>
      </c>
      <c r="EN11" s="5">
        <f t="shared" si="78"/>
        <v>0</v>
      </c>
      <c r="EO11" s="38">
        <f t="shared" si="79"/>
        <v>0</v>
      </c>
      <c r="EP11" s="5"/>
      <c r="EQ11" s="38">
        <f t="shared" si="108"/>
        <v>0</v>
      </c>
      <c r="ER11" s="38">
        <f t="shared" si="80"/>
        <v>0</v>
      </c>
      <c r="ES11" s="5">
        <f t="shared" si="81"/>
        <v>0</v>
      </c>
      <c r="ET11" s="38">
        <f t="shared" si="82"/>
        <v>0</v>
      </c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</row>
    <row r="12" spans="1:193" ht="12.75">
      <c r="A12" s="40">
        <v>44835</v>
      </c>
      <c r="B12" s="76"/>
      <c r="C12" s="76"/>
      <c r="D12" s="37">
        <f t="shared" si="0"/>
        <v>0</v>
      </c>
      <c r="E12" s="37"/>
      <c r="G12" s="38">
        <f>'Academic Project '!H12</f>
        <v>0</v>
      </c>
      <c r="H12" s="38">
        <f>'Academic Project '!I12</f>
        <v>0</v>
      </c>
      <c r="I12" s="38">
        <f t="shared" si="1"/>
        <v>0</v>
      </c>
      <c r="J12" s="38">
        <f>'Academic Project '!K12</f>
        <v>0</v>
      </c>
      <c r="L12" s="38"/>
      <c r="M12" s="37">
        <f t="shared" si="2"/>
        <v>0</v>
      </c>
      <c r="N12" s="5">
        <f t="shared" si="3"/>
        <v>0</v>
      </c>
      <c r="O12" s="37">
        <f t="shared" si="2"/>
        <v>0</v>
      </c>
      <c r="Q12" s="38"/>
      <c r="R12" s="38">
        <f t="shared" si="4"/>
        <v>0</v>
      </c>
      <c r="S12" s="5">
        <f t="shared" si="5"/>
        <v>0</v>
      </c>
      <c r="T12" s="38">
        <f t="shared" si="6"/>
        <v>0</v>
      </c>
      <c r="W12" s="38">
        <f t="shared" si="7"/>
        <v>0</v>
      </c>
      <c r="X12" s="38">
        <f t="shared" si="8"/>
        <v>0</v>
      </c>
      <c r="Y12" s="38">
        <f t="shared" si="9"/>
        <v>0</v>
      </c>
      <c r="AB12" s="5">
        <f t="shared" si="10"/>
        <v>0</v>
      </c>
      <c r="AC12" s="5">
        <f t="shared" si="11"/>
        <v>0</v>
      </c>
      <c r="AD12" s="38">
        <f t="shared" si="12"/>
        <v>0</v>
      </c>
      <c r="AG12" s="5">
        <f t="shared" si="13"/>
        <v>0</v>
      </c>
      <c r="AH12" s="5">
        <f t="shared" si="14"/>
        <v>0</v>
      </c>
      <c r="AI12" s="38">
        <f t="shared" si="15"/>
        <v>0</v>
      </c>
      <c r="AK12" s="38"/>
      <c r="AL12" s="38">
        <f t="shared" si="16"/>
        <v>0</v>
      </c>
      <c r="AM12" s="5">
        <f t="shared" si="17"/>
        <v>0</v>
      </c>
      <c r="AN12" s="38"/>
      <c r="AP12" s="38"/>
      <c r="AQ12" s="38">
        <f t="shared" si="18"/>
        <v>0</v>
      </c>
      <c r="AR12" s="5">
        <f t="shared" si="19"/>
        <v>0</v>
      </c>
      <c r="AS12" s="38">
        <f t="shared" si="20"/>
        <v>0</v>
      </c>
      <c r="AT12" s="5"/>
      <c r="AU12" s="38"/>
      <c r="AV12" s="38">
        <f t="shared" si="21"/>
        <v>0</v>
      </c>
      <c r="AW12" s="5">
        <f t="shared" si="22"/>
        <v>0</v>
      </c>
      <c r="AX12" s="38">
        <f t="shared" si="23"/>
        <v>0</v>
      </c>
      <c r="AY12" s="5"/>
      <c r="AZ12" s="38"/>
      <c r="BA12" s="38">
        <f t="shared" si="24"/>
        <v>0</v>
      </c>
      <c r="BB12" s="5">
        <f t="shared" si="25"/>
        <v>0</v>
      </c>
      <c r="BC12" s="38">
        <f t="shared" si="26"/>
        <v>0</v>
      </c>
      <c r="BD12" s="5"/>
      <c r="BE12" s="38"/>
      <c r="BF12" s="38">
        <f t="shared" si="27"/>
        <v>0</v>
      </c>
      <c r="BG12" s="5">
        <f t="shared" si="28"/>
        <v>0</v>
      </c>
      <c r="BH12" s="38"/>
      <c r="BI12" s="5"/>
      <c r="BJ12" s="38"/>
      <c r="BK12" s="38">
        <f t="shared" si="29"/>
        <v>0</v>
      </c>
      <c r="BL12" s="5">
        <f t="shared" si="30"/>
        <v>0</v>
      </c>
      <c r="BM12" s="38">
        <f t="shared" si="31"/>
        <v>0</v>
      </c>
      <c r="BN12" s="5"/>
      <c r="BO12" s="5"/>
      <c r="BP12" s="5">
        <f t="shared" si="32"/>
        <v>0</v>
      </c>
      <c r="BQ12" s="5">
        <f t="shared" si="33"/>
        <v>0</v>
      </c>
      <c r="BR12" s="38">
        <f t="shared" si="34"/>
        <v>0</v>
      </c>
      <c r="BS12" s="5"/>
      <c r="BT12" s="38"/>
      <c r="BU12" s="38">
        <f t="shared" si="35"/>
        <v>0</v>
      </c>
      <c r="BV12" s="5">
        <f t="shared" si="36"/>
        <v>0</v>
      </c>
      <c r="BW12" s="38">
        <f t="shared" si="37"/>
        <v>0</v>
      </c>
      <c r="BX12" s="5"/>
      <c r="BY12" s="38"/>
      <c r="BZ12" s="38">
        <f t="shared" si="38"/>
        <v>0</v>
      </c>
      <c r="CA12" s="5">
        <f t="shared" si="39"/>
        <v>0</v>
      </c>
      <c r="CB12" s="38">
        <f t="shared" si="40"/>
        <v>0</v>
      </c>
      <c r="CC12" s="5"/>
      <c r="CD12" s="5"/>
      <c r="CE12" s="38">
        <f t="shared" si="41"/>
        <v>0</v>
      </c>
      <c r="CF12" s="38">
        <f t="shared" si="42"/>
        <v>0</v>
      </c>
      <c r="CG12" s="38">
        <f t="shared" si="43"/>
        <v>0</v>
      </c>
      <c r="CH12" s="5"/>
      <c r="CI12" s="5"/>
      <c r="CJ12" s="38">
        <f t="shared" si="44"/>
        <v>0</v>
      </c>
      <c r="CK12" s="38">
        <f t="shared" si="45"/>
        <v>0</v>
      </c>
      <c r="CL12" s="38">
        <f t="shared" si="46"/>
        <v>0</v>
      </c>
      <c r="CM12" s="5"/>
      <c r="CN12" s="38"/>
      <c r="CO12" s="38">
        <f t="shared" si="47"/>
        <v>0</v>
      </c>
      <c r="CP12" s="5">
        <f t="shared" si="48"/>
        <v>0</v>
      </c>
      <c r="CQ12" s="38">
        <f t="shared" si="49"/>
        <v>0</v>
      </c>
      <c r="CR12" s="5"/>
      <c r="CS12" s="5"/>
      <c r="CT12" s="38">
        <f t="shared" si="50"/>
        <v>0</v>
      </c>
      <c r="CU12" s="38">
        <f t="shared" si="51"/>
        <v>0</v>
      </c>
      <c r="CV12" s="38">
        <f t="shared" si="52"/>
        <v>0</v>
      </c>
      <c r="CW12" s="5"/>
      <c r="CX12" s="5"/>
      <c r="CY12" s="5">
        <f t="shared" si="53"/>
        <v>0</v>
      </c>
      <c r="CZ12" s="5">
        <f t="shared" si="54"/>
        <v>0</v>
      </c>
      <c r="DA12" s="38">
        <f t="shared" si="55"/>
        <v>0</v>
      </c>
      <c r="DB12" s="5"/>
      <c r="DC12" s="38"/>
      <c r="DD12" s="38">
        <f t="shared" si="56"/>
        <v>0</v>
      </c>
      <c r="DE12" s="5">
        <f t="shared" si="57"/>
        <v>0</v>
      </c>
      <c r="DF12" s="38">
        <f t="shared" si="58"/>
        <v>0</v>
      </c>
      <c r="DG12" s="5"/>
      <c r="DH12" s="38"/>
      <c r="DI12" s="38">
        <f t="shared" si="59"/>
        <v>0</v>
      </c>
      <c r="DJ12" s="5">
        <f t="shared" si="60"/>
        <v>0</v>
      </c>
      <c r="DK12" s="38">
        <f t="shared" si="61"/>
        <v>0</v>
      </c>
      <c r="DL12" s="5"/>
      <c r="DM12" s="38"/>
      <c r="DN12" s="38">
        <f t="shared" si="62"/>
        <v>0</v>
      </c>
      <c r="DO12" s="5">
        <f t="shared" si="63"/>
        <v>0</v>
      </c>
      <c r="DP12" s="38">
        <f t="shared" si="64"/>
        <v>0</v>
      </c>
      <c r="DQ12" s="5"/>
      <c r="DR12" s="38"/>
      <c r="DS12" s="38">
        <f t="shared" si="65"/>
        <v>0</v>
      </c>
      <c r="DT12" s="5">
        <f t="shared" si="66"/>
        <v>0</v>
      </c>
      <c r="DU12" s="38">
        <f t="shared" si="67"/>
        <v>0</v>
      </c>
      <c r="DV12" s="5"/>
      <c r="DW12" s="38"/>
      <c r="DX12" s="38">
        <f t="shared" si="68"/>
        <v>0</v>
      </c>
      <c r="DY12" s="5">
        <f t="shared" si="69"/>
        <v>0</v>
      </c>
      <c r="DZ12" s="38">
        <f t="shared" si="70"/>
        <v>0</v>
      </c>
      <c r="EA12" s="5"/>
      <c r="EB12" s="5"/>
      <c r="EC12" s="38">
        <f t="shared" si="71"/>
        <v>0</v>
      </c>
      <c r="ED12" s="38">
        <f t="shared" si="72"/>
        <v>0</v>
      </c>
      <c r="EE12" s="38">
        <f t="shared" si="73"/>
        <v>0</v>
      </c>
      <c r="EF12" s="5"/>
      <c r="EG12" s="5"/>
      <c r="EH12" s="38">
        <f t="shared" si="74"/>
        <v>0</v>
      </c>
      <c r="EI12" s="38">
        <f t="shared" si="75"/>
        <v>0</v>
      </c>
      <c r="EJ12" s="38">
        <f t="shared" si="76"/>
        <v>0</v>
      </c>
      <c r="EK12" s="5"/>
      <c r="EL12" s="38"/>
      <c r="EM12" s="38">
        <f t="shared" si="77"/>
        <v>0</v>
      </c>
      <c r="EN12" s="5">
        <f t="shared" si="78"/>
        <v>0</v>
      </c>
      <c r="EO12" s="38">
        <f t="shared" si="79"/>
        <v>0</v>
      </c>
      <c r="EP12" s="5"/>
      <c r="EQ12" s="38"/>
      <c r="ER12" s="38">
        <f t="shared" si="80"/>
        <v>0</v>
      </c>
      <c r="ES12" s="5">
        <f t="shared" si="81"/>
        <v>0</v>
      </c>
      <c r="ET12" s="38">
        <f t="shared" si="82"/>
        <v>0</v>
      </c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</row>
    <row r="13" spans="1:193" ht="12.75">
      <c r="A13" s="40">
        <v>45017</v>
      </c>
      <c r="B13" s="76"/>
      <c r="C13" s="76"/>
      <c r="D13" s="37">
        <f t="shared" si="0"/>
        <v>0</v>
      </c>
      <c r="E13" s="37"/>
      <c r="G13" s="38">
        <f>'Academic Project '!H13</f>
        <v>0</v>
      </c>
      <c r="H13" s="38">
        <f>'Academic Project '!I13</f>
        <v>0</v>
      </c>
      <c r="I13" s="38">
        <f t="shared" si="1"/>
        <v>0</v>
      </c>
      <c r="J13" s="38">
        <f>'Academic Project '!K13</f>
        <v>0</v>
      </c>
      <c r="L13" s="38">
        <f>Q13+V13+AA13+AK13+AP13+AU13+BJ13+BO13+BT13+CD13+CN13+CS13+CX13+DC13+DH13+DM13+DR13+DW13+EB13+EG13+EL13+EQ13+EV13+AF13+AZ13+BY13+CI13+BE13</f>
        <v>0</v>
      </c>
      <c r="M13" s="37">
        <f t="shared" si="2"/>
        <v>0</v>
      </c>
      <c r="N13" s="5">
        <f t="shared" si="3"/>
        <v>0</v>
      </c>
      <c r="O13" s="37">
        <f t="shared" si="2"/>
        <v>0</v>
      </c>
      <c r="Q13" s="38">
        <f t="shared" si="83"/>
        <v>0</v>
      </c>
      <c r="R13" s="38">
        <f t="shared" si="4"/>
        <v>0</v>
      </c>
      <c r="S13" s="5">
        <f t="shared" si="5"/>
        <v>0</v>
      </c>
      <c r="T13" s="38">
        <f t="shared" si="6"/>
        <v>0</v>
      </c>
      <c r="V13" s="5">
        <f t="shared" si="84"/>
        <v>0</v>
      </c>
      <c r="W13" s="38">
        <f t="shared" si="7"/>
        <v>0</v>
      </c>
      <c r="X13" s="38">
        <f t="shared" si="8"/>
        <v>0</v>
      </c>
      <c r="Y13" s="38">
        <f t="shared" si="9"/>
        <v>0</v>
      </c>
      <c r="AA13" s="5">
        <f t="shared" si="85"/>
        <v>0</v>
      </c>
      <c r="AB13" s="5">
        <f t="shared" si="10"/>
        <v>0</v>
      </c>
      <c r="AC13" s="5">
        <f t="shared" si="11"/>
        <v>0</v>
      </c>
      <c r="AD13" s="38">
        <f t="shared" si="12"/>
        <v>0</v>
      </c>
      <c r="AF13" s="5">
        <f t="shared" si="86"/>
        <v>0</v>
      </c>
      <c r="AG13" s="5">
        <f t="shared" si="13"/>
        <v>0</v>
      </c>
      <c r="AH13" s="5">
        <f t="shared" si="14"/>
        <v>0</v>
      </c>
      <c r="AI13" s="38">
        <f t="shared" si="15"/>
        <v>0</v>
      </c>
      <c r="AK13" s="38">
        <f t="shared" si="87"/>
        <v>0</v>
      </c>
      <c r="AL13" s="38">
        <f t="shared" si="16"/>
        <v>0</v>
      </c>
      <c r="AM13" s="5">
        <f t="shared" si="17"/>
        <v>0</v>
      </c>
      <c r="AN13" s="38"/>
      <c r="AP13" s="38">
        <f t="shared" si="88"/>
        <v>0</v>
      </c>
      <c r="AQ13" s="38">
        <f t="shared" si="18"/>
        <v>0</v>
      </c>
      <c r="AR13" s="5">
        <f t="shared" si="19"/>
        <v>0</v>
      </c>
      <c r="AS13" s="38">
        <f t="shared" si="20"/>
        <v>0</v>
      </c>
      <c r="AT13" s="5"/>
      <c r="AU13" s="38">
        <f t="shared" si="89"/>
        <v>0</v>
      </c>
      <c r="AV13" s="38">
        <f t="shared" si="21"/>
        <v>0</v>
      </c>
      <c r="AW13" s="5">
        <f t="shared" si="22"/>
        <v>0</v>
      </c>
      <c r="AX13" s="38">
        <f t="shared" si="23"/>
        <v>0</v>
      </c>
      <c r="AY13" s="5"/>
      <c r="AZ13" s="38">
        <f t="shared" si="90"/>
        <v>0</v>
      </c>
      <c r="BA13" s="38">
        <f t="shared" si="24"/>
        <v>0</v>
      </c>
      <c r="BB13" s="5">
        <f t="shared" si="25"/>
        <v>0</v>
      </c>
      <c r="BC13" s="38">
        <f t="shared" si="26"/>
        <v>0</v>
      </c>
      <c r="BD13" s="5"/>
      <c r="BE13" s="38">
        <f>B13*$BF$6</f>
        <v>0</v>
      </c>
      <c r="BF13" s="38">
        <f t="shared" si="27"/>
        <v>0</v>
      </c>
      <c r="BG13" s="5">
        <f t="shared" si="28"/>
        <v>0</v>
      </c>
      <c r="BH13" s="38"/>
      <c r="BI13" s="5"/>
      <c r="BJ13" s="38">
        <f t="shared" si="91"/>
        <v>0</v>
      </c>
      <c r="BK13" s="38">
        <f t="shared" si="29"/>
        <v>0</v>
      </c>
      <c r="BL13" s="5">
        <f t="shared" si="30"/>
        <v>0</v>
      </c>
      <c r="BM13" s="38">
        <f t="shared" si="31"/>
        <v>0</v>
      </c>
      <c r="BN13" s="5"/>
      <c r="BO13" s="5">
        <f t="shared" si="92"/>
        <v>0</v>
      </c>
      <c r="BP13" s="5">
        <f t="shared" si="32"/>
        <v>0</v>
      </c>
      <c r="BQ13" s="5">
        <f t="shared" si="33"/>
        <v>0</v>
      </c>
      <c r="BR13" s="38">
        <f t="shared" si="34"/>
        <v>0</v>
      </c>
      <c r="BS13" s="5"/>
      <c r="BT13" s="38">
        <f t="shared" si="93"/>
        <v>0</v>
      </c>
      <c r="BU13" s="38">
        <f t="shared" si="35"/>
        <v>0</v>
      </c>
      <c r="BV13" s="5">
        <f t="shared" si="36"/>
        <v>0</v>
      </c>
      <c r="BW13" s="38">
        <f t="shared" si="37"/>
        <v>0</v>
      </c>
      <c r="BX13" s="5"/>
      <c r="BY13" s="38">
        <f t="shared" si="94"/>
        <v>0</v>
      </c>
      <c r="BZ13" s="38">
        <f t="shared" si="38"/>
        <v>0</v>
      </c>
      <c r="CA13" s="5">
        <f t="shared" si="39"/>
        <v>0</v>
      </c>
      <c r="CB13" s="38">
        <f t="shared" si="40"/>
        <v>0</v>
      </c>
      <c r="CC13" s="5"/>
      <c r="CD13" s="5">
        <f t="shared" si="95"/>
        <v>0</v>
      </c>
      <c r="CE13" s="38">
        <f t="shared" si="41"/>
        <v>0</v>
      </c>
      <c r="CF13" s="38">
        <f t="shared" si="42"/>
        <v>0</v>
      </c>
      <c r="CG13" s="38">
        <f t="shared" si="43"/>
        <v>0</v>
      </c>
      <c r="CH13" s="5"/>
      <c r="CI13" s="5">
        <f t="shared" si="96"/>
        <v>0</v>
      </c>
      <c r="CJ13" s="38">
        <f t="shared" si="44"/>
        <v>0</v>
      </c>
      <c r="CK13" s="38">
        <f t="shared" si="45"/>
        <v>0</v>
      </c>
      <c r="CL13" s="38">
        <f t="shared" si="46"/>
        <v>0</v>
      </c>
      <c r="CM13" s="5"/>
      <c r="CN13" s="38">
        <f t="shared" si="97"/>
        <v>0</v>
      </c>
      <c r="CO13" s="38">
        <f t="shared" si="47"/>
        <v>0</v>
      </c>
      <c r="CP13" s="5">
        <f t="shared" si="48"/>
        <v>0</v>
      </c>
      <c r="CQ13" s="38">
        <f t="shared" si="49"/>
        <v>0</v>
      </c>
      <c r="CR13" s="5"/>
      <c r="CS13" s="5">
        <f t="shared" si="98"/>
        <v>0</v>
      </c>
      <c r="CT13" s="38">
        <f t="shared" si="50"/>
        <v>0</v>
      </c>
      <c r="CU13" s="38">
        <f t="shared" si="51"/>
        <v>0</v>
      </c>
      <c r="CV13" s="38">
        <f t="shared" si="52"/>
        <v>0</v>
      </c>
      <c r="CW13" s="5"/>
      <c r="CX13" s="5">
        <f t="shared" si="99"/>
        <v>0</v>
      </c>
      <c r="CY13" s="5">
        <f t="shared" si="53"/>
        <v>0</v>
      </c>
      <c r="CZ13" s="5">
        <f t="shared" si="54"/>
        <v>0</v>
      </c>
      <c r="DA13" s="38">
        <f t="shared" si="55"/>
        <v>0</v>
      </c>
      <c r="DB13" s="5"/>
      <c r="DC13" s="38">
        <f t="shared" si="100"/>
        <v>0</v>
      </c>
      <c r="DD13" s="38">
        <f t="shared" si="56"/>
        <v>0</v>
      </c>
      <c r="DE13" s="5">
        <f t="shared" si="57"/>
        <v>0</v>
      </c>
      <c r="DF13" s="38">
        <f t="shared" si="58"/>
        <v>0</v>
      </c>
      <c r="DG13" s="5"/>
      <c r="DH13" s="38">
        <f t="shared" si="101"/>
        <v>0</v>
      </c>
      <c r="DI13" s="38">
        <f t="shared" si="59"/>
        <v>0</v>
      </c>
      <c r="DJ13" s="5">
        <f t="shared" si="60"/>
        <v>0</v>
      </c>
      <c r="DK13" s="38">
        <f t="shared" si="61"/>
        <v>0</v>
      </c>
      <c r="DL13" s="5"/>
      <c r="DM13" s="38">
        <f t="shared" si="102"/>
        <v>0</v>
      </c>
      <c r="DN13" s="38">
        <f t="shared" si="62"/>
        <v>0</v>
      </c>
      <c r="DO13" s="5">
        <f t="shared" si="63"/>
        <v>0</v>
      </c>
      <c r="DP13" s="38">
        <f t="shared" si="64"/>
        <v>0</v>
      </c>
      <c r="DQ13" s="5"/>
      <c r="DR13" s="38">
        <f t="shared" si="103"/>
        <v>0</v>
      </c>
      <c r="DS13" s="38">
        <f t="shared" si="65"/>
        <v>0</v>
      </c>
      <c r="DT13" s="5">
        <f t="shared" si="66"/>
        <v>0</v>
      </c>
      <c r="DU13" s="38">
        <f t="shared" si="67"/>
        <v>0</v>
      </c>
      <c r="DV13" s="5"/>
      <c r="DW13" s="38">
        <f t="shared" si="104"/>
        <v>0</v>
      </c>
      <c r="DX13" s="38">
        <f t="shared" si="68"/>
        <v>0</v>
      </c>
      <c r="DY13" s="5">
        <f t="shared" si="69"/>
        <v>0</v>
      </c>
      <c r="DZ13" s="38">
        <f t="shared" si="70"/>
        <v>0</v>
      </c>
      <c r="EA13" s="5"/>
      <c r="EB13" s="5">
        <f t="shared" si="105"/>
        <v>0</v>
      </c>
      <c r="EC13" s="38">
        <f t="shared" si="71"/>
        <v>0</v>
      </c>
      <c r="ED13" s="38">
        <f t="shared" si="72"/>
        <v>0</v>
      </c>
      <c r="EE13" s="38">
        <f t="shared" si="73"/>
        <v>0</v>
      </c>
      <c r="EF13" s="5"/>
      <c r="EG13" s="5">
        <f t="shared" si="106"/>
        <v>0</v>
      </c>
      <c r="EH13" s="38">
        <f t="shared" si="74"/>
        <v>0</v>
      </c>
      <c r="EI13" s="38">
        <f t="shared" si="75"/>
        <v>0</v>
      </c>
      <c r="EJ13" s="38">
        <f t="shared" si="76"/>
        <v>0</v>
      </c>
      <c r="EK13" s="5"/>
      <c r="EL13" s="38">
        <f t="shared" si="107"/>
        <v>0</v>
      </c>
      <c r="EM13" s="38">
        <f t="shared" si="77"/>
        <v>0</v>
      </c>
      <c r="EN13" s="5">
        <f t="shared" si="78"/>
        <v>0</v>
      </c>
      <c r="EO13" s="38">
        <f t="shared" si="79"/>
        <v>0</v>
      </c>
      <c r="EP13" s="5"/>
      <c r="EQ13" s="38">
        <f t="shared" si="108"/>
        <v>0</v>
      </c>
      <c r="ER13" s="38">
        <f t="shared" si="80"/>
        <v>0</v>
      </c>
      <c r="ES13" s="5">
        <f t="shared" si="81"/>
        <v>0</v>
      </c>
      <c r="ET13" s="38">
        <f t="shared" si="82"/>
        <v>0</v>
      </c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ht="12.75">
      <c r="A14" s="40">
        <v>45200</v>
      </c>
      <c r="B14" s="76"/>
      <c r="C14" s="76"/>
      <c r="D14" s="37">
        <f t="shared" si="0"/>
        <v>0</v>
      </c>
      <c r="E14" s="37"/>
      <c r="G14" s="38">
        <f>'Academic Project '!H14</f>
        <v>0</v>
      </c>
      <c r="H14" s="38">
        <f>'Academic Project '!I14</f>
        <v>0</v>
      </c>
      <c r="I14" s="38">
        <f t="shared" si="1"/>
        <v>0</v>
      </c>
      <c r="J14" s="38">
        <f>'Academic Project '!K14</f>
        <v>0</v>
      </c>
      <c r="L14" s="38"/>
      <c r="M14" s="37">
        <f t="shared" si="2"/>
        <v>0</v>
      </c>
      <c r="N14" s="5">
        <f t="shared" si="3"/>
        <v>0</v>
      </c>
      <c r="O14" s="37">
        <f t="shared" si="2"/>
        <v>0</v>
      </c>
      <c r="Q14" s="38"/>
      <c r="R14" s="38">
        <f t="shared" si="4"/>
        <v>0</v>
      </c>
      <c r="S14" s="5">
        <f t="shared" si="5"/>
        <v>0</v>
      </c>
      <c r="T14" s="38">
        <f t="shared" si="6"/>
        <v>0</v>
      </c>
      <c r="W14" s="38">
        <f t="shared" si="7"/>
        <v>0</v>
      </c>
      <c r="X14" s="38">
        <f t="shared" si="8"/>
        <v>0</v>
      </c>
      <c r="Y14" s="38">
        <f t="shared" si="9"/>
        <v>0</v>
      </c>
      <c r="AB14" s="5">
        <f t="shared" si="10"/>
        <v>0</v>
      </c>
      <c r="AC14" s="5">
        <f t="shared" si="11"/>
        <v>0</v>
      </c>
      <c r="AD14" s="38">
        <f t="shared" si="12"/>
        <v>0</v>
      </c>
      <c r="AG14" s="5">
        <f t="shared" si="13"/>
        <v>0</v>
      </c>
      <c r="AH14" s="5">
        <f t="shared" si="14"/>
        <v>0</v>
      </c>
      <c r="AI14" s="38">
        <f t="shared" si="15"/>
        <v>0</v>
      </c>
      <c r="AK14" s="38"/>
      <c r="AL14" s="38">
        <f t="shared" si="16"/>
        <v>0</v>
      </c>
      <c r="AM14" s="5">
        <f t="shared" si="17"/>
        <v>0</v>
      </c>
      <c r="AN14" s="38"/>
      <c r="AP14" s="38"/>
      <c r="AQ14" s="38">
        <f t="shared" si="18"/>
        <v>0</v>
      </c>
      <c r="AR14" s="5">
        <f t="shared" si="19"/>
        <v>0</v>
      </c>
      <c r="AS14" s="38">
        <f t="shared" si="20"/>
        <v>0</v>
      </c>
      <c r="AT14" s="5"/>
      <c r="AU14" s="38"/>
      <c r="AV14" s="38">
        <f t="shared" si="21"/>
        <v>0</v>
      </c>
      <c r="AW14" s="5">
        <f t="shared" si="22"/>
        <v>0</v>
      </c>
      <c r="AX14" s="38">
        <f t="shared" si="23"/>
        <v>0</v>
      </c>
      <c r="AY14" s="5"/>
      <c r="AZ14" s="38"/>
      <c r="BA14" s="38">
        <f t="shared" si="24"/>
        <v>0</v>
      </c>
      <c r="BB14" s="5">
        <f t="shared" si="25"/>
        <v>0</v>
      </c>
      <c r="BC14" s="38">
        <f t="shared" si="26"/>
        <v>0</v>
      </c>
      <c r="BD14" s="5"/>
      <c r="BE14" s="38"/>
      <c r="BF14" s="38">
        <f t="shared" si="27"/>
        <v>0</v>
      </c>
      <c r="BG14" s="5">
        <f t="shared" si="28"/>
        <v>0</v>
      </c>
      <c r="BH14" s="38"/>
      <c r="BI14" s="5"/>
      <c r="BJ14" s="38"/>
      <c r="BK14" s="38">
        <f t="shared" si="29"/>
        <v>0</v>
      </c>
      <c r="BL14" s="5">
        <f t="shared" si="30"/>
        <v>0</v>
      </c>
      <c r="BM14" s="38">
        <f t="shared" si="31"/>
        <v>0</v>
      </c>
      <c r="BN14" s="5"/>
      <c r="BO14" s="5"/>
      <c r="BP14" s="5">
        <f t="shared" si="32"/>
        <v>0</v>
      </c>
      <c r="BQ14" s="5">
        <f t="shared" si="33"/>
        <v>0</v>
      </c>
      <c r="BR14" s="38">
        <f t="shared" si="34"/>
        <v>0</v>
      </c>
      <c r="BS14" s="5"/>
      <c r="BT14" s="38"/>
      <c r="BU14" s="38">
        <f t="shared" si="35"/>
        <v>0</v>
      </c>
      <c r="BV14" s="5">
        <f t="shared" si="36"/>
        <v>0</v>
      </c>
      <c r="BW14" s="38">
        <f t="shared" si="37"/>
        <v>0</v>
      </c>
      <c r="BX14" s="5"/>
      <c r="BY14" s="38"/>
      <c r="BZ14" s="38">
        <f t="shared" si="38"/>
        <v>0</v>
      </c>
      <c r="CA14" s="5">
        <f t="shared" si="39"/>
        <v>0</v>
      </c>
      <c r="CB14" s="38">
        <f t="shared" si="40"/>
        <v>0</v>
      </c>
      <c r="CC14" s="5"/>
      <c r="CD14" s="5"/>
      <c r="CE14" s="38">
        <f t="shared" si="41"/>
        <v>0</v>
      </c>
      <c r="CF14" s="38">
        <f t="shared" si="42"/>
        <v>0</v>
      </c>
      <c r="CG14" s="38">
        <f t="shared" si="43"/>
        <v>0</v>
      </c>
      <c r="CH14" s="5"/>
      <c r="CI14" s="5"/>
      <c r="CJ14" s="38">
        <f t="shared" si="44"/>
        <v>0</v>
      </c>
      <c r="CK14" s="38">
        <f t="shared" si="45"/>
        <v>0</v>
      </c>
      <c r="CL14" s="38">
        <f t="shared" si="46"/>
        <v>0</v>
      </c>
      <c r="CM14" s="5"/>
      <c r="CN14" s="38"/>
      <c r="CO14" s="38">
        <f t="shared" si="47"/>
        <v>0</v>
      </c>
      <c r="CP14" s="5">
        <f t="shared" si="48"/>
        <v>0</v>
      </c>
      <c r="CQ14" s="38">
        <f t="shared" si="49"/>
        <v>0</v>
      </c>
      <c r="CR14" s="5"/>
      <c r="CS14" s="5"/>
      <c r="CT14" s="38">
        <f t="shared" si="50"/>
        <v>0</v>
      </c>
      <c r="CU14" s="38">
        <f t="shared" si="51"/>
        <v>0</v>
      </c>
      <c r="CV14" s="38">
        <f t="shared" si="52"/>
        <v>0</v>
      </c>
      <c r="CW14" s="5"/>
      <c r="CX14" s="5"/>
      <c r="CY14" s="5">
        <f t="shared" si="53"/>
        <v>0</v>
      </c>
      <c r="CZ14" s="5">
        <f t="shared" si="54"/>
        <v>0</v>
      </c>
      <c r="DA14" s="38">
        <f t="shared" si="55"/>
        <v>0</v>
      </c>
      <c r="DB14" s="5"/>
      <c r="DC14" s="38"/>
      <c r="DD14" s="38">
        <f t="shared" si="56"/>
        <v>0</v>
      </c>
      <c r="DE14" s="5">
        <f t="shared" si="57"/>
        <v>0</v>
      </c>
      <c r="DF14" s="38">
        <f t="shared" si="58"/>
        <v>0</v>
      </c>
      <c r="DG14" s="5"/>
      <c r="DH14" s="38"/>
      <c r="DI14" s="38">
        <f t="shared" si="59"/>
        <v>0</v>
      </c>
      <c r="DJ14" s="5">
        <f t="shared" si="60"/>
        <v>0</v>
      </c>
      <c r="DK14" s="38">
        <f t="shared" si="61"/>
        <v>0</v>
      </c>
      <c r="DL14" s="5"/>
      <c r="DM14" s="38"/>
      <c r="DN14" s="38">
        <f t="shared" si="62"/>
        <v>0</v>
      </c>
      <c r="DO14" s="5">
        <f t="shared" si="63"/>
        <v>0</v>
      </c>
      <c r="DP14" s="38">
        <f t="shared" si="64"/>
        <v>0</v>
      </c>
      <c r="DQ14" s="5"/>
      <c r="DR14" s="38"/>
      <c r="DS14" s="38">
        <f t="shared" si="65"/>
        <v>0</v>
      </c>
      <c r="DT14" s="5">
        <f t="shared" si="66"/>
        <v>0</v>
      </c>
      <c r="DU14" s="38">
        <f t="shared" si="67"/>
        <v>0</v>
      </c>
      <c r="DV14" s="5"/>
      <c r="DW14" s="38"/>
      <c r="DX14" s="38">
        <f t="shared" si="68"/>
        <v>0</v>
      </c>
      <c r="DY14" s="5">
        <f t="shared" si="69"/>
        <v>0</v>
      </c>
      <c r="DZ14" s="38">
        <f t="shared" si="70"/>
        <v>0</v>
      </c>
      <c r="EA14" s="5"/>
      <c r="EB14" s="5"/>
      <c r="EC14" s="38">
        <f t="shared" si="71"/>
        <v>0</v>
      </c>
      <c r="ED14" s="38">
        <f t="shared" si="72"/>
        <v>0</v>
      </c>
      <c r="EE14" s="38">
        <f t="shared" si="73"/>
        <v>0</v>
      </c>
      <c r="EF14" s="5"/>
      <c r="EG14" s="5"/>
      <c r="EH14" s="38">
        <f t="shared" si="74"/>
        <v>0</v>
      </c>
      <c r="EI14" s="38">
        <f t="shared" si="75"/>
        <v>0</v>
      </c>
      <c r="EJ14" s="38">
        <f t="shared" si="76"/>
        <v>0</v>
      </c>
      <c r="EK14" s="5"/>
      <c r="EL14" s="38"/>
      <c r="EM14" s="38">
        <f t="shared" si="77"/>
        <v>0</v>
      </c>
      <c r="EN14" s="5">
        <f t="shared" si="78"/>
        <v>0</v>
      </c>
      <c r="EO14" s="38">
        <f t="shared" si="79"/>
        <v>0</v>
      </c>
      <c r="EP14" s="5"/>
      <c r="EQ14" s="38"/>
      <c r="ER14" s="38">
        <f t="shared" si="80"/>
        <v>0</v>
      </c>
      <c r="ES14" s="5">
        <f t="shared" si="81"/>
        <v>0</v>
      </c>
      <c r="ET14" s="38">
        <f t="shared" si="82"/>
        <v>0</v>
      </c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</row>
    <row r="15" spans="1:193" ht="12.75">
      <c r="A15" s="40">
        <v>45383</v>
      </c>
      <c r="B15" s="76"/>
      <c r="C15" s="76"/>
      <c r="D15" s="37">
        <f t="shared" si="0"/>
        <v>0</v>
      </c>
      <c r="E15" s="37"/>
      <c r="G15" s="38">
        <f>'Academic Project '!H15</f>
        <v>0</v>
      </c>
      <c r="H15" s="38">
        <f>'Academic Project '!I15</f>
        <v>0</v>
      </c>
      <c r="I15" s="38">
        <f t="shared" si="1"/>
        <v>0</v>
      </c>
      <c r="J15" s="38">
        <f>'Academic Project '!K15</f>
        <v>0</v>
      </c>
      <c r="L15" s="38">
        <f>Q15+V15+AA15+AK15+AP15+AU15+BJ15+BO15+BT15+CD15+CN15+CS15+CX15+DC15+DH15+DM15+DR15+DW15+EB15+EG15+EL15+EQ15+EV15+AF15+AZ15+BY15+CI15+BE15</f>
        <v>0</v>
      </c>
      <c r="M15" s="37">
        <f t="shared" si="2"/>
        <v>0</v>
      </c>
      <c r="N15" s="5">
        <f t="shared" si="3"/>
        <v>0</v>
      </c>
      <c r="O15" s="37">
        <f t="shared" si="2"/>
        <v>0</v>
      </c>
      <c r="Q15" s="38">
        <f t="shared" si="83"/>
        <v>0</v>
      </c>
      <c r="R15" s="38">
        <f t="shared" si="4"/>
        <v>0</v>
      </c>
      <c r="S15" s="5">
        <f t="shared" si="5"/>
        <v>0</v>
      </c>
      <c r="T15" s="38">
        <f t="shared" si="6"/>
        <v>0</v>
      </c>
      <c r="V15" s="5">
        <f t="shared" si="84"/>
        <v>0</v>
      </c>
      <c r="W15" s="38">
        <f t="shared" si="7"/>
        <v>0</v>
      </c>
      <c r="X15" s="38">
        <f t="shared" si="8"/>
        <v>0</v>
      </c>
      <c r="Y15" s="38">
        <f t="shared" si="9"/>
        <v>0</v>
      </c>
      <c r="AA15" s="5">
        <f t="shared" si="85"/>
        <v>0</v>
      </c>
      <c r="AB15" s="5">
        <f t="shared" si="10"/>
        <v>0</v>
      </c>
      <c r="AC15" s="5">
        <f t="shared" si="11"/>
        <v>0</v>
      </c>
      <c r="AD15" s="38">
        <f t="shared" si="12"/>
        <v>0</v>
      </c>
      <c r="AF15" s="5">
        <f t="shared" si="86"/>
        <v>0</v>
      </c>
      <c r="AG15" s="5">
        <f t="shared" si="13"/>
        <v>0</v>
      </c>
      <c r="AH15" s="5">
        <f t="shared" si="14"/>
        <v>0</v>
      </c>
      <c r="AI15" s="38">
        <f t="shared" si="15"/>
        <v>0</v>
      </c>
      <c r="AK15" s="38">
        <f t="shared" si="87"/>
        <v>0</v>
      </c>
      <c r="AL15" s="38">
        <f t="shared" si="16"/>
        <v>0</v>
      </c>
      <c r="AM15" s="5">
        <f t="shared" si="17"/>
        <v>0</v>
      </c>
      <c r="AN15" s="38"/>
      <c r="AP15" s="38">
        <f t="shared" si="88"/>
        <v>0</v>
      </c>
      <c r="AQ15" s="38">
        <f t="shared" si="18"/>
        <v>0</v>
      </c>
      <c r="AR15" s="5">
        <f t="shared" si="19"/>
        <v>0</v>
      </c>
      <c r="AS15" s="38">
        <f t="shared" si="20"/>
        <v>0</v>
      </c>
      <c r="AT15" s="5"/>
      <c r="AU15" s="38">
        <f t="shared" si="89"/>
        <v>0</v>
      </c>
      <c r="AV15" s="38">
        <f t="shared" si="21"/>
        <v>0</v>
      </c>
      <c r="AW15" s="5">
        <f t="shared" si="22"/>
        <v>0</v>
      </c>
      <c r="AX15" s="38">
        <f t="shared" si="23"/>
        <v>0</v>
      </c>
      <c r="AY15" s="5"/>
      <c r="AZ15" s="38">
        <f t="shared" si="90"/>
        <v>0</v>
      </c>
      <c r="BA15" s="38">
        <f t="shared" si="24"/>
        <v>0</v>
      </c>
      <c r="BB15" s="5">
        <f t="shared" si="25"/>
        <v>0</v>
      </c>
      <c r="BC15" s="38">
        <f t="shared" si="26"/>
        <v>0</v>
      </c>
      <c r="BD15" s="5"/>
      <c r="BE15" s="38">
        <f>B15*$BF$6</f>
        <v>0</v>
      </c>
      <c r="BF15" s="38">
        <f t="shared" si="27"/>
        <v>0</v>
      </c>
      <c r="BG15" s="5">
        <f t="shared" si="28"/>
        <v>0</v>
      </c>
      <c r="BH15" s="38"/>
      <c r="BI15" s="5"/>
      <c r="BJ15" s="38">
        <f t="shared" si="91"/>
        <v>0</v>
      </c>
      <c r="BK15" s="38">
        <f t="shared" si="29"/>
        <v>0</v>
      </c>
      <c r="BL15" s="5">
        <f t="shared" si="30"/>
        <v>0</v>
      </c>
      <c r="BM15" s="38">
        <f t="shared" si="31"/>
        <v>0</v>
      </c>
      <c r="BN15" s="5"/>
      <c r="BO15" s="5">
        <f t="shared" si="92"/>
        <v>0</v>
      </c>
      <c r="BP15" s="5">
        <f t="shared" si="32"/>
        <v>0</v>
      </c>
      <c r="BQ15" s="5">
        <f t="shared" si="33"/>
        <v>0</v>
      </c>
      <c r="BR15" s="38">
        <f t="shared" si="34"/>
        <v>0</v>
      </c>
      <c r="BS15" s="5"/>
      <c r="BT15" s="38">
        <f t="shared" si="93"/>
        <v>0</v>
      </c>
      <c r="BU15" s="38">
        <f t="shared" si="35"/>
        <v>0</v>
      </c>
      <c r="BV15" s="5">
        <f t="shared" si="36"/>
        <v>0</v>
      </c>
      <c r="BW15" s="38">
        <f t="shared" si="37"/>
        <v>0</v>
      </c>
      <c r="BX15" s="5"/>
      <c r="BY15" s="38">
        <f t="shared" si="94"/>
        <v>0</v>
      </c>
      <c r="BZ15" s="38">
        <f t="shared" si="38"/>
        <v>0</v>
      </c>
      <c r="CA15" s="5">
        <f t="shared" si="39"/>
        <v>0</v>
      </c>
      <c r="CB15" s="38">
        <f t="shared" si="40"/>
        <v>0</v>
      </c>
      <c r="CC15" s="5"/>
      <c r="CD15" s="5">
        <f t="shared" si="95"/>
        <v>0</v>
      </c>
      <c r="CE15" s="38">
        <f t="shared" si="41"/>
        <v>0</v>
      </c>
      <c r="CF15" s="38">
        <f t="shared" si="42"/>
        <v>0</v>
      </c>
      <c r="CG15" s="38">
        <f t="shared" si="43"/>
        <v>0</v>
      </c>
      <c r="CH15" s="5"/>
      <c r="CI15" s="5">
        <f t="shared" si="96"/>
        <v>0</v>
      </c>
      <c r="CJ15" s="38">
        <f t="shared" si="44"/>
        <v>0</v>
      </c>
      <c r="CK15" s="38">
        <f t="shared" si="45"/>
        <v>0</v>
      </c>
      <c r="CL15" s="38">
        <f t="shared" si="46"/>
        <v>0</v>
      </c>
      <c r="CM15" s="5"/>
      <c r="CN15" s="38">
        <f t="shared" si="97"/>
        <v>0</v>
      </c>
      <c r="CO15" s="38">
        <f t="shared" si="47"/>
        <v>0</v>
      </c>
      <c r="CP15" s="5">
        <f t="shared" si="48"/>
        <v>0</v>
      </c>
      <c r="CQ15" s="38">
        <f t="shared" si="49"/>
        <v>0</v>
      </c>
      <c r="CR15" s="5"/>
      <c r="CS15" s="5">
        <f t="shared" si="98"/>
        <v>0</v>
      </c>
      <c r="CT15" s="38">
        <f t="shared" si="50"/>
        <v>0</v>
      </c>
      <c r="CU15" s="38">
        <f t="shared" si="51"/>
        <v>0</v>
      </c>
      <c r="CV15" s="38">
        <f t="shared" si="52"/>
        <v>0</v>
      </c>
      <c r="CW15" s="5"/>
      <c r="CX15" s="5">
        <f t="shared" si="99"/>
        <v>0</v>
      </c>
      <c r="CY15" s="5">
        <f t="shared" si="53"/>
        <v>0</v>
      </c>
      <c r="CZ15" s="5">
        <f t="shared" si="54"/>
        <v>0</v>
      </c>
      <c r="DA15" s="38">
        <f t="shared" si="55"/>
        <v>0</v>
      </c>
      <c r="DB15" s="5"/>
      <c r="DC15" s="38">
        <f t="shared" si="100"/>
        <v>0</v>
      </c>
      <c r="DD15" s="38">
        <f t="shared" si="56"/>
        <v>0</v>
      </c>
      <c r="DE15" s="5">
        <f t="shared" si="57"/>
        <v>0</v>
      </c>
      <c r="DF15" s="38">
        <f t="shared" si="58"/>
        <v>0</v>
      </c>
      <c r="DG15" s="5"/>
      <c r="DH15" s="38">
        <f t="shared" si="101"/>
        <v>0</v>
      </c>
      <c r="DI15" s="38">
        <f t="shared" si="59"/>
        <v>0</v>
      </c>
      <c r="DJ15" s="5">
        <f t="shared" si="60"/>
        <v>0</v>
      </c>
      <c r="DK15" s="38">
        <f t="shared" si="61"/>
        <v>0</v>
      </c>
      <c r="DL15" s="5"/>
      <c r="DM15" s="38">
        <f t="shared" si="102"/>
        <v>0</v>
      </c>
      <c r="DN15" s="38">
        <f t="shared" si="62"/>
        <v>0</v>
      </c>
      <c r="DO15" s="5">
        <f t="shared" si="63"/>
        <v>0</v>
      </c>
      <c r="DP15" s="38">
        <f t="shared" si="64"/>
        <v>0</v>
      </c>
      <c r="DQ15" s="5"/>
      <c r="DR15" s="38">
        <f t="shared" si="103"/>
        <v>0</v>
      </c>
      <c r="DS15" s="38">
        <f t="shared" si="65"/>
        <v>0</v>
      </c>
      <c r="DT15" s="5">
        <f t="shared" si="66"/>
        <v>0</v>
      </c>
      <c r="DU15" s="38">
        <f t="shared" si="67"/>
        <v>0</v>
      </c>
      <c r="DV15" s="5"/>
      <c r="DW15" s="38">
        <f t="shared" si="104"/>
        <v>0</v>
      </c>
      <c r="DX15" s="38">
        <f t="shared" si="68"/>
        <v>0</v>
      </c>
      <c r="DY15" s="5">
        <f t="shared" si="69"/>
        <v>0</v>
      </c>
      <c r="DZ15" s="38">
        <f t="shared" si="70"/>
        <v>0</v>
      </c>
      <c r="EA15" s="5"/>
      <c r="EB15" s="5">
        <f t="shared" si="105"/>
        <v>0</v>
      </c>
      <c r="EC15" s="38">
        <f t="shared" si="71"/>
        <v>0</v>
      </c>
      <c r="ED15" s="38">
        <f t="shared" si="72"/>
        <v>0</v>
      </c>
      <c r="EE15" s="38">
        <f t="shared" si="73"/>
        <v>0</v>
      </c>
      <c r="EF15" s="5"/>
      <c r="EG15" s="5">
        <f t="shared" si="106"/>
        <v>0</v>
      </c>
      <c r="EH15" s="38">
        <f t="shared" si="74"/>
        <v>0</v>
      </c>
      <c r="EI15" s="38">
        <f t="shared" si="75"/>
        <v>0</v>
      </c>
      <c r="EJ15" s="38">
        <f t="shared" si="76"/>
        <v>0</v>
      </c>
      <c r="EK15" s="5"/>
      <c r="EL15" s="38">
        <f t="shared" si="107"/>
        <v>0</v>
      </c>
      <c r="EM15" s="38">
        <f t="shared" si="77"/>
        <v>0</v>
      </c>
      <c r="EN15" s="5">
        <f t="shared" si="78"/>
        <v>0</v>
      </c>
      <c r="EO15" s="38">
        <f t="shared" si="79"/>
        <v>0</v>
      </c>
      <c r="EP15" s="5"/>
      <c r="EQ15" s="38">
        <f t="shared" si="108"/>
        <v>0</v>
      </c>
      <c r="ER15" s="38">
        <f t="shared" si="80"/>
        <v>0</v>
      </c>
      <c r="ES15" s="5">
        <f t="shared" si="81"/>
        <v>0</v>
      </c>
      <c r="ET15" s="38">
        <f t="shared" si="82"/>
        <v>0</v>
      </c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193" ht="12.75">
      <c r="A16" s="40">
        <v>45566</v>
      </c>
      <c r="B16" s="76"/>
      <c r="C16" s="76"/>
      <c r="D16" s="37">
        <f t="shared" si="0"/>
        <v>0</v>
      </c>
      <c r="E16" s="37"/>
      <c r="G16" s="38">
        <f>'Academic Project '!H16</f>
        <v>0</v>
      </c>
      <c r="H16" s="38">
        <f>'Academic Project '!I16</f>
        <v>0</v>
      </c>
      <c r="I16" s="38">
        <f t="shared" si="1"/>
        <v>0</v>
      </c>
      <c r="J16" s="38">
        <f>'Academic Project '!K16</f>
        <v>0</v>
      </c>
      <c r="L16" s="38"/>
      <c r="M16" s="37">
        <f t="shared" si="2"/>
        <v>0</v>
      </c>
      <c r="N16" s="5">
        <f t="shared" si="3"/>
        <v>0</v>
      </c>
      <c r="O16" s="37">
        <f t="shared" si="2"/>
        <v>0</v>
      </c>
      <c r="Q16" s="38"/>
      <c r="R16" s="38">
        <f t="shared" si="4"/>
        <v>0</v>
      </c>
      <c r="S16" s="5">
        <f t="shared" si="5"/>
        <v>0</v>
      </c>
      <c r="T16" s="38">
        <f t="shared" si="6"/>
        <v>0</v>
      </c>
      <c r="W16" s="38">
        <f t="shared" si="7"/>
        <v>0</v>
      </c>
      <c r="X16" s="38">
        <f t="shared" si="8"/>
        <v>0</v>
      </c>
      <c r="Y16" s="38">
        <f t="shared" si="9"/>
        <v>0</v>
      </c>
      <c r="AB16" s="5">
        <f t="shared" si="10"/>
        <v>0</v>
      </c>
      <c r="AC16" s="5">
        <f t="shared" si="11"/>
        <v>0</v>
      </c>
      <c r="AD16" s="38">
        <f t="shared" si="12"/>
        <v>0</v>
      </c>
      <c r="AG16" s="5">
        <f t="shared" si="13"/>
        <v>0</v>
      </c>
      <c r="AH16" s="5">
        <f t="shared" si="14"/>
        <v>0</v>
      </c>
      <c r="AI16" s="38">
        <f t="shared" si="15"/>
        <v>0</v>
      </c>
      <c r="AK16" s="38"/>
      <c r="AL16" s="38">
        <f t="shared" si="16"/>
        <v>0</v>
      </c>
      <c r="AM16" s="5">
        <f t="shared" si="17"/>
        <v>0</v>
      </c>
      <c r="AN16" s="38"/>
      <c r="AP16" s="38"/>
      <c r="AQ16" s="38">
        <f t="shared" si="18"/>
        <v>0</v>
      </c>
      <c r="AR16" s="5">
        <f t="shared" si="19"/>
        <v>0</v>
      </c>
      <c r="AS16" s="38">
        <f t="shared" si="20"/>
        <v>0</v>
      </c>
      <c r="AT16" s="5"/>
      <c r="AU16" s="38"/>
      <c r="AV16" s="38">
        <f t="shared" si="21"/>
        <v>0</v>
      </c>
      <c r="AW16" s="5">
        <f t="shared" si="22"/>
        <v>0</v>
      </c>
      <c r="AX16" s="38">
        <f t="shared" si="23"/>
        <v>0</v>
      </c>
      <c r="AY16" s="5"/>
      <c r="AZ16" s="38"/>
      <c r="BA16" s="38">
        <f t="shared" si="24"/>
        <v>0</v>
      </c>
      <c r="BB16" s="5">
        <f t="shared" si="25"/>
        <v>0</v>
      </c>
      <c r="BC16" s="38">
        <f t="shared" si="26"/>
        <v>0</v>
      </c>
      <c r="BD16" s="5"/>
      <c r="BE16" s="38"/>
      <c r="BF16" s="38">
        <f t="shared" si="27"/>
        <v>0</v>
      </c>
      <c r="BG16" s="5">
        <f t="shared" si="28"/>
        <v>0</v>
      </c>
      <c r="BH16" s="38"/>
      <c r="BI16" s="5"/>
      <c r="BJ16" s="38"/>
      <c r="BK16" s="38">
        <f t="shared" si="29"/>
        <v>0</v>
      </c>
      <c r="BL16" s="5">
        <f t="shared" si="30"/>
        <v>0</v>
      </c>
      <c r="BM16" s="38">
        <f t="shared" si="31"/>
        <v>0</v>
      </c>
      <c r="BN16" s="5"/>
      <c r="BO16" s="5"/>
      <c r="BP16" s="5">
        <f t="shared" si="32"/>
        <v>0</v>
      </c>
      <c r="BQ16" s="5">
        <f t="shared" si="33"/>
        <v>0</v>
      </c>
      <c r="BR16" s="38">
        <f t="shared" si="34"/>
        <v>0</v>
      </c>
      <c r="BS16" s="5"/>
      <c r="BT16" s="38"/>
      <c r="BU16" s="38">
        <f t="shared" si="35"/>
        <v>0</v>
      </c>
      <c r="BV16" s="5">
        <f t="shared" si="36"/>
        <v>0</v>
      </c>
      <c r="BW16" s="38">
        <f t="shared" si="37"/>
        <v>0</v>
      </c>
      <c r="BX16" s="5"/>
      <c r="BY16" s="38"/>
      <c r="BZ16" s="38">
        <f t="shared" si="38"/>
        <v>0</v>
      </c>
      <c r="CA16" s="5">
        <f t="shared" si="39"/>
        <v>0</v>
      </c>
      <c r="CB16" s="38">
        <f t="shared" si="40"/>
        <v>0</v>
      </c>
      <c r="CC16" s="5"/>
      <c r="CD16" s="5"/>
      <c r="CE16" s="38">
        <f t="shared" si="41"/>
        <v>0</v>
      </c>
      <c r="CF16" s="38">
        <f t="shared" si="42"/>
        <v>0</v>
      </c>
      <c r="CG16" s="38">
        <f t="shared" si="43"/>
        <v>0</v>
      </c>
      <c r="CH16" s="5"/>
      <c r="CI16" s="5"/>
      <c r="CJ16" s="38">
        <f t="shared" si="44"/>
        <v>0</v>
      </c>
      <c r="CK16" s="38">
        <f t="shared" si="45"/>
        <v>0</v>
      </c>
      <c r="CL16" s="38">
        <f t="shared" si="46"/>
        <v>0</v>
      </c>
      <c r="CM16" s="5"/>
      <c r="CN16" s="38"/>
      <c r="CO16" s="38">
        <f t="shared" si="47"/>
        <v>0</v>
      </c>
      <c r="CP16" s="5">
        <f t="shared" si="48"/>
        <v>0</v>
      </c>
      <c r="CQ16" s="38">
        <f t="shared" si="49"/>
        <v>0</v>
      </c>
      <c r="CR16" s="5"/>
      <c r="CS16" s="5"/>
      <c r="CT16" s="38">
        <f t="shared" si="50"/>
        <v>0</v>
      </c>
      <c r="CU16" s="38">
        <f t="shared" si="51"/>
        <v>0</v>
      </c>
      <c r="CV16" s="38">
        <f t="shared" si="52"/>
        <v>0</v>
      </c>
      <c r="CW16" s="5"/>
      <c r="CX16" s="5"/>
      <c r="CY16" s="5">
        <f t="shared" si="53"/>
        <v>0</v>
      </c>
      <c r="CZ16" s="5">
        <f t="shared" si="54"/>
        <v>0</v>
      </c>
      <c r="DA16" s="38">
        <f t="shared" si="55"/>
        <v>0</v>
      </c>
      <c r="DB16" s="5"/>
      <c r="DC16" s="38"/>
      <c r="DD16" s="38">
        <f t="shared" si="56"/>
        <v>0</v>
      </c>
      <c r="DE16" s="5">
        <f t="shared" si="57"/>
        <v>0</v>
      </c>
      <c r="DF16" s="38">
        <f t="shared" si="58"/>
        <v>0</v>
      </c>
      <c r="DG16" s="5"/>
      <c r="DH16" s="38"/>
      <c r="DI16" s="38">
        <f t="shared" si="59"/>
        <v>0</v>
      </c>
      <c r="DJ16" s="5">
        <f t="shared" si="60"/>
        <v>0</v>
      </c>
      <c r="DK16" s="38">
        <f t="shared" si="61"/>
        <v>0</v>
      </c>
      <c r="DL16" s="5"/>
      <c r="DM16" s="38"/>
      <c r="DN16" s="38">
        <f t="shared" si="62"/>
        <v>0</v>
      </c>
      <c r="DO16" s="5">
        <f t="shared" si="63"/>
        <v>0</v>
      </c>
      <c r="DP16" s="38">
        <f t="shared" si="64"/>
        <v>0</v>
      </c>
      <c r="DQ16" s="5"/>
      <c r="DR16" s="38"/>
      <c r="DS16" s="38">
        <f t="shared" si="65"/>
        <v>0</v>
      </c>
      <c r="DT16" s="5">
        <f t="shared" si="66"/>
        <v>0</v>
      </c>
      <c r="DU16" s="38">
        <f t="shared" si="67"/>
        <v>0</v>
      </c>
      <c r="DV16" s="5"/>
      <c r="DW16" s="38"/>
      <c r="DX16" s="38">
        <f t="shared" si="68"/>
        <v>0</v>
      </c>
      <c r="DY16" s="5">
        <f t="shared" si="69"/>
        <v>0</v>
      </c>
      <c r="DZ16" s="38">
        <f t="shared" si="70"/>
        <v>0</v>
      </c>
      <c r="EA16" s="5"/>
      <c r="EB16" s="5"/>
      <c r="EC16" s="38">
        <f t="shared" si="71"/>
        <v>0</v>
      </c>
      <c r="ED16" s="38">
        <f t="shared" si="72"/>
        <v>0</v>
      </c>
      <c r="EE16" s="38">
        <f t="shared" si="73"/>
        <v>0</v>
      </c>
      <c r="EF16" s="5"/>
      <c r="EG16" s="5"/>
      <c r="EH16" s="38">
        <f t="shared" si="74"/>
        <v>0</v>
      </c>
      <c r="EI16" s="38">
        <f t="shared" si="75"/>
        <v>0</v>
      </c>
      <c r="EJ16" s="38">
        <f t="shared" si="76"/>
        <v>0</v>
      </c>
      <c r="EK16" s="5"/>
      <c r="EL16" s="38"/>
      <c r="EM16" s="38">
        <f t="shared" si="77"/>
        <v>0</v>
      </c>
      <c r="EN16" s="5">
        <f t="shared" si="78"/>
        <v>0</v>
      </c>
      <c r="EO16" s="38">
        <f t="shared" si="79"/>
        <v>0</v>
      </c>
      <c r="EP16" s="5"/>
      <c r="EQ16" s="38"/>
      <c r="ER16" s="38">
        <f t="shared" si="80"/>
        <v>0</v>
      </c>
      <c r="ES16" s="5">
        <f t="shared" si="81"/>
        <v>0</v>
      </c>
      <c r="ET16" s="38">
        <f t="shared" si="82"/>
        <v>0</v>
      </c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</row>
    <row r="17" spans="1:193" ht="12.75">
      <c r="A17" s="40">
        <v>45748</v>
      </c>
      <c r="B17" s="76"/>
      <c r="C17" s="76"/>
      <c r="D17" s="37">
        <f t="shared" si="0"/>
        <v>0</v>
      </c>
      <c r="E17" s="37"/>
      <c r="G17" s="38">
        <f>'Academic Project '!H17</f>
        <v>0</v>
      </c>
      <c r="H17" s="38">
        <f>'Academic Project '!I17</f>
        <v>0</v>
      </c>
      <c r="I17" s="38">
        <f t="shared" si="1"/>
        <v>0</v>
      </c>
      <c r="J17" s="38">
        <f>'Academic Project '!K17</f>
        <v>0</v>
      </c>
      <c r="L17" s="38">
        <f>Q17+V17+AA17+AK17+AP17+AU17+BJ17+BO17+BT17+CD17+CN17+CS17+CX17+DC17+DH17+DM17+DR17+DW17+EB17+EG17+EL17+EQ17+EV17+AF17+AZ17+BY17+CI17+BE17</f>
        <v>0</v>
      </c>
      <c r="M17" s="37">
        <f t="shared" si="2"/>
        <v>0</v>
      </c>
      <c r="N17" s="5">
        <f t="shared" si="3"/>
        <v>0</v>
      </c>
      <c r="O17" s="37">
        <f t="shared" si="2"/>
        <v>0</v>
      </c>
      <c r="Q17" s="38">
        <f t="shared" si="83"/>
        <v>0</v>
      </c>
      <c r="R17" s="38">
        <f t="shared" si="4"/>
        <v>0</v>
      </c>
      <c r="S17" s="5">
        <f t="shared" si="5"/>
        <v>0</v>
      </c>
      <c r="T17" s="38">
        <f t="shared" si="6"/>
        <v>0</v>
      </c>
      <c r="V17" s="5">
        <f t="shared" si="84"/>
        <v>0</v>
      </c>
      <c r="W17" s="38">
        <f t="shared" si="7"/>
        <v>0</v>
      </c>
      <c r="X17" s="38">
        <f t="shared" si="8"/>
        <v>0</v>
      </c>
      <c r="Y17" s="38">
        <f t="shared" si="9"/>
        <v>0</v>
      </c>
      <c r="AA17" s="5">
        <f t="shared" si="85"/>
        <v>0</v>
      </c>
      <c r="AB17" s="5">
        <f t="shared" si="10"/>
        <v>0</v>
      </c>
      <c r="AC17" s="5">
        <f t="shared" si="11"/>
        <v>0</v>
      </c>
      <c r="AD17" s="38">
        <f t="shared" si="12"/>
        <v>0</v>
      </c>
      <c r="AF17" s="5">
        <f t="shared" si="86"/>
        <v>0</v>
      </c>
      <c r="AG17" s="5">
        <f t="shared" si="13"/>
        <v>0</v>
      </c>
      <c r="AH17" s="5">
        <f t="shared" si="14"/>
        <v>0</v>
      </c>
      <c r="AI17" s="38">
        <f t="shared" si="15"/>
        <v>0</v>
      </c>
      <c r="AK17" s="38">
        <f t="shared" si="87"/>
        <v>0</v>
      </c>
      <c r="AL17" s="38">
        <f t="shared" si="16"/>
        <v>0</v>
      </c>
      <c r="AM17" s="5">
        <f t="shared" si="17"/>
        <v>0</v>
      </c>
      <c r="AN17" s="38"/>
      <c r="AP17" s="38">
        <f t="shared" si="88"/>
        <v>0</v>
      </c>
      <c r="AQ17" s="38">
        <f t="shared" si="18"/>
        <v>0</v>
      </c>
      <c r="AR17" s="5">
        <f t="shared" si="19"/>
        <v>0</v>
      </c>
      <c r="AS17" s="38">
        <f t="shared" si="20"/>
        <v>0</v>
      </c>
      <c r="AT17" s="5"/>
      <c r="AU17" s="38">
        <f t="shared" si="89"/>
        <v>0</v>
      </c>
      <c r="AV17" s="38">
        <f t="shared" si="21"/>
        <v>0</v>
      </c>
      <c r="AW17" s="5">
        <f t="shared" si="22"/>
        <v>0</v>
      </c>
      <c r="AX17" s="38">
        <f t="shared" si="23"/>
        <v>0</v>
      </c>
      <c r="AY17" s="5"/>
      <c r="AZ17" s="38">
        <f t="shared" si="90"/>
        <v>0</v>
      </c>
      <c r="BA17" s="38">
        <f t="shared" si="24"/>
        <v>0</v>
      </c>
      <c r="BB17" s="5">
        <f t="shared" si="25"/>
        <v>0</v>
      </c>
      <c r="BC17" s="38">
        <f t="shared" si="26"/>
        <v>0</v>
      </c>
      <c r="BD17" s="5"/>
      <c r="BE17" s="38">
        <f>B17*$BF$6</f>
        <v>0</v>
      </c>
      <c r="BF17" s="38">
        <f t="shared" si="27"/>
        <v>0</v>
      </c>
      <c r="BG17" s="5">
        <f t="shared" si="28"/>
        <v>0</v>
      </c>
      <c r="BH17" s="38"/>
      <c r="BI17" s="5"/>
      <c r="BJ17" s="38">
        <f t="shared" si="91"/>
        <v>0</v>
      </c>
      <c r="BK17" s="38">
        <f t="shared" si="29"/>
        <v>0</v>
      </c>
      <c r="BL17" s="5">
        <f t="shared" si="30"/>
        <v>0</v>
      </c>
      <c r="BM17" s="38">
        <f t="shared" si="31"/>
        <v>0</v>
      </c>
      <c r="BN17" s="5"/>
      <c r="BO17" s="5">
        <f t="shared" si="92"/>
        <v>0</v>
      </c>
      <c r="BP17" s="5">
        <f t="shared" si="32"/>
        <v>0</v>
      </c>
      <c r="BQ17" s="5">
        <f t="shared" si="33"/>
        <v>0</v>
      </c>
      <c r="BR17" s="38">
        <f t="shared" si="34"/>
        <v>0</v>
      </c>
      <c r="BS17" s="5"/>
      <c r="BT17" s="38">
        <f t="shared" si="93"/>
        <v>0</v>
      </c>
      <c r="BU17" s="38">
        <f t="shared" si="35"/>
        <v>0</v>
      </c>
      <c r="BV17" s="5">
        <f t="shared" si="36"/>
        <v>0</v>
      </c>
      <c r="BW17" s="38">
        <f t="shared" si="37"/>
        <v>0</v>
      </c>
      <c r="BX17" s="5"/>
      <c r="BY17" s="38">
        <f t="shared" si="94"/>
        <v>0</v>
      </c>
      <c r="BZ17" s="38">
        <f t="shared" si="38"/>
        <v>0</v>
      </c>
      <c r="CA17" s="5">
        <f t="shared" si="39"/>
        <v>0</v>
      </c>
      <c r="CB17" s="38">
        <f t="shared" si="40"/>
        <v>0</v>
      </c>
      <c r="CC17" s="5"/>
      <c r="CD17" s="5">
        <f t="shared" si="95"/>
        <v>0</v>
      </c>
      <c r="CE17" s="38">
        <f t="shared" si="41"/>
        <v>0</v>
      </c>
      <c r="CF17" s="38">
        <f t="shared" si="42"/>
        <v>0</v>
      </c>
      <c r="CG17" s="38">
        <f t="shared" si="43"/>
        <v>0</v>
      </c>
      <c r="CH17" s="5"/>
      <c r="CI17" s="5">
        <f t="shared" si="96"/>
        <v>0</v>
      </c>
      <c r="CJ17" s="38">
        <f t="shared" si="44"/>
        <v>0</v>
      </c>
      <c r="CK17" s="38">
        <f t="shared" si="45"/>
        <v>0</v>
      </c>
      <c r="CL17" s="38">
        <f t="shared" si="46"/>
        <v>0</v>
      </c>
      <c r="CM17" s="5"/>
      <c r="CN17" s="38">
        <f t="shared" si="97"/>
        <v>0</v>
      </c>
      <c r="CO17" s="38">
        <f t="shared" si="47"/>
        <v>0</v>
      </c>
      <c r="CP17" s="5">
        <f t="shared" si="48"/>
        <v>0</v>
      </c>
      <c r="CQ17" s="38">
        <f t="shared" si="49"/>
        <v>0</v>
      </c>
      <c r="CR17" s="5"/>
      <c r="CS17" s="5">
        <f t="shared" si="98"/>
        <v>0</v>
      </c>
      <c r="CT17" s="38">
        <f t="shared" si="50"/>
        <v>0</v>
      </c>
      <c r="CU17" s="38">
        <f t="shared" si="51"/>
        <v>0</v>
      </c>
      <c r="CV17" s="38">
        <f t="shared" si="52"/>
        <v>0</v>
      </c>
      <c r="CW17" s="5"/>
      <c r="CX17" s="5">
        <f t="shared" si="99"/>
        <v>0</v>
      </c>
      <c r="CY17" s="5">
        <f t="shared" si="53"/>
        <v>0</v>
      </c>
      <c r="CZ17" s="5">
        <f t="shared" si="54"/>
        <v>0</v>
      </c>
      <c r="DA17" s="38">
        <f t="shared" si="55"/>
        <v>0</v>
      </c>
      <c r="DB17" s="5"/>
      <c r="DC17" s="38">
        <f t="shared" si="100"/>
        <v>0</v>
      </c>
      <c r="DD17" s="38">
        <f t="shared" si="56"/>
        <v>0</v>
      </c>
      <c r="DE17" s="5">
        <f t="shared" si="57"/>
        <v>0</v>
      </c>
      <c r="DF17" s="38">
        <f t="shared" si="58"/>
        <v>0</v>
      </c>
      <c r="DG17" s="5"/>
      <c r="DH17" s="38">
        <f t="shared" si="101"/>
        <v>0</v>
      </c>
      <c r="DI17" s="38">
        <f t="shared" si="59"/>
        <v>0</v>
      </c>
      <c r="DJ17" s="5">
        <f t="shared" si="60"/>
        <v>0</v>
      </c>
      <c r="DK17" s="38">
        <f t="shared" si="61"/>
        <v>0</v>
      </c>
      <c r="DL17" s="5"/>
      <c r="DM17" s="38">
        <f t="shared" si="102"/>
        <v>0</v>
      </c>
      <c r="DN17" s="38">
        <f t="shared" si="62"/>
        <v>0</v>
      </c>
      <c r="DO17" s="5">
        <f t="shared" si="63"/>
        <v>0</v>
      </c>
      <c r="DP17" s="38">
        <f t="shared" si="64"/>
        <v>0</v>
      </c>
      <c r="DQ17" s="5"/>
      <c r="DR17" s="38">
        <f t="shared" si="103"/>
        <v>0</v>
      </c>
      <c r="DS17" s="38">
        <f t="shared" si="65"/>
        <v>0</v>
      </c>
      <c r="DT17" s="5">
        <f t="shared" si="66"/>
        <v>0</v>
      </c>
      <c r="DU17" s="38">
        <f t="shared" si="67"/>
        <v>0</v>
      </c>
      <c r="DV17" s="5"/>
      <c r="DW17" s="38">
        <f t="shared" si="104"/>
        <v>0</v>
      </c>
      <c r="DX17" s="38">
        <f t="shared" si="68"/>
        <v>0</v>
      </c>
      <c r="DY17" s="5">
        <f t="shared" si="69"/>
        <v>0</v>
      </c>
      <c r="DZ17" s="38">
        <f t="shared" si="70"/>
        <v>0</v>
      </c>
      <c r="EA17" s="5"/>
      <c r="EB17" s="5">
        <f t="shared" si="105"/>
        <v>0</v>
      </c>
      <c r="EC17" s="38">
        <f t="shared" si="71"/>
        <v>0</v>
      </c>
      <c r="ED17" s="38">
        <f t="shared" si="72"/>
        <v>0</v>
      </c>
      <c r="EE17" s="38">
        <f t="shared" si="73"/>
        <v>0</v>
      </c>
      <c r="EF17" s="5"/>
      <c r="EG17" s="5">
        <f t="shared" si="106"/>
        <v>0</v>
      </c>
      <c r="EH17" s="38">
        <f t="shared" si="74"/>
        <v>0</v>
      </c>
      <c r="EI17" s="38">
        <f t="shared" si="75"/>
        <v>0</v>
      </c>
      <c r="EJ17" s="38">
        <f t="shared" si="76"/>
        <v>0</v>
      </c>
      <c r="EK17" s="5"/>
      <c r="EL17" s="38">
        <f t="shared" si="107"/>
        <v>0</v>
      </c>
      <c r="EM17" s="38">
        <f t="shared" si="77"/>
        <v>0</v>
      </c>
      <c r="EN17" s="5">
        <f t="shared" si="78"/>
        <v>0</v>
      </c>
      <c r="EO17" s="38">
        <f t="shared" si="79"/>
        <v>0</v>
      </c>
      <c r="EP17" s="5"/>
      <c r="EQ17" s="38">
        <f t="shared" si="108"/>
        <v>0</v>
      </c>
      <c r="ER17" s="38">
        <f t="shared" si="80"/>
        <v>0</v>
      </c>
      <c r="ES17" s="5">
        <f t="shared" si="81"/>
        <v>0</v>
      </c>
      <c r="ET17" s="38">
        <f t="shared" si="82"/>
        <v>0</v>
      </c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pans="1:193" ht="12.75">
      <c r="A18" s="40">
        <v>45931</v>
      </c>
      <c r="B18" s="76"/>
      <c r="C18" s="76"/>
      <c r="D18" s="37">
        <f t="shared" si="0"/>
        <v>0</v>
      </c>
      <c r="E18" s="37"/>
      <c r="G18" s="38">
        <f>'Academic Project '!H18</f>
        <v>0</v>
      </c>
      <c r="H18" s="38">
        <f>'Academic Project '!I18</f>
        <v>0</v>
      </c>
      <c r="I18" s="38">
        <f t="shared" si="1"/>
        <v>0</v>
      </c>
      <c r="J18" s="38">
        <f>'Academic Project '!K18</f>
        <v>0</v>
      </c>
      <c r="L18" s="38"/>
      <c r="M18" s="37">
        <f t="shared" si="2"/>
        <v>0</v>
      </c>
      <c r="N18" s="5">
        <f t="shared" si="3"/>
        <v>0</v>
      </c>
      <c r="O18" s="37">
        <f t="shared" si="2"/>
        <v>0</v>
      </c>
      <c r="Q18" s="38"/>
      <c r="R18" s="38">
        <f t="shared" si="4"/>
        <v>0</v>
      </c>
      <c r="S18" s="5">
        <f t="shared" si="5"/>
        <v>0</v>
      </c>
      <c r="T18" s="38">
        <f t="shared" si="6"/>
        <v>0</v>
      </c>
      <c r="W18" s="38">
        <f t="shared" si="7"/>
        <v>0</v>
      </c>
      <c r="X18" s="38">
        <f t="shared" si="8"/>
        <v>0</v>
      </c>
      <c r="Y18" s="38">
        <f t="shared" si="9"/>
        <v>0</v>
      </c>
      <c r="AB18" s="5">
        <f t="shared" si="10"/>
        <v>0</v>
      </c>
      <c r="AC18" s="5">
        <f t="shared" si="11"/>
        <v>0</v>
      </c>
      <c r="AD18" s="38">
        <f t="shared" si="12"/>
        <v>0</v>
      </c>
      <c r="AG18" s="5">
        <f t="shared" si="13"/>
        <v>0</v>
      </c>
      <c r="AH18" s="5">
        <f t="shared" si="14"/>
        <v>0</v>
      </c>
      <c r="AI18" s="38">
        <f t="shared" si="15"/>
        <v>0</v>
      </c>
      <c r="AK18" s="38"/>
      <c r="AL18" s="38">
        <f t="shared" si="16"/>
        <v>0</v>
      </c>
      <c r="AM18" s="5">
        <f t="shared" si="17"/>
        <v>0</v>
      </c>
      <c r="AN18" s="38"/>
      <c r="AP18" s="38"/>
      <c r="AQ18" s="38">
        <f t="shared" si="18"/>
        <v>0</v>
      </c>
      <c r="AR18" s="5">
        <f t="shared" si="19"/>
        <v>0</v>
      </c>
      <c r="AS18" s="38">
        <f t="shared" si="20"/>
        <v>0</v>
      </c>
      <c r="AT18" s="5"/>
      <c r="AU18" s="38"/>
      <c r="AV18" s="38">
        <f t="shared" si="21"/>
        <v>0</v>
      </c>
      <c r="AW18" s="5">
        <f t="shared" si="22"/>
        <v>0</v>
      </c>
      <c r="AX18" s="38">
        <f t="shared" si="23"/>
        <v>0</v>
      </c>
      <c r="AY18" s="5"/>
      <c r="AZ18" s="38"/>
      <c r="BA18" s="38">
        <f t="shared" si="24"/>
        <v>0</v>
      </c>
      <c r="BB18" s="5">
        <f t="shared" si="25"/>
        <v>0</v>
      </c>
      <c r="BC18" s="38">
        <f t="shared" si="26"/>
        <v>0</v>
      </c>
      <c r="BD18" s="5"/>
      <c r="BE18" s="38"/>
      <c r="BF18" s="38">
        <f t="shared" si="27"/>
        <v>0</v>
      </c>
      <c r="BG18" s="5">
        <f t="shared" si="28"/>
        <v>0</v>
      </c>
      <c r="BH18" s="38"/>
      <c r="BI18" s="5"/>
      <c r="BJ18" s="38"/>
      <c r="BK18" s="38">
        <f t="shared" si="29"/>
        <v>0</v>
      </c>
      <c r="BL18" s="5">
        <f t="shared" si="30"/>
        <v>0</v>
      </c>
      <c r="BM18" s="38">
        <f t="shared" si="31"/>
        <v>0</v>
      </c>
      <c r="BN18" s="5"/>
      <c r="BO18" s="5"/>
      <c r="BP18" s="5">
        <f t="shared" si="32"/>
        <v>0</v>
      </c>
      <c r="BQ18" s="5">
        <f t="shared" si="33"/>
        <v>0</v>
      </c>
      <c r="BR18" s="38">
        <f t="shared" si="34"/>
        <v>0</v>
      </c>
      <c r="BS18" s="5"/>
      <c r="BT18" s="38"/>
      <c r="BU18" s="38">
        <f t="shared" si="35"/>
        <v>0</v>
      </c>
      <c r="BV18" s="5">
        <f t="shared" si="36"/>
        <v>0</v>
      </c>
      <c r="BW18" s="38">
        <f t="shared" si="37"/>
        <v>0</v>
      </c>
      <c r="BX18" s="5"/>
      <c r="BY18" s="38"/>
      <c r="BZ18" s="38">
        <f t="shared" si="38"/>
        <v>0</v>
      </c>
      <c r="CA18" s="5">
        <f t="shared" si="39"/>
        <v>0</v>
      </c>
      <c r="CB18" s="38">
        <f t="shared" si="40"/>
        <v>0</v>
      </c>
      <c r="CC18" s="5"/>
      <c r="CD18" s="5"/>
      <c r="CE18" s="38">
        <f t="shared" si="41"/>
        <v>0</v>
      </c>
      <c r="CF18" s="38">
        <f t="shared" si="42"/>
        <v>0</v>
      </c>
      <c r="CG18" s="38">
        <f t="shared" si="43"/>
        <v>0</v>
      </c>
      <c r="CH18" s="5"/>
      <c r="CI18" s="5"/>
      <c r="CJ18" s="38">
        <f t="shared" si="44"/>
        <v>0</v>
      </c>
      <c r="CK18" s="38">
        <f t="shared" si="45"/>
        <v>0</v>
      </c>
      <c r="CL18" s="38">
        <f t="shared" si="46"/>
        <v>0</v>
      </c>
      <c r="CM18" s="5"/>
      <c r="CN18" s="38"/>
      <c r="CO18" s="38">
        <f t="shared" si="47"/>
        <v>0</v>
      </c>
      <c r="CP18" s="5">
        <f t="shared" si="48"/>
        <v>0</v>
      </c>
      <c r="CQ18" s="38">
        <f t="shared" si="49"/>
        <v>0</v>
      </c>
      <c r="CR18" s="5"/>
      <c r="CS18" s="5"/>
      <c r="CT18" s="38">
        <f t="shared" si="50"/>
        <v>0</v>
      </c>
      <c r="CU18" s="38">
        <f t="shared" si="51"/>
        <v>0</v>
      </c>
      <c r="CV18" s="38">
        <f t="shared" si="52"/>
        <v>0</v>
      </c>
      <c r="CW18" s="5"/>
      <c r="CX18" s="5"/>
      <c r="CY18" s="5">
        <f t="shared" si="53"/>
        <v>0</v>
      </c>
      <c r="CZ18" s="5">
        <f t="shared" si="54"/>
        <v>0</v>
      </c>
      <c r="DA18" s="38">
        <f t="shared" si="55"/>
        <v>0</v>
      </c>
      <c r="DB18" s="5"/>
      <c r="DC18" s="38"/>
      <c r="DD18" s="38">
        <f t="shared" si="56"/>
        <v>0</v>
      </c>
      <c r="DE18" s="5">
        <f t="shared" si="57"/>
        <v>0</v>
      </c>
      <c r="DF18" s="38">
        <f t="shared" si="58"/>
        <v>0</v>
      </c>
      <c r="DG18" s="5"/>
      <c r="DH18" s="38"/>
      <c r="DI18" s="38">
        <f t="shared" si="59"/>
        <v>0</v>
      </c>
      <c r="DJ18" s="5">
        <f t="shared" si="60"/>
        <v>0</v>
      </c>
      <c r="DK18" s="38">
        <f t="shared" si="61"/>
        <v>0</v>
      </c>
      <c r="DL18" s="5"/>
      <c r="DM18" s="38"/>
      <c r="DN18" s="38">
        <f t="shared" si="62"/>
        <v>0</v>
      </c>
      <c r="DO18" s="5">
        <f t="shared" si="63"/>
        <v>0</v>
      </c>
      <c r="DP18" s="38">
        <f t="shared" si="64"/>
        <v>0</v>
      </c>
      <c r="DQ18" s="5"/>
      <c r="DR18" s="38"/>
      <c r="DS18" s="38">
        <f t="shared" si="65"/>
        <v>0</v>
      </c>
      <c r="DT18" s="5">
        <f t="shared" si="66"/>
        <v>0</v>
      </c>
      <c r="DU18" s="38">
        <f t="shared" si="67"/>
        <v>0</v>
      </c>
      <c r="DV18" s="5"/>
      <c r="DW18" s="38"/>
      <c r="DX18" s="38">
        <f t="shared" si="68"/>
        <v>0</v>
      </c>
      <c r="DY18" s="5">
        <f t="shared" si="69"/>
        <v>0</v>
      </c>
      <c r="DZ18" s="38">
        <f t="shared" si="70"/>
        <v>0</v>
      </c>
      <c r="EA18" s="5"/>
      <c r="EB18" s="5"/>
      <c r="EC18" s="38">
        <f t="shared" si="71"/>
        <v>0</v>
      </c>
      <c r="ED18" s="38">
        <f t="shared" si="72"/>
        <v>0</v>
      </c>
      <c r="EE18" s="38">
        <f t="shared" si="73"/>
        <v>0</v>
      </c>
      <c r="EF18" s="5"/>
      <c r="EG18" s="5"/>
      <c r="EH18" s="38">
        <f t="shared" si="74"/>
        <v>0</v>
      </c>
      <c r="EI18" s="38">
        <f t="shared" si="75"/>
        <v>0</v>
      </c>
      <c r="EJ18" s="38">
        <f t="shared" si="76"/>
        <v>0</v>
      </c>
      <c r="EK18" s="5"/>
      <c r="EL18" s="38"/>
      <c r="EM18" s="38">
        <f t="shared" si="77"/>
        <v>0</v>
      </c>
      <c r="EN18" s="5">
        <f t="shared" si="78"/>
        <v>0</v>
      </c>
      <c r="EO18" s="38">
        <f t="shared" si="79"/>
        <v>0</v>
      </c>
      <c r="EP18" s="5"/>
      <c r="EQ18" s="38"/>
      <c r="ER18" s="38">
        <f t="shared" si="80"/>
        <v>0</v>
      </c>
      <c r="ES18" s="5">
        <f t="shared" si="81"/>
        <v>0</v>
      </c>
      <c r="ET18" s="38">
        <f t="shared" si="82"/>
        <v>0</v>
      </c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</row>
    <row r="19" spans="1:193" ht="12.75">
      <c r="A19" s="40">
        <v>46113</v>
      </c>
      <c r="B19" s="76"/>
      <c r="C19" s="76"/>
      <c r="D19" s="37">
        <f t="shared" si="0"/>
        <v>0</v>
      </c>
      <c r="E19" s="37"/>
      <c r="G19" s="38">
        <f>'Academic Project '!H19</f>
        <v>0</v>
      </c>
      <c r="H19" s="38">
        <f>'Academic Project '!I19</f>
        <v>0</v>
      </c>
      <c r="I19" s="38">
        <f t="shared" si="1"/>
        <v>0</v>
      </c>
      <c r="J19" s="38">
        <f>'Academic Project '!K19</f>
        <v>0</v>
      </c>
      <c r="L19" s="38">
        <f>Q19+V19+AA19+AK19+AP19+AU19+BJ19+BO19+BT19+CD19+CN19+CS19+CX19+DC19+DH19+DM19+DR19+DW19+EB19+EG19+EL19+EQ19+EV19+AF19+AZ19+BY19+CI19+BE19</f>
        <v>0</v>
      </c>
      <c r="M19" s="37">
        <f t="shared" si="2"/>
        <v>0</v>
      </c>
      <c r="N19" s="5">
        <f t="shared" si="3"/>
        <v>0</v>
      </c>
      <c r="O19" s="37">
        <f t="shared" si="2"/>
        <v>0</v>
      </c>
      <c r="Q19" s="38">
        <f t="shared" si="83"/>
        <v>0</v>
      </c>
      <c r="R19" s="38">
        <f t="shared" si="4"/>
        <v>0</v>
      </c>
      <c r="S19" s="5">
        <f t="shared" si="5"/>
        <v>0</v>
      </c>
      <c r="T19" s="38">
        <f t="shared" si="6"/>
        <v>0</v>
      </c>
      <c r="V19" s="5">
        <f t="shared" si="84"/>
        <v>0</v>
      </c>
      <c r="W19" s="38">
        <f t="shared" si="7"/>
        <v>0</v>
      </c>
      <c r="X19" s="38">
        <f t="shared" si="8"/>
        <v>0</v>
      </c>
      <c r="Y19" s="38">
        <f t="shared" si="9"/>
        <v>0</v>
      </c>
      <c r="AA19" s="5">
        <f t="shared" si="85"/>
        <v>0</v>
      </c>
      <c r="AB19" s="5">
        <f t="shared" si="10"/>
        <v>0</v>
      </c>
      <c r="AC19" s="5">
        <f t="shared" si="11"/>
        <v>0</v>
      </c>
      <c r="AD19" s="38">
        <f t="shared" si="12"/>
        <v>0</v>
      </c>
      <c r="AF19" s="5">
        <f t="shared" si="86"/>
        <v>0</v>
      </c>
      <c r="AG19" s="5">
        <f t="shared" si="13"/>
        <v>0</v>
      </c>
      <c r="AH19" s="5">
        <f t="shared" si="14"/>
        <v>0</v>
      </c>
      <c r="AI19" s="38">
        <f t="shared" si="15"/>
        <v>0</v>
      </c>
      <c r="AK19" s="38">
        <f t="shared" si="87"/>
        <v>0</v>
      </c>
      <c r="AL19" s="38">
        <f t="shared" si="16"/>
        <v>0</v>
      </c>
      <c r="AM19" s="5">
        <f t="shared" si="17"/>
        <v>0</v>
      </c>
      <c r="AN19" s="38"/>
      <c r="AP19" s="38">
        <f t="shared" si="88"/>
        <v>0</v>
      </c>
      <c r="AQ19" s="38">
        <f t="shared" si="18"/>
        <v>0</v>
      </c>
      <c r="AR19" s="5">
        <f t="shared" si="19"/>
        <v>0</v>
      </c>
      <c r="AS19" s="38">
        <f t="shared" si="20"/>
        <v>0</v>
      </c>
      <c r="AT19" s="5"/>
      <c r="AU19" s="38">
        <f t="shared" si="89"/>
        <v>0</v>
      </c>
      <c r="AV19" s="38">
        <f t="shared" si="21"/>
        <v>0</v>
      </c>
      <c r="AW19" s="5">
        <f t="shared" si="22"/>
        <v>0</v>
      </c>
      <c r="AX19" s="38">
        <f t="shared" si="23"/>
        <v>0</v>
      </c>
      <c r="AY19" s="5"/>
      <c r="AZ19" s="38">
        <f t="shared" si="90"/>
        <v>0</v>
      </c>
      <c r="BA19" s="38">
        <f t="shared" si="24"/>
        <v>0</v>
      </c>
      <c r="BB19" s="5">
        <f t="shared" si="25"/>
        <v>0</v>
      </c>
      <c r="BC19" s="38">
        <f t="shared" si="26"/>
        <v>0</v>
      </c>
      <c r="BD19" s="5"/>
      <c r="BE19" s="38">
        <f>B19*$BF$6</f>
        <v>0</v>
      </c>
      <c r="BF19" s="38">
        <f t="shared" si="27"/>
        <v>0</v>
      </c>
      <c r="BG19" s="5">
        <f t="shared" si="28"/>
        <v>0</v>
      </c>
      <c r="BH19" s="38"/>
      <c r="BI19" s="5"/>
      <c r="BJ19" s="38">
        <f t="shared" si="91"/>
        <v>0</v>
      </c>
      <c r="BK19" s="38">
        <f t="shared" si="29"/>
        <v>0</v>
      </c>
      <c r="BL19" s="5">
        <f t="shared" si="30"/>
        <v>0</v>
      </c>
      <c r="BM19" s="38">
        <f t="shared" si="31"/>
        <v>0</v>
      </c>
      <c r="BN19" s="5"/>
      <c r="BO19" s="5">
        <f t="shared" si="92"/>
        <v>0</v>
      </c>
      <c r="BP19" s="5">
        <f t="shared" si="32"/>
        <v>0</v>
      </c>
      <c r="BQ19" s="5">
        <f t="shared" si="33"/>
        <v>0</v>
      </c>
      <c r="BR19" s="38">
        <f t="shared" si="34"/>
        <v>0</v>
      </c>
      <c r="BS19" s="5"/>
      <c r="BT19" s="38">
        <f t="shared" si="93"/>
        <v>0</v>
      </c>
      <c r="BU19" s="38">
        <f t="shared" si="35"/>
        <v>0</v>
      </c>
      <c r="BV19" s="5">
        <f t="shared" si="36"/>
        <v>0</v>
      </c>
      <c r="BW19" s="38">
        <f t="shared" si="37"/>
        <v>0</v>
      </c>
      <c r="BX19" s="5"/>
      <c r="BY19" s="38">
        <f t="shared" si="94"/>
        <v>0</v>
      </c>
      <c r="BZ19" s="38">
        <f t="shared" si="38"/>
        <v>0</v>
      </c>
      <c r="CA19" s="5">
        <f t="shared" si="39"/>
        <v>0</v>
      </c>
      <c r="CB19" s="38">
        <f t="shared" si="40"/>
        <v>0</v>
      </c>
      <c r="CC19" s="5"/>
      <c r="CD19" s="5">
        <f t="shared" si="95"/>
        <v>0</v>
      </c>
      <c r="CE19" s="38">
        <f t="shared" si="41"/>
        <v>0</v>
      </c>
      <c r="CF19" s="38">
        <f t="shared" si="42"/>
        <v>0</v>
      </c>
      <c r="CG19" s="38">
        <f t="shared" si="43"/>
        <v>0</v>
      </c>
      <c r="CH19" s="5"/>
      <c r="CI19" s="5">
        <f t="shared" si="96"/>
        <v>0</v>
      </c>
      <c r="CJ19" s="38">
        <f t="shared" si="44"/>
        <v>0</v>
      </c>
      <c r="CK19" s="38">
        <f t="shared" si="45"/>
        <v>0</v>
      </c>
      <c r="CL19" s="38">
        <f t="shared" si="46"/>
        <v>0</v>
      </c>
      <c r="CM19" s="5"/>
      <c r="CN19" s="38">
        <f t="shared" si="97"/>
        <v>0</v>
      </c>
      <c r="CO19" s="38">
        <f t="shared" si="47"/>
        <v>0</v>
      </c>
      <c r="CP19" s="5">
        <f t="shared" si="48"/>
        <v>0</v>
      </c>
      <c r="CQ19" s="38">
        <f t="shared" si="49"/>
        <v>0</v>
      </c>
      <c r="CR19" s="5"/>
      <c r="CS19" s="5">
        <f t="shared" si="98"/>
        <v>0</v>
      </c>
      <c r="CT19" s="38">
        <f t="shared" si="50"/>
        <v>0</v>
      </c>
      <c r="CU19" s="38">
        <f t="shared" si="51"/>
        <v>0</v>
      </c>
      <c r="CV19" s="38">
        <f t="shared" si="52"/>
        <v>0</v>
      </c>
      <c r="CW19" s="5"/>
      <c r="CX19" s="5">
        <f t="shared" si="99"/>
        <v>0</v>
      </c>
      <c r="CY19" s="5">
        <f t="shared" si="53"/>
        <v>0</v>
      </c>
      <c r="CZ19" s="5">
        <f t="shared" si="54"/>
        <v>0</v>
      </c>
      <c r="DA19" s="38">
        <f t="shared" si="55"/>
        <v>0</v>
      </c>
      <c r="DB19" s="5"/>
      <c r="DC19" s="38">
        <f t="shared" si="100"/>
        <v>0</v>
      </c>
      <c r="DD19" s="38">
        <f t="shared" si="56"/>
        <v>0</v>
      </c>
      <c r="DE19" s="5">
        <f t="shared" si="57"/>
        <v>0</v>
      </c>
      <c r="DF19" s="38">
        <f t="shared" si="58"/>
        <v>0</v>
      </c>
      <c r="DG19" s="5"/>
      <c r="DH19" s="38">
        <f t="shared" si="101"/>
        <v>0</v>
      </c>
      <c r="DI19" s="38">
        <f t="shared" si="59"/>
        <v>0</v>
      </c>
      <c r="DJ19" s="5">
        <f t="shared" si="60"/>
        <v>0</v>
      </c>
      <c r="DK19" s="38">
        <f t="shared" si="61"/>
        <v>0</v>
      </c>
      <c r="DL19" s="5"/>
      <c r="DM19" s="38">
        <f t="shared" si="102"/>
        <v>0</v>
      </c>
      <c r="DN19" s="38">
        <f t="shared" si="62"/>
        <v>0</v>
      </c>
      <c r="DO19" s="5">
        <f t="shared" si="63"/>
        <v>0</v>
      </c>
      <c r="DP19" s="38">
        <f t="shared" si="64"/>
        <v>0</v>
      </c>
      <c r="DQ19" s="5"/>
      <c r="DR19" s="38">
        <f t="shared" si="103"/>
        <v>0</v>
      </c>
      <c r="DS19" s="38">
        <f t="shared" si="65"/>
        <v>0</v>
      </c>
      <c r="DT19" s="5">
        <f t="shared" si="66"/>
        <v>0</v>
      </c>
      <c r="DU19" s="38">
        <f t="shared" si="67"/>
        <v>0</v>
      </c>
      <c r="DV19" s="5"/>
      <c r="DW19" s="38">
        <f t="shared" si="104"/>
        <v>0</v>
      </c>
      <c r="DX19" s="38">
        <f t="shared" si="68"/>
        <v>0</v>
      </c>
      <c r="DY19" s="5">
        <f t="shared" si="69"/>
        <v>0</v>
      </c>
      <c r="DZ19" s="38">
        <f t="shared" si="70"/>
        <v>0</v>
      </c>
      <c r="EA19" s="5"/>
      <c r="EB19" s="5">
        <f t="shared" si="105"/>
        <v>0</v>
      </c>
      <c r="EC19" s="38">
        <f t="shared" si="71"/>
        <v>0</v>
      </c>
      <c r="ED19" s="38">
        <f t="shared" si="72"/>
        <v>0</v>
      </c>
      <c r="EE19" s="38">
        <f t="shared" si="73"/>
        <v>0</v>
      </c>
      <c r="EF19" s="5"/>
      <c r="EG19" s="5">
        <f t="shared" si="106"/>
        <v>0</v>
      </c>
      <c r="EH19" s="38">
        <f t="shared" si="74"/>
        <v>0</v>
      </c>
      <c r="EI19" s="38">
        <f t="shared" si="75"/>
        <v>0</v>
      </c>
      <c r="EJ19" s="38">
        <f t="shared" si="76"/>
        <v>0</v>
      </c>
      <c r="EK19" s="5"/>
      <c r="EL19" s="38">
        <f t="shared" si="107"/>
        <v>0</v>
      </c>
      <c r="EM19" s="38">
        <f t="shared" si="77"/>
        <v>0</v>
      </c>
      <c r="EN19" s="5">
        <f t="shared" si="78"/>
        <v>0</v>
      </c>
      <c r="EO19" s="38">
        <f t="shared" si="79"/>
        <v>0</v>
      </c>
      <c r="EP19" s="5"/>
      <c r="EQ19" s="38">
        <f t="shared" si="108"/>
        <v>0</v>
      </c>
      <c r="ER19" s="38">
        <f t="shared" si="80"/>
        <v>0</v>
      </c>
      <c r="ES19" s="5">
        <f t="shared" si="81"/>
        <v>0</v>
      </c>
      <c r="ET19" s="38">
        <f t="shared" si="82"/>
        <v>0</v>
      </c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spans="1:193" ht="12.75">
      <c r="A20" s="40">
        <v>46296</v>
      </c>
      <c r="B20" s="76"/>
      <c r="C20" s="76"/>
      <c r="D20" s="37">
        <f t="shared" si="0"/>
        <v>0</v>
      </c>
      <c r="E20" s="37"/>
      <c r="G20" s="38">
        <f>'Academic Project '!H20</f>
        <v>0</v>
      </c>
      <c r="H20" s="38">
        <f>'Academic Project '!I20</f>
        <v>0</v>
      </c>
      <c r="I20" s="38">
        <f t="shared" si="1"/>
        <v>0</v>
      </c>
      <c r="J20" s="38">
        <f>'Academic Project '!K20</f>
        <v>0</v>
      </c>
      <c r="L20" s="38"/>
      <c r="M20" s="37">
        <f t="shared" si="2"/>
        <v>0</v>
      </c>
      <c r="N20" s="5">
        <f t="shared" si="3"/>
        <v>0</v>
      </c>
      <c r="O20" s="37">
        <f t="shared" si="2"/>
        <v>0</v>
      </c>
      <c r="Q20" s="38"/>
      <c r="R20" s="38">
        <f t="shared" si="4"/>
        <v>0</v>
      </c>
      <c r="S20" s="5">
        <f t="shared" si="5"/>
        <v>0</v>
      </c>
      <c r="T20" s="38">
        <f t="shared" si="6"/>
        <v>0</v>
      </c>
      <c r="W20" s="38">
        <f t="shared" si="7"/>
        <v>0</v>
      </c>
      <c r="X20" s="38">
        <f t="shared" si="8"/>
        <v>0</v>
      </c>
      <c r="Y20" s="38">
        <f t="shared" si="9"/>
        <v>0</v>
      </c>
      <c r="AB20" s="5">
        <f t="shared" si="10"/>
        <v>0</v>
      </c>
      <c r="AC20" s="5">
        <f t="shared" si="11"/>
        <v>0</v>
      </c>
      <c r="AD20" s="38">
        <f t="shared" si="12"/>
        <v>0</v>
      </c>
      <c r="AG20" s="5">
        <f t="shared" si="13"/>
        <v>0</v>
      </c>
      <c r="AH20" s="5">
        <f t="shared" si="14"/>
        <v>0</v>
      </c>
      <c r="AI20" s="38">
        <f t="shared" si="15"/>
        <v>0</v>
      </c>
      <c r="AK20" s="38"/>
      <c r="AL20" s="38">
        <f t="shared" si="16"/>
        <v>0</v>
      </c>
      <c r="AM20" s="5">
        <f t="shared" si="17"/>
        <v>0</v>
      </c>
      <c r="AN20" s="38"/>
      <c r="AP20" s="38"/>
      <c r="AQ20" s="38">
        <f t="shared" si="18"/>
        <v>0</v>
      </c>
      <c r="AR20" s="5">
        <f t="shared" si="19"/>
        <v>0</v>
      </c>
      <c r="AS20" s="38">
        <f t="shared" si="20"/>
        <v>0</v>
      </c>
      <c r="AT20" s="5"/>
      <c r="AU20" s="38"/>
      <c r="AV20" s="38">
        <f t="shared" si="21"/>
        <v>0</v>
      </c>
      <c r="AW20" s="5">
        <f t="shared" si="22"/>
        <v>0</v>
      </c>
      <c r="AX20" s="38">
        <f t="shared" si="23"/>
        <v>0</v>
      </c>
      <c r="AY20" s="5"/>
      <c r="AZ20" s="38"/>
      <c r="BA20" s="38">
        <f t="shared" si="24"/>
        <v>0</v>
      </c>
      <c r="BB20" s="5">
        <f t="shared" si="25"/>
        <v>0</v>
      </c>
      <c r="BC20" s="38">
        <f t="shared" si="26"/>
        <v>0</v>
      </c>
      <c r="BD20" s="5"/>
      <c r="BE20" s="38"/>
      <c r="BF20" s="38">
        <f t="shared" si="27"/>
        <v>0</v>
      </c>
      <c r="BG20" s="5">
        <f t="shared" si="28"/>
        <v>0</v>
      </c>
      <c r="BH20" s="38"/>
      <c r="BI20" s="5"/>
      <c r="BJ20" s="38"/>
      <c r="BK20" s="38">
        <f t="shared" si="29"/>
        <v>0</v>
      </c>
      <c r="BL20" s="5">
        <f t="shared" si="30"/>
        <v>0</v>
      </c>
      <c r="BM20" s="38">
        <f t="shared" si="31"/>
        <v>0</v>
      </c>
      <c r="BN20" s="5"/>
      <c r="BO20" s="5"/>
      <c r="BP20" s="5">
        <f t="shared" si="32"/>
        <v>0</v>
      </c>
      <c r="BQ20" s="5">
        <f t="shared" si="33"/>
        <v>0</v>
      </c>
      <c r="BR20" s="38">
        <f t="shared" si="34"/>
        <v>0</v>
      </c>
      <c r="BS20" s="5"/>
      <c r="BT20" s="38"/>
      <c r="BU20" s="38">
        <f t="shared" si="35"/>
        <v>0</v>
      </c>
      <c r="BV20" s="5">
        <f t="shared" si="36"/>
        <v>0</v>
      </c>
      <c r="BW20" s="38">
        <f t="shared" si="37"/>
        <v>0</v>
      </c>
      <c r="BX20" s="5"/>
      <c r="BY20" s="38"/>
      <c r="BZ20" s="38">
        <f t="shared" si="38"/>
        <v>0</v>
      </c>
      <c r="CA20" s="5">
        <f t="shared" si="39"/>
        <v>0</v>
      </c>
      <c r="CB20" s="38">
        <f t="shared" si="40"/>
        <v>0</v>
      </c>
      <c r="CC20" s="5"/>
      <c r="CD20" s="5"/>
      <c r="CE20" s="38">
        <f t="shared" si="41"/>
        <v>0</v>
      </c>
      <c r="CF20" s="38">
        <f t="shared" si="42"/>
        <v>0</v>
      </c>
      <c r="CG20" s="38">
        <f t="shared" si="43"/>
        <v>0</v>
      </c>
      <c r="CH20" s="5"/>
      <c r="CI20" s="5"/>
      <c r="CJ20" s="38">
        <f t="shared" si="44"/>
        <v>0</v>
      </c>
      <c r="CK20" s="38">
        <f t="shared" si="45"/>
        <v>0</v>
      </c>
      <c r="CL20" s="38">
        <f t="shared" si="46"/>
        <v>0</v>
      </c>
      <c r="CM20" s="5"/>
      <c r="CN20" s="38"/>
      <c r="CO20" s="38">
        <f t="shared" si="47"/>
        <v>0</v>
      </c>
      <c r="CP20" s="5">
        <f t="shared" si="48"/>
        <v>0</v>
      </c>
      <c r="CQ20" s="38">
        <f t="shared" si="49"/>
        <v>0</v>
      </c>
      <c r="CR20" s="5"/>
      <c r="CS20" s="5"/>
      <c r="CT20" s="38">
        <f t="shared" si="50"/>
        <v>0</v>
      </c>
      <c r="CU20" s="38">
        <f t="shared" si="51"/>
        <v>0</v>
      </c>
      <c r="CV20" s="38">
        <f t="shared" si="52"/>
        <v>0</v>
      </c>
      <c r="CW20" s="5"/>
      <c r="CX20" s="5"/>
      <c r="CY20" s="5">
        <f t="shared" si="53"/>
        <v>0</v>
      </c>
      <c r="CZ20" s="5">
        <f t="shared" si="54"/>
        <v>0</v>
      </c>
      <c r="DA20" s="38">
        <f t="shared" si="55"/>
        <v>0</v>
      </c>
      <c r="DB20" s="5"/>
      <c r="DC20" s="38"/>
      <c r="DD20" s="38">
        <f t="shared" si="56"/>
        <v>0</v>
      </c>
      <c r="DE20" s="5">
        <f t="shared" si="57"/>
        <v>0</v>
      </c>
      <c r="DF20" s="38">
        <f t="shared" si="58"/>
        <v>0</v>
      </c>
      <c r="DG20" s="5"/>
      <c r="DH20" s="38"/>
      <c r="DI20" s="38">
        <f t="shared" si="59"/>
        <v>0</v>
      </c>
      <c r="DJ20" s="5">
        <f t="shared" si="60"/>
        <v>0</v>
      </c>
      <c r="DK20" s="38">
        <f t="shared" si="61"/>
        <v>0</v>
      </c>
      <c r="DL20" s="5"/>
      <c r="DM20" s="38"/>
      <c r="DN20" s="38">
        <f t="shared" si="62"/>
        <v>0</v>
      </c>
      <c r="DO20" s="5">
        <f t="shared" si="63"/>
        <v>0</v>
      </c>
      <c r="DP20" s="38">
        <f t="shared" si="64"/>
        <v>0</v>
      </c>
      <c r="DQ20" s="5"/>
      <c r="DR20" s="38"/>
      <c r="DS20" s="38">
        <f t="shared" si="65"/>
        <v>0</v>
      </c>
      <c r="DT20" s="5">
        <f t="shared" si="66"/>
        <v>0</v>
      </c>
      <c r="DU20" s="38">
        <f t="shared" si="67"/>
        <v>0</v>
      </c>
      <c r="DV20" s="5"/>
      <c r="DW20" s="38"/>
      <c r="DX20" s="38">
        <f t="shared" si="68"/>
        <v>0</v>
      </c>
      <c r="DY20" s="5">
        <f t="shared" si="69"/>
        <v>0</v>
      </c>
      <c r="DZ20" s="38">
        <f t="shared" si="70"/>
        <v>0</v>
      </c>
      <c r="EA20" s="5"/>
      <c r="EB20" s="5"/>
      <c r="EC20" s="38">
        <f t="shared" si="71"/>
        <v>0</v>
      </c>
      <c r="ED20" s="38">
        <f t="shared" si="72"/>
        <v>0</v>
      </c>
      <c r="EE20" s="38">
        <f t="shared" si="73"/>
        <v>0</v>
      </c>
      <c r="EF20" s="5"/>
      <c r="EG20" s="5"/>
      <c r="EH20" s="38">
        <f t="shared" si="74"/>
        <v>0</v>
      </c>
      <c r="EI20" s="38">
        <f t="shared" si="75"/>
        <v>0</v>
      </c>
      <c r="EJ20" s="38">
        <f t="shared" si="76"/>
        <v>0</v>
      </c>
      <c r="EK20" s="5"/>
      <c r="EL20" s="38"/>
      <c r="EM20" s="38">
        <f t="shared" si="77"/>
        <v>0</v>
      </c>
      <c r="EN20" s="5">
        <f t="shared" si="78"/>
        <v>0</v>
      </c>
      <c r="EO20" s="38">
        <f t="shared" si="79"/>
        <v>0</v>
      </c>
      <c r="EP20" s="5"/>
      <c r="EQ20" s="38"/>
      <c r="ER20" s="38">
        <f t="shared" si="80"/>
        <v>0</v>
      </c>
      <c r="ES20" s="5">
        <f t="shared" si="81"/>
        <v>0</v>
      </c>
      <c r="ET20" s="38">
        <f t="shared" si="82"/>
        <v>0</v>
      </c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</row>
    <row r="21" spans="1:193" ht="12.75">
      <c r="A21" s="40">
        <v>46478</v>
      </c>
      <c r="B21" s="76"/>
      <c r="C21" s="76"/>
      <c r="D21" s="37">
        <f t="shared" si="0"/>
        <v>0</v>
      </c>
      <c r="E21" s="37"/>
      <c r="G21" s="38">
        <f>'Academic Project '!H21</f>
        <v>0</v>
      </c>
      <c r="H21" s="38">
        <f>'Academic Project '!I21</f>
        <v>0</v>
      </c>
      <c r="I21" s="38">
        <f t="shared" si="1"/>
        <v>0</v>
      </c>
      <c r="J21" s="38">
        <f>'Academic Project '!K21</f>
        <v>0</v>
      </c>
      <c r="L21" s="38">
        <f>Q21+V21+AA21+AK21+AP21+AU21+BJ21+BO21+BT21+CD21+CN21+CS21+CX21+DC21+DH21+DM21+DR21+DW21+EB21+EG21+EL21+EQ21+EV21+AF21+AZ21+BY21+CI21+BE21</f>
        <v>0</v>
      </c>
      <c r="M21" s="37">
        <f t="shared" si="2"/>
        <v>0</v>
      </c>
      <c r="N21" s="5">
        <f t="shared" si="3"/>
        <v>0</v>
      </c>
      <c r="O21" s="37">
        <f t="shared" si="2"/>
        <v>0</v>
      </c>
      <c r="Q21" s="38">
        <f t="shared" si="83"/>
        <v>0</v>
      </c>
      <c r="R21" s="38">
        <f t="shared" si="4"/>
        <v>0</v>
      </c>
      <c r="S21" s="5">
        <f t="shared" si="5"/>
        <v>0</v>
      </c>
      <c r="T21" s="38">
        <f t="shared" si="6"/>
        <v>0</v>
      </c>
      <c r="V21" s="5">
        <f t="shared" si="84"/>
        <v>0</v>
      </c>
      <c r="W21" s="38">
        <f t="shared" si="7"/>
        <v>0</v>
      </c>
      <c r="X21" s="38">
        <f t="shared" si="8"/>
        <v>0</v>
      </c>
      <c r="Y21" s="38">
        <f t="shared" si="9"/>
        <v>0</v>
      </c>
      <c r="AA21" s="5">
        <f t="shared" si="85"/>
        <v>0</v>
      </c>
      <c r="AB21" s="5">
        <f t="shared" si="10"/>
        <v>0</v>
      </c>
      <c r="AC21" s="5">
        <f t="shared" si="11"/>
        <v>0</v>
      </c>
      <c r="AD21" s="38">
        <f t="shared" si="12"/>
        <v>0</v>
      </c>
      <c r="AF21" s="5">
        <f t="shared" si="86"/>
        <v>0</v>
      </c>
      <c r="AG21" s="5">
        <f t="shared" si="13"/>
        <v>0</v>
      </c>
      <c r="AH21" s="5">
        <f t="shared" si="14"/>
        <v>0</v>
      </c>
      <c r="AI21" s="38">
        <f t="shared" si="15"/>
        <v>0</v>
      </c>
      <c r="AK21" s="38">
        <f t="shared" si="87"/>
        <v>0</v>
      </c>
      <c r="AL21" s="38">
        <f t="shared" si="16"/>
        <v>0</v>
      </c>
      <c r="AM21" s="5">
        <f t="shared" si="17"/>
        <v>0</v>
      </c>
      <c r="AN21" s="38"/>
      <c r="AP21" s="38">
        <f t="shared" si="88"/>
        <v>0</v>
      </c>
      <c r="AQ21" s="38">
        <f t="shared" si="18"/>
        <v>0</v>
      </c>
      <c r="AR21" s="5">
        <f t="shared" si="19"/>
        <v>0</v>
      </c>
      <c r="AS21" s="38">
        <f t="shared" si="20"/>
        <v>0</v>
      </c>
      <c r="AT21" s="5"/>
      <c r="AU21" s="38">
        <f t="shared" si="89"/>
        <v>0</v>
      </c>
      <c r="AV21" s="38">
        <f t="shared" si="21"/>
        <v>0</v>
      </c>
      <c r="AW21" s="5">
        <f t="shared" si="22"/>
        <v>0</v>
      </c>
      <c r="AX21" s="38">
        <f t="shared" si="23"/>
        <v>0</v>
      </c>
      <c r="AY21" s="5"/>
      <c r="AZ21" s="38">
        <f t="shared" si="90"/>
        <v>0</v>
      </c>
      <c r="BA21" s="38">
        <f t="shared" si="24"/>
        <v>0</v>
      </c>
      <c r="BB21" s="5">
        <f t="shared" si="25"/>
        <v>0</v>
      </c>
      <c r="BC21" s="38">
        <f t="shared" si="26"/>
        <v>0</v>
      </c>
      <c r="BD21" s="5"/>
      <c r="BE21" s="38">
        <f>B21*$BF$6</f>
        <v>0</v>
      </c>
      <c r="BF21" s="38">
        <f t="shared" si="27"/>
        <v>0</v>
      </c>
      <c r="BG21" s="5">
        <f t="shared" si="28"/>
        <v>0</v>
      </c>
      <c r="BH21" s="38"/>
      <c r="BI21" s="5"/>
      <c r="BJ21" s="38">
        <f t="shared" si="91"/>
        <v>0</v>
      </c>
      <c r="BK21" s="38">
        <f t="shared" si="29"/>
        <v>0</v>
      </c>
      <c r="BL21" s="5">
        <f t="shared" si="30"/>
        <v>0</v>
      </c>
      <c r="BM21" s="38">
        <f t="shared" si="31"/>
        <v>0</v>
      </c>
      <c r="BN21" s="5"/>
      <c r="BO21" s="5">
        <f t="shared" si="92"/>
        <v>0</v>
      </c>
      <c r="BP21" s="5">
        <f t="shared" si="32"/>
        <v>0</v>
      </c>
      <c r="BQ21" s="5">
        <f t="shared" si="33"/>
        <v>0</v>
      </c>
      <c r="BR21" s="38">
        <f t="shared" si="34"/>
        <v>0</v>
      </c>
      <c r="BS21" s="5"/>
      <c r="BT21" s="38">
        <f t="shared" si="93"/>
        <v>0</v>
      </c>
      <c r="BU21" s="38">
        <f t="shared" si="35"/>
        <v>0</v>
      </c>
      <c r="BV21" s="5">
        <f t="shared" si="36"/>
        <v>0</v>
      </c>
      <c r="BW21" s="38">
        <f t="shared" si="37"/>
        <v>0</v>
      </c>
      <c r="BX21" s="5"/>
      <c r="BY21" s="38">
        <f t="shared" si="94"/>
        <v>0</v>
      </c>
      <c r="BZ21" s="38">
        <f t="shared" si="38"/>
        <v>0</v>
      </c>
      <c r="CA21" s="5">
        <f t="shared" si="39"/>
        <v>0</v>
      </c>
      <c r="CB21" s="38">
        <f t="shared" si="40"/>
        <v>0</v>
      </c>
      <c r="CC21" s="5"/>
      <c r="CD21" s="5">
        <f t="shared" si="95"/>
        <v>0</v>
      </c>
      <c r="CE21" s="38">
        <f t="shared" si="41"/>
        <v>0</v>
      </c>
      <c r="CF21" s="38">
        <f t="shared" si="42"/>
        <v>0</v>
      </c>
      <c r="CG21" s="38">
        <f t="shared" si="43"/>
        <v>0</v>
      </c>
      <c r="CH21" s="5"/>
      <c r="CI21" s="5">
        <f t="shared" si="96"/>
        <v>0</v>
      </c>
      <c r="CJ21" s="38">
        <f t="shared" si="44"/>
        <v>0</v>
      </c>
      <c r="CK21" s="38">
        <f t="shared" si="45"/>
        <v>0</v>
      </c>
      <c r="CL21" s="38">
        <f t="shared" si="46"/>
        <v>0</v>
      </c>
      <c r="CM21" s="5"/>
      <c r="CN21" s="38">
        <f t="shared" si="97"/>
        <v>0</v>
      </c>
      <c r="CO21" s="38">
        <f t="shared" si="47"/>
        <v>0</v>
      </c>
      <c r="CP21" s="5">
        <f t="shared" si="48"/>
        <v>0</v>
      </c>
      <c r="CQ21" s="38">
        <f t="shared" si="49"/>
        <v>0</v>
      </c>
      <c r="CR21" s="5"/>
      <c r="CS21" s="5">
        <f t="shared" si="98"/>
        <v>0</v>
      </c>
      <c r="CT21" s="38">
        <f t="shared" si="50"/>
        <v>0</v>
      </c>
      <c r="CU21" s="38">
        <f t="shared" si="51"/>
        <v>0</v>
      </c>
      <c r="CV21" s="38">
        <f t="shared" si="52"/>
        <v>0</v>
      </c>
      <c r="CW21" s="5"/>
      <c r="CX21" s="5">
        <f t="shared" si="99"/>
        <v>0</v>
      </c>
      <c r="CY21" s="5">
        <f t="shared" si="53"/>
        <v>0</v>
      </c>
      <c r="CZ21" s="5">
        <f t="shared" si="54"/>
        <v>0</v>
      </c>
      <c r="DA21" s="38">
        <f t="shared" si="55"/>
        <v>0</v>
      </c>
      <c r="DB21" s="5"/>
      <c r="DC21" s="38">
        <f t="shared" si="100"/>
        <v>0</v>
      </c>
      <c r="DD21" s="38">
        <f t="shared" si="56"/>
        <v>0</v>
      </c>
      <c r="DE21" s="5">
        <f t="shared" si="57"/>
        <v>0</v>
      </c>
      <c r="DF21" s="38">
        <f t="shared" si="58"/>
        <v>0</v>
      </c>
      <c r="DG21" s="5"/>
      <c r="DH21" s="38">
        <f t="shared" si="101"/>
        <v>0</v>
      </c>
      <c r="DI21" s="38">
        <f t="shared" si="59"/>
        <v>0</v>
      </c>
      <c r="DJ21" s="5">
        <f t="shared" si="60"/>
        <v>0</v>
      </c>
      <c r="DK21" s="38">
        <f t="shared" si="61"/>
        <v>0</v>
      </c>
      <c r="DL21" s="5"/>
      <c r="DM21" s="38">
        <f t="shared" si="102"/>
        <v>0</v>
      </c>
      <c r="DN21" s="38">
        <f t="shared" si="62"/>
        <v>0</v>
      </c>
      <c r="DO21" s="5">
        <f t="shared" si="63"/>
        <v>0</v>
      </c>
      <c r="DP21" s="38">
        <f t="shared" si="64"/>
        <v>0</v>
      </c>
      <c r="DQ21" s="5"/>
      <c r="DR21" s="38">
        <f t="shared" si="103"/>
        <v>0</v>
      </c>
      <c r="DS21" s="38">
        <f t="shared" si="65"/>
        <v>0</v>
      </c>
      <c r="DT21" s="5">
        <f t="shared" si="66"/>
        <v>0</v>
      </c>
      <c r="DU21" s="38">
        <f t="shared" si="67"/>
        <v>0</v>
      </c>
      <c r="DV21" s="5"/>
      <c r="DW21" s="38">
        <f t="shared" si="104"/>
        <v>0</v>
      </c>
      <c r="DX21" s="38">
        <f t="shared" si="68"/>
        <v>0</v>
      </c>
      <c r="DY21" s="5">
        <f t="shared" si="69"/>
        <v>0</v>
      </c>
      <c r="DZ21" s="38">
        <f t="shared" si="70"/>
        <v>0</v>
      </c>
      <c r="EA21" s="5"/>
      <c r="EB21" s="5">
        <f t="shared" si="105"/>
        <v>0</v>
      </c>
      <c r="EC21" s="38">
        <f t="shared" si="71"/>
        <v>0</v>
      </c>
      <c r="ED21" s="38">
        <f t="shared" si="72"/>
        <v>0</v>
      </c>
      <c r="EE21" s="38">
        <f t="shared" si="73"/>
        <v>0</v>
      </c>
      <c r="EF21" s="5"/>
      <c r="EG21" s="5">
        <f t="shared" si="106"/>
        <v>0</v>
      </c>
      <c r="EH21" s="38">
        <f t="shared" si="74"/>
        <v>0</v>
      </c>
      <c r="EI21" s="38">
        <f t="shared" si="75"/>
        <v>0</v>
      </c>
      <c r="EJ21" s="38">
        <f t="shared" si="76"/>
        <v>0</v>
      </c>
      <c r="EK21" s="5"/>
      <c r="EL21" s="38">
        <f t="shared" si="107"/>
        <v>0</v>
      </c>
      <c r="EM21" s="38">
        <f t="shared" si="77"/>
        <v>0</v>
      </c>
      <c r="EN21" s="5">
        <f t="shared" si="78"/>
        <v>0</v>
      </c>
      <c r="EO21" s="38">
        <f t="shared" si="79"/>
        <v>0</v>
      </c>
      <c r="EP21" s="5"/>
      <c r="EQ21" s="38">
        <f t="shared" si="108"/>
        <v>0</v>
      </c>
      <c r="ER21" s="38">
        <f t="shared" si="80"/>
        <v>0</v>
      </c>
      <c r="ES21" s="5">
        <f t="shared" si="81"/>
        <v>0</v>
      </c>
      <c r="ET21" s="38">
        <f t="shared" si="82"/>
        <v>0</v>
      </c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ht="12.75">
      <c r="A22" s="40">
        <v>46661</v>
      </c>
      <c r="B22" s="76"/>
      <c r="C22" s="76"/>
      <c r="D22" s="37">
        <f t="shared" si="0"/>
        <v>0</v>
      </c>
      <c r="E22" s="37"/>
      <c r="G22" s="38">
        <f>'Academic Project '!H22</f>
        <v>0</v>
      </c>
      <c r="H22" s="38">
        <f>'Academic Project '!I22</f>
        <v>0</v>
      </c>
      <c r="I22" s="38">
        <f t="shared" si="1"/>
        <v>0</v>
      </c>
      <c r="J22" s="38">
        <f>'Academic Project '!K22</f>
        <v>0</v>
      </c>
      <c r="L22" s="38"/>
      <c r="M22" s="37">
        <f t="shared" si="2"/>
        <v>0</v>
      </c>
      <c r="N22" s="5">
        <f t="shared" si="3"/>
        <v>0</v>
      </c>
      <c r="O22" s="37">
        <f t="shared" si="2"/>
        <v>0</v>
      </c>
      <c r="Q22" s="38"/>
      <c r="R22" s="38">
        <f t="shared" si="4"/>
        <v>0</v>
      </c>
      <c r="S22" s="5">
        <f t="shared" si="5"/>
        <v>0</v>
      </c>
      <c r="T22" s="38">
        <f t="shared" si="6"/>
        <v>0</v>
      </c>
      <c r="W22" s="38">
        <f t="shared" si="7"/>
        <v>0</v>
      </c>
      <c r="X22" s="38">
        <f t="shared" si="8"/>
        <v>0</v>
      </c>
      <c r="Y22" s="38">
        <f t="shared" si="9"/>
        <v>0</v>
      </c>
      <c r="AB22" s="5">
        <f t="shared" si="10"/>
        <v>0</v>
      </c>
      <c r="AC22" s="5">
        <f t="shared" si="11"/>
        <v>0</v>
      </c>
      <c r="AD22" s="38">
        <f t="shared" si="12"/>
        <v>0</v>
      </c>
      <c r="AG22" s="5">
        <f t="shared" si="13"/>
        <v>0</v>
      </c>
      <c r="AH22" s="5">
        <f t="shared" si="14"/>
        <v>0</v>
      </c>
      <c r="AI22" s="38">
        <f t="shared" si="15"/>
        <v>0</v>
      </c>
      <c r="AK22" s="38"/>
      <c r="AL22" s="38">
        <f t="shared" si="16"/>
        <v>0</v>
      </c>
      <c r="AM22" s="5">
        <f t="shared" si="17"/>
        <v>0</v>
      </c>
      <c r="AN22" s="38"/>
      <c r="AP22" s="38"/>
      <c r="AQ22" s="38">
        <f t="shared" si="18"/>
        <v>0</v>
      </c>
      <c r="AR22" s="5">
        <f t="shared" si="19"/>
        <v>0</v>
      </c>
      <c r="AS22" s="38">
        <f t="shared" si="20"/>
        <v>0</v>
      </c>
      <c r="AT22" s="5"/>
      <c r="AU22" s="38"/>
      <c r="AV22" s="38">
        <f t="shared" si="21"/>
        <v>0</v>
      </c>
      <c r="AW22" s="5">
        <f t="shared" si="22"/>
        <v>0</v>
      </c>
      <c r="AX22" s="38">
        <f t="shared" si="23"/>
        <v>0</v>
      </c>
      <c r="AY22" s="5"/>
      <c r="AZ22" s="38"/>
      <c r="BA22" s="38">
        <f t="shared" si="24"/>
        <v>0</v>
      </c>
      <c r="BB22" s="5">
        <f t="shared" si="25"/>
        <v>0</v>
      </c>
      <c r="BC22" s="38">
        <f t="shared" si="26"/>
        <v>0</v>
      </c>
      <c r="BD22" s="5"/>
      <c r="BE22" s="38"/>
      <c r="BF22" s="38">
        <f t="shared" si="27"/>
        <v>0</v>
      </c>
      <c r="BG22" s="5">
        <f t="shared" si="28"/>
        <v>0</v>
      </c>
      <c r="BH22" s="38"/>
      <c r="BI22" s="5"/>
      <c r="BJ22" s="38"/>
      <c r="BK22" s="38">
        <f t="shared" si="29"/>
        <v>0</v>
      </c>
      <c r="BL22" s="5">
        <f t="shared" si="30"/>
        <v>0</v>
      </c>
      <c r="BM22" s="38">
        <f t="shared" si="31"/>
        <v>0</v>
      </c>
      <c r="BN22" s="5"/>
      <c r="BO22" s="5"/>
      <c r="BP22" s="5">
        <f t="shared" si="32"/>
        <v>0</v>
      </c>
      <c r="BQ22" s="5">
        <f t="shared" si="33"/>
        <v>0</v>
      </c>
      <c r="BR22" s="38">
        <f t="shared" si="34"/>
        <v>0</v>
      </c>
      <c r="BS22" s="5"/>
      <c r="BT22" s="38"/>
      <c r="BU22" s="38">
        <f t="shared" si="35"/>
        <v>0</v>
      </c>
      <c r="BV22" s="5">
        <f t="shared" si="36"/>
        <v>0</v>
      </c>
      <c r="BW22" s="38">
        <f t="shared" si="37"/>
        <v>0</v>
      </c>
      <c r="BX22" s="5"/>
      <c r="BY22" s="38"/>
      <c r="BZ22" s="38">
        <f t="shared" si="38"/>
        <v>0</v>
      </c>
      <c r="CA22" s="5">
        <f t="shared" si="39"/>
        <v>0</v>
      </c>
      <c r="CB22" s="38">
        <f t="shared" si="40"/>
        <v>0</v>
      </c>
      <c r="CC22" s="5"/>
      <c r="CD22" s="5"/>
      <c r="CE22" s="38">
        <f t="shared" si="41"/>
        <v>0</v>
      </c>
      <c r="CF22" s="38">
        <f t="shared" si="42"/>
        <v>0</v>
      </c>
      <c r="CG22" s="38">
        <f t="shared" si="43"/>
        <v>0</v>
      </c>
      <c r="CH22" s="5"/>
      <c r="CI22" s="5"/>
      <c r="CJ22" s="38">
        <f t="shared" si="44"/>
        <v>0</v>
      </c>
      <c r="CK22" s="38">
        <f t="shared" si="45"/>
        <v>0</v>
      </c>
      <c r="CL22" s="38">
        <f t="shared" si="46"/>
        <v>0</v>
      </c>
      <c r="CM22" s="5"/>
      <c r="CN22" s="38"/>
      <c r="CO22" s="38">
        <f t="shared" si="47"/>
        <v>0</v>
      </c>
      <c r="CP22" s="5">
        <f t="shared" si="48"/>
        <v>0</v>
      </c>
      <c r="CQ22" s="38">
        <f t="shared" si="49"/>
        <v>0</v>
      </c>
      <c r="CR22" s="5"/>
      <c r="CS22" s="5"/>
      <c r="CT22" s="38">
        <f t="shared" si="50"/>
        <v>0</v>
      </c>
      <c r="CU22" s="38">
        <f t="shared" si="51"/>
        <v>0</v>
      </c>
      <c r="CV22" s="38">
        <f t="shared" si="52"/>
        <v>0</v>
      </c>
      <c r="CW22" s="5"/>
      <c r="CX22" s="5"/>
      <c r="CY22" s="5">
        <f t="shared" si="53"/>
        <v>0</v>
      </c>
      <c r="CZ22" s="5">
        <f t="shared" si="54"/>
        <v>0</v>
      </c>
      <c r="DA22" s="38">
        <f t="shared" si="55"/>
        <v>0</v>
      </c>
      <c r="DB22" s="5"/>
      <c r="DC22" s="38"/>
      <c r="DD22" s="38">
        <f t="shared" si="56"/>
        <v>0</v>
      </c>
      <c r="DE22" s="5">
        <f t="shared" si="57"/>
        <v>0</v>
      </c>
      <c r="DF22" s="38">
        <f t="shared" si="58"/>
        <v>0</v>
      </c>
      <c r="DG22" s="5"/>
      <c r="DH22" s="38"/>
      <c r="DI22" s="38">
        <f t="shared" si="59"/>
        <v>0</v>
      </c>
      <c r="DJ22" s="5">
        <f t="shared" si="60"/>
        <v>0</v>
      </c>
      <c r="DK22" s="38">
        <f t="shared" si="61"/>
        <v>0</v>
      </c>
      <c r="DL22" s="5"/>
      <c r="DM22" s="38"/>
      <c r="DN22" s="38">
        <f t="shared" si="62"/>
        <v>0</v>
      </c>
      <c r="DO22" s="5">
        <f t="shared" si="63"/>
        <v>0</v>
      </c>
      <c r="DP22" s="38">
        <f t="shared" si="64"/>
        <v>0</v>
      </c>
      <c r="DQ22" s="5"/>
      <c r="DR22" s="38"/>
      <c r="DS22" s="38">
        <f t="shared" si="65"/>
        <v>0</v>
      </c>
      <c r="DT22" s="5">
        <f t="shared" si="66"/>
        <v>0</v>
      </c>
      <c r="DU22" s="38">
        <f t="shared" si="67"/>
        <v>0</v>
      </c>
      <c r="DV22" s="5"/>
      <c r="DW22" s="38"/>
      <c r="DX22" s="38">
        <f t="shared" si="68"/>
        <v>0</v>
      </c>
      <c r="DY22" s="5">
        <f t="shared" si="69"/>
        <v>0</v>
      </c>
      <c r="DZ22" s="38">
        <f t="shared" si="70"/>
        <v>0</v>
      </c>
      <c r="EA22" s="5"/>
      <c r="EB22" s="5"/>
      <c r="EC22" s="38">
        <f t="shared" si="71"/>
        <v>0</v>
      </c>
      <c r="ED22" s="38">
        <f t="shared" si="72"/>
        <v>0</v>
      </c>
      <c r="EE22" s="38">
        <f t="shared" si="73"/>
        <v>0</v>
      </c>
      <c r="EF22" s="5"/>
      <c r="EG22" s="5"/>
      <c r="EH22" s="38">
        <f t="shared" si="74"/>
        <v>0</v>
      </c>
      <c r="EI22" s="38">
        <f t="shared" si="75"/>
        <v>0</v>
      </c>
      <c r="EJ22" s="38">
        <f t="shared" si="76"/>
        <v>0</v>
      </c>
      <c r="EK22" s="5"/>
      <c r="EL22" s="38"/>
      <c r="EM22" s="38">
        <f t="shared" si="77"/>
        <v>0</v>
      </c>
      <c r="EN22" s="5">
        <f t="shared" si="78"/>
        <v>0</v>
      </c>
      <c r="EO22" s="38">
        <f t="shared" si="79"/>
        <v>0</v>
      </c>
      <c r="EP22" s="5"/>
      <c r="EQ22" s="38"/>
      <c r="ER22" s="38">
        <f t="shared" si="80"/>
        <v>0</v>
      </c>
      <c r="ES22" s="5">
        <f t="shared" si="81"/>
        <v>0</v>
      </c>
      <c r="ET22" s="38">
        <f t="shared" si="82"/>
        <v>0</v>
      </c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</row>
    <row r="23" spans="1:193" ht="12.75">
      <c r="A23" s="40">
        <v>46844</v>
      </c>
      <c r="B23" s="76"/>
      <c r="C23" s="76"/>
      <c r="D23" s="37">
        <f t="shared" si="0"/>
        <v>0</v>
      </c>
      <c r="E23" s="37"/>
      <c r="G23" s="38">
        <f>'Academic Project '!H23</f>
        <v>0</v>
      </c>
      <c r="H23" s="38">
        <f>'Academic Project '!I23</f>
        <v>0</v>
      </c>
      <c r="I23" s="38">
        <f t="shared" si="1"/>
        <v>0</v>
      </c>
      <c r="J23" s="38">
        <f>'Academic Project '!K23</f>
        <v>0</v>
      </c>
      <c r="L23" s="38">
        <f>Q23+V23+AA23+AK23+AP23+AU23+BJ23+BO23+BT23+CD23+CN23+CS23+CX23+DC23+DH23+DM23+DR23+DW23+EB23+EG23+EL23+EQ23+EV23+AF23+AZ23+BY23+CI23+BE23</f>
        <v>0</v>
      </c>
      <c r="M23" s="37">
        <f t="shared" si="2"/>
        <v>0</v>
      </c>
      <c r="N23" s="5">
        <f t="shared" si="3"/>
        <v>0</v>
      </c>
      <c r="O23" s="37">
        <f t="shared" si="2"/>
        <v>0</v>
      </c>
      <c r="Q23" s="38">
        <f t="shared" si="83"/>
        <v>0</v>
      </c>
      <c r="R23" s="38">
        <f t="shared" si="4"/>
        <v>0</v>
      </c>
      <c r="S23" s="5">
        <f t="shared" si="5"/>
        <v>0</v>
      </c>
      <c r="T23" s="38">
        <f t="shared" si="6"/>
        <v>0</v>
      </c>
      <c r="V23" s="5">
        <f t="shared" si="84"/>
        <v>0</v>
      </c>
      <c r="W23" s="38">
        <f t="shared" si="7"/>
        <v>0</v>
      </c>
      <c r="X23" s="38">
        <f t="shared" si="8"/>
        <v>0</v>
      </c>
      <c r="Y23" s="38">
        <f t="shared" si="9"/>
        <v>0</v>
      </c>
      <c r="AA23" s="5">
        <f t="shared" si="85"/>
        <v>0</v>
      </c>
      <c r="AB23" s="5">
        <f t="shared" si="10"/>
        <v>0</v>
      </c>
      <c r="AC23" s="5">
        <f t="shared" si="11"/>
        <v>0</v>
      </c>
      <c r="AD23" s="38">
        <f t="shared" si="12"/>
        <v>0</v>
      </c>
      <c r="AF23" s="5">
        <f t="shared" si="86"/>
        <v>0</v>
      </c>
      <c r="AG23" s="5">
        <f t="shared" si="13"/>
        <v>0</v>
      </c>
      <c r="AH23" s="5">
        <f t="shared" si="14"/>
        <v>0</v>
      </c>
      <c r="AI23" s="38">
        <f t="shared" si="15"/>
        <v>0</v>
      </c>
      <c r="AK23" s="38">
        <f t="shared" si="87"/>
        <v>0</v>
      </c>
      <c r="AL23" s="38">
        <f t="shared" si="16"/>
        <v>0</v>
      </c>
      <c r="AM23" s="5">
        <f t="shared" si="17"/>
        <v>0</v>
      </c>
      <c r="AN23" s="38"/>
      <c r="AP23" s="38">
        <f t="shared" si="88"/>
        <v>0</v>
      </c>
      <c r="AQ23" s="38">
        <f t="shared" si="18"/>
        <v>0</v>
      </c>
      <c r="AR23" s="5">
        <f t="shared" si="19"/>
        <v>0</v>
      </c>
      <c r="AS23" s="38">
        <f t="shared" si="20"/>
        <v>0</v>
      </c>
      <c r="AT23" s="5"/>
      <c r="AU23" s="38">
        <f t="shared" si="89"/>
        <v>0</v>
      </c>
      <c r="AV23" s="38">
        <f t="shared" si="21"/>
        <v>0</v>
      </c>
      <c r="AW23" s="5">
        <f t="shared" si="22"/>
        <v>0</v>
      </c>
      <c r="AX23" s="38">
        <f t="shared" si="23"/>
        <v>0</v>
      </c>
      <c r="AY23" s="5"/>
      <c r="AZ23" s="38">
        <f t="shared" si="90"/>
        <v>0</v>
      </c>
      <c r="BA23" s="38">
        <f t="shared" si="24"/>
        <v>0</v>
      </c>
      <c r="BB23" s="5">
        <f t="shared" si="25"/>
        <v>0</v>
      </c>
      <c r="BC23" s="38">
        <f t="shared" si="26"/>
        <v>0</v>
      </c>
      <c r="BD23" s="5"/>
      <c r="BE23" s="38">
        <f>B23*$BF$6</f>
        <v>0</v>
      </c>
      <c r="BF23" s="38">
        <f t="shared" si="27"/>
        <v>0</v>
      </c>
      <c r="BG23" s="5">
        <f t="shared" si="28"/>
        <v>0</v>
      </c>
      <c r="BH23" s="38"/>
      <c r="BI23" s="5"/>
      <c r="BJ23" s="38">
        <f t="shared" si="91"/>
        <v>0</v>
      </c>
      <c r="BK23" s="38">
        <f t="shared" si="29"/>
        <v>0</v>
      </c>
      <c r="BL23" s="5">
        <f t="shared" si="30"/>
        <v>0</v>
      </c>
      <c r="BM23" s="38">
        <f t="shared" si="31"/>
        <v>0</v>
      </c>
      <c r="BN23" s="5"/>
      <c r="BO23" s="5">
        <f t="shared" si="92"/>
        <v>0</v>
      </c>
      <c r="BP23" s="5">
        <f t="shared" si="32"/>
        <v>0</v>
      </c>
      <c r="BQ23" s="5">
        <f t="shared" si="33"/>
        <v>0</v>
      </c>
      <c r="BR23" s="38">
        <f t="shared" si="34"/>
        <v>0</v>
      </c>
      <c r="BS23" s="5"/>
      <c r="BT23" s="38">
        <f t="shared" si="93"/>
        <v>0</v>
      </c>
      <c r="BU23" s="38">
        <f t="shared" si="35"/>
        <v>0</v>
      </c>
      <c r="BV23" s="5">
        <f t="shared" si="36"/>
        <v>0</v>
      </c>
      <c r="BW23" s="38">
        <f t="shared" si="37"/>
        <v>0</v>
      </c>
      <c r="BX23" s="5"/>
      <c r="BY23" s="38">
        <f t="shared" si="94"/>
        <v>0</v>
      </c>
      <c r="BZ23" s="38">
        <f t="shared" si="38"/>
        <v>0</v>
      </c>
      <c r="CA23" s="5">
        <f t="shared" si="39"/>
        <v>0</v>
      </c>
      <c r="CB23" s="38">
        <f t="shared" si="40"/>
        <v>0</v>
      </c>
      <c r="CC23" s="5"/>
      <c r="CD23" s="5">
        <f t="shared" si="95"/>
        <v>0</v>
      </c>
      <c r="CE23" s="38">
        <f t="shared" si="41"/>
        <v>0</v>
      </c>
      <c r="CF23" s="38">
        <f t="shared" si="42"/>
        <v>0</v>
      </c>
      <c r="CG23" s="38">
        <f t="shared" si="43"/>
        <v>0</v>
      </c>
      <c r="CH23" s="5"/>
      <c r="CI23" s="5">
        <f t="shared" si="96"/>
        <v>0</v>
      </c>
      <c r="CJ23" s="38">
        <f t="shared" si="44"/>
        <v>0</v>
      </c>
      <c r="CK23" s="38">
        <f t="shared" si="45"/>
        <v>0</v>
      </c>
      <c r="CL23" s="38">
        <f t="shared" si="46"/>
        <v>0</v>
      </c>
      <c r="CM23" s="5"/>
      <c r="CN23" s="38">
        <f t="shared" si="97"/>
        <v>0</v>
      </c>
      <c r="CO23" s="38">
        <f t="shared" si="47"/>
        <v>0</v>
      </c>
      <c r="CP23" s="5">
        <f t="shared" si="48"/>
        <v>0</v>
      </c>
      <c r="CQ23" s="38">
        <f t="shared" si="49"/>
        <v>0</v>
      </c>
      <c r="CR23" s="5"/>
      <c r="CS23" s="5">
        <f t="shared" si="98"/>
        <v>0</v>
      </c>
      <c r="CT23" s="38">
        <f t="shared" si="50"/>
        <v>0</v>
      </c>
      <c r="CU23" s="38">
        <f t="shared" si="51"/>
        <v>0</v>
      </c>
      <c r="CV23" s="38">
        <f t="shared" si="52"/>
        <v>0</v>
      </c>
      <c r="CW23" s="5"/>
      <c r="CX23" s="5">
        <f t="shared" si="99"/>
        <v>0</v>
      </c>
      <c r="CY23" s="5">
        <f t="shared" si="53"/>
        <v>0</v>
      </c>
      <c r="CZ23" s="5">
        <f t="shared" si="54"/>
        <v>0</v>
      </c>
      <c r="DA23" s="38">
        <f t="shared" si="55"/>
        <v>0</v>
      </c>
      <c r="DB23" s="5"/>
      <c r="DC23" s="38">
        <f t="shared" si="100"/>
        <v>0</v>
      </c>
      <c r="DD23" s="38">
        <f t="shared" si="56"/>
        <v>0</v>
      </c>
      <c r="DE23" s="5">
        <f t="shared" si="57"/>
        <v>0</v>
      </c>
      <c r="DF23" s="38">
        <f t="shared" si="58"/>
        <v>0</v>
      </c>
      <c r="DG23" s="5"/>
      <c r="DH23" s="38">
        <f t="shared" si="101"/>
        <v>0</v>
      </c>
      <c r="DI23" s="38">
        <f t="shared" si="59"/>
        <v>0</v>
      </c>
      <c r="DJ23" s="5">
        <f t="shared" si="60"/>
        <v>0</v>
      </c>
      <c r="DK23" s="38">
        <f t="shared" si="61"/>
        <v>0</v>
      </c>
      <c r="DL23" s="5"/>
      <c r="DM23" s="38">
        <f t="shared" si="102"/>
        <v>0</v>
      </c>
      <c r="DN23" s="38">
        <f t="shared" si="62"/>
        <v>0</v>
      </c>
      <c r="DO23" s="5">
        <f t="shared" si="63"/>
        <v>0</v>
      </c>
      <c r="DP23" s="38">
        <f t="shared" si="64"/>
        <v>0</v>
      </c>
      <c r="DQ23" s="5"/>
      <c r="DR23" s="38">
        <f t="shared" si="103"/>
        <v>0</v>
      </c>
      <c r="DS23" s="38">
        <f t="shared" si="65"/>
        <v>0</v>
      </c>
      <c r="DT23" s="5">
        <f t="shared" si="66"/>
        <v>0</v>
      </c>
      <c r="DU23" s="38">
        <f t="shared" si="67"/>
        <v>0</v>
      </c>
      <c r="DV23" s="5"/>
      <c r="DW23" s="38">
        <f t="shared" si="104"/>
        <v>0</v>
      </c>
      <c r="DX23" s="38">
        <f t="shared" si="68"/>
        <v>0</v>
      </c>
      <c r="DY23" s="5">
        <f t="shared" si="69"/>
        <v>0</v>
      </c>
      <c r="DZ23" s="38">
        <f t="shared" si="70"/>
        <v>0</v>
      </c>
      <c r="EA23" s="5"/>
      <c r="EB23" s="5">
        <f t="shared" si="105"/>
        <v>0</v>
      </c>
      <c r="EC23" s="38">
        <f t="shared" si="71"/>
        <v>0</v>
      </c>
      <c r="ED23" s="38">
        <f t="shared" si="72"/>
        <v>0</v>
      </c>
      <c r="EE23" s="38">
        <f t="shared" si="73"/>
        <v>0</v>
      </c>
      <c r="EF23" s="5"/>
      <c r="EG23" s="5">
        <f t="shared" si="106"/>
        <v>0</v>
      </c>
      <c r="EH23" s="38">
        <f t="shared" si="74"/>
        <v>0</v>
      </c>
      <c r="EI23" s="38">
        <f t="shared" si="75"/>
        <v>0</v>
      </c>
      <c r="EJ23" s="38">
        <f t="shared" si="76"/>
        <v>0</v>
      </c>
      <c r="EK23" s="5"/>
      <c r="EL23" s="38">
        <f t="shared" si="107"/>
        <v>0</v>
      </c>
      <c r="EM23" s="38">
        <f t="shared" si="77"/>
        <v>0</v>
      </c>
      <c r="EN23" s="5">
        <f t="shared" si="78"/>
        <v>0</v>
      </c>
      <c r="EO23" s="38">
        <f t="shared" si="79"/>
        <v>0</v>
      </c>
      <c r="EP23" s="5"/>
      <c r="EQ23" s="38">
        <f t="shared" si="108"/>
        <v>0</v>
      </c>
      <c r="ER23" s="38">
        <f t="shared" si="80"/>
        <v>0</v>
      </c>
      <c r="ES23" s="5">
        <f t="shared" si="81"/>
        <v>0</v>
      </c>
      <c r="ET23" s="38">
        <f t="shared" si="82"/>
        <v>0</v>
      </c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ht="12.75">
      <c r="A24" s="40">
        <v>47027</v>
      </c>
      <c r="B24" s="76"/>
      <c r="C24" s="76"/>
      <c r="D24" s="37">
        <f t="shared" si="0"/>
        <v>0</v>
      </c>
      <c r="E24" s="37"/>
      <c r="G24" s="38">
        <f>'Academic Project '!H24</f>
        <v>0</v>
      </c>
      <c r="H24" s="38">
        <f>'Academic Project '!I24</f>
        <v>0</v>
      </c>
      <c r="I24" s="38">
        <f t="shared" si="1"/>
        <v>0</v>
      </c>
      <c r="J24" s="38">
        <f>'Academic Project '!K24</f>
        <v>0</v>
      </c>
      <c r="L24" s="38"/>
      <c r="M24" s="37">
        <f t="shared" si="2"/>
        <v>0</v>
      </c>
      <c r="N24" s="5">
        <f t="shared" si="3"/>
        <v>0</v>
      </c>
      <c r="O24" s="37">
        <f t="shared" si="2"/>
        <v>0</v>
      </c>
      <c r="Q24" s="38"/>
      <c r="R24" s="38">
        <f t="shared" si="4"/>
        <v>0</v>
      </c>
      <c r="S24" s="5">
        <f t="shared" si="5"/>
        <v>0</v>
      </c>
      <c r="T24" s="38">
        <f t="shared" si="6"/>
        <v>0</v>
      </c>
      <c r="W24" s="38">
        <f t="shared" si="7"/>
        <v>0</v>
      </c>
      <c r="X24" s="38">
        <f t="shared" si="8"/>
        <v>0</v>
      </c>
      <c r="Y24" s="38">
        <f t="shared" si="9"/>
        <v>0</v>
      </c>
      <c r="AB24" s="5">
        <f t="shared" si="10"/>
        <v>0</v>
      </c>
      <c r="AC24" s="5">
        <f t="shared" si="11"/>
        <v>0</v>
      </c>
      <c r="AD24" s="38">
        <f t="shared" si="12"/>
        <v>0</v>
      </c>
      <c r="AG24" s="5">
        <f t="shared" si="13"/>
        <v>0</v>
      </c>
      <c r="AH24" s="5">
        <f t="shared" si="14"/>
        <v>0</v>
      </c>
      <c r="AI24" s="38">
        <f t="shared" si="15"/>
        <v>0</v>
      </c>
      <c r="AK24" s="38"/>
      <c r="AL24" s="38">
        <f t="shared" si="16"/>
        <v>0</v>
      </c>
      <c r="AM24" s="5">
        <f t="shared" si="17"/>
        <v>0</v>
      </c>
      <c r="AN24" s="38"/>
      <c r="AP24" s="38"/>
      <c r="AQ24" s="38">
        <f t="shared" si="18"/>
        <v>0</v>
      </c>
      <c r="AR24" s="5">
        <f t="shared" si="19"/>
        <v>0</v>
      </c>
      <c r="AS24" s="38">
        <f t="shared" si="20"/>
        <v>0</v>
      </c>
      <c r="AT24" s="5"/>
      <c r="AU24" s="38"/>
      <c r="AV24" s="38">
        <f t="shared" si="21"/>
        <v>0</v>
      </c>
      <c r="AW24" s="5">
        <f t="shared" si="22"/>
        <v>0</v>
      </c>
      <c r="AX24" s="38">
        <f t="shared" si="23"/>
        <v>0</v>
      </c>
      <c r="AY24" s="5"/>
      <c r="AZ24" s="38"/>
      <c r="BA24" s="38">
        <f t="shared" si="24"/>
        <v>0</v>
      </c>
      <c r="BB24" s="5">
        <f t="shared" si="25"/>
        <v>0</v>
      </c>
      <c r="BC24" s="38">
        <f t="shared" si="26"/>
        <v>0</v>
      </c>
      <c r="BD24" s="5"/>
      <c r="BE24" s="38"/>
      <c r="BF24" s="38">
        <f t="shared" si="27"/>
        <v>0</v>
      </c>
      <c r="BG24" s="5">
        <f t="shared" si="28"/>
        <v>0</v>
      </c>
      <c r="BH24" s="38"/>
      <c r="BI24" s="5"/>
      <c r="BJ24" s="38"/>
      <c r="BK24" s="38">
        <f t="shared" si="29"/>
        <v>0</v>
      </c>
      <c r="BL24" s="5">
        <f t="shared" si="30"/>
        <v>0</v>
      </c>
      <c r="BM24" s="38">
        <f t="shared" si="31"/>
        <v>0</v>
      </c>
      <c r="BN24" s="5"/>
      <c r="BO24" s="5"/>
      <c r="BP24" s="5">
        <f t="shared" si="32"/>
        <v>0</v>
      </c>
      <c r="BQ24" s="5">
        <f t="shared" si="33"/>
        <v>0</v>
      </c>
      <c r="BR24" s="38">
        <f t="shared" si="34"/>
        <v>0</v>
      </c>
      <c r="BS24" s="5"/>
      <c r="BT24" s="38"/>
      <c r="BU24" s="38">
        <f t="shared" si="35"/>
        <v>0</v>
      </c>
      <c r="BV24" s="5">
        <f t="shared" si="36"/>
        <v>0</v>
      </c>
      <c r="BW24" s="38">
        <f t="shared" si="37"/>
        <v>0</v>
      </c>
      <c r="BX24" s="5"/>
      <c r="BY24" s="38"/>
      <c r="BZ24" s="38">
        <f t="shared" si="38"/>
        <v>0</v>
      </c>
      <c r="CA24" s="5">
        <f t="shared" si="39"/>
        <v>0</v>
      </c>
      <c r="CB24" s="38">
        <f t="shared" si="40"/>
        <v>0</v>
      </c>
      <c r="CC24" s="5"/>
      <c r="CD24" s="5"/>
      <c r="CE24" s="38">
        <f t="shared" si="41"/>
        <v>0</v>
      </c>
      <c r="CF24" s="38">
        <f t="shared" si="42"/>
        <v>0</v>
      </c>
      <c r="CG24" s="38">
        <f t="shared" si="43"/>
        <v>0</v>
      </c>
      <c r="CH24" s="5"/>
      <c r="CI24" s="5"/>
      <c r="CJ24" s="38">
        <f t="shared" si="44"/>
        <v>0</v>
      </c>
      <c r="CK24" s="38">
        <f t="shared" si="45"/>
        <v>0</v>
      </c>
      <c r="CL24" s="38">
        <f t="shared" si="46"/>
        <v>0</v>
      </c>
      <c r="CM24" s="5"/>
      <c r="CN24" s="38"/>
      <c r="CO24" s="38">
        <f t="shared" si="47"/>
        <v>0</v>
      </c>
      <c r="CP24" s="5">
        <f t="shared" si="48"/>
        <v>0</v>
      </c>
      <c r="CQ24" s="38">
        <f t="shared" si="49"/>
        <v>0</v>
      </c>
      <c r="CR24" s="5"/>
      <c r="CS24" s="5"/>
      <c r="CT24" s="38">
        <f t="shared" si="50"/>
        <v>0</v>
      </c>
      <c r="CU24" s="38">
        <f t="shared" si="51"/>
        <v>0</v>
      </c>
      <c r="CV24" s="38">
        <f t="shared" si="52"/>
        <v>0</v>
      </c>
      <c r="CW24" s="5"/>
      <c r="CX24" s="5"/>
      <c r="CY24" s="5">
        <f t="shared" si="53"/>
        <v>0</v>
      </c>
      <c r="CZ24" s="5">
        <f t="shared" si="54"/>
        <v>0</v>
      </c>
      <c r="DA24" s="38">
        <f t="shared" si="55"/>
        <v>0</v>
      </c>
      <c r="DB24" s="5"/>
      <c r="DC24" s="38"/>
      <c r="DD24" s="38">
        <f t="shared" si="56"/>
        <v>0</v>
      </c>
      <c r="DE24" s="5">
        <f t="shared" si="57"/>
        <v>0</v>
      </c>
      <c r="DF24" s="38">
        <f t="shared" si="58"/>
        <v>0</v>
      </c>
      <c r="DG24" s="5"/>
      <c r="DH24" s="38"/>
      <c r="DI24" s="38">
        <f t="shared" si="59"/>
        <v>0</v>
      </c>
      <c r="DJ24" s="5">
        <f t="shared" si="60"/>
        <v>0</v>
      </c>
      <c r="DK24" s="38">
        <f t="shared" si="61"/>
        <v>0</v>
      </c>
      <c r="DL24" s="5"/>
      <c r="DM24" s="38"/>
      <c r="DN24" s="38">
        <f t="shared" si="62"/>
        <v>0</v>
      </c>
      <c r="DO24" s="5">
        <f t="shared" si="63"/>
        <v>0</v>
      </c>
      <c r="DP24" s="38">
        <f t="shared" si="64"/>
        <v>0</v>
      </c>
      <c r="DQ24" s="5"/>
      <c r="DR24" s="38"/>
      <c r="DS24" s="38">
        <f t="shared" si="65"/>
        <v>0</v>
      </c>
      <c r="DT24" s="5">
        <f t="shared" si="66"/>
        <v>0</v>
      </c>
      <c r="DU24" s="38">
        <f t="shared" si="67"/>
        <v>0</v>
      </c>
      <c r="DV24" s="5"/>
      <c r="DW24" s="38"/>
      <c r="DX24" s="38">
        <f t="shared" si="68"/>
        <v>0</v>
      </c>
      <c r="DY24" s="5">
        <f t="shared" si="69"/>
        <v>0</v>
      </c>
      <c r="DZ24" s="38">
        <f t="shared" si="70"/>
        <v>0</v>
      </c>
      <c r="EA24" s="5"/>
      <c r="EB24" s="5"/>
      <c r="EC24" s="38">
        <f t="shared" si="71"/>
        <v>0</v>
      </c>
      <c r="ED24" s="38">
        <f t="shared" si="72"/>
        <v>0</v>
      </c>
      <c r="EE24" s="38">
        <f t="shared" si="73"/>
        <v>0</v>
      </c>
      <c r="EF24" s="5"/>
      <c r="EG24" s="5"/>
      <c r="EH24" s="38">
        <f t="shared" si="74"/>
        <v>0</v>
      </c>
      <c r="EI24" s="38">
        <f t="shared" si="75"/>
        <v>0</v>
      </c>
      <c r="EJ24" s="38">
        <f t="shared" si="76"/>
        <v>0</v>
      </c>
      <c r="EK24" s="5"/>
      <c r="EL24" s="38"/>
      <c r="EM24" s="38">
        <f t="shared" si="77"/>
        <v>0</v>
      </c>
      <c r="EN24" s="5">
        <f t="shared" si="78"/>
        <v>0</v>
      </c>
      <c r="EO24" s="38">
        <f t="shared" si="79"/>
        <v>0</v>
      </c>
      <c r="EP24" s="5"/>
      <c r="EQ24" s="38"/>
      <c r="ER24" s="38">
        <f t="shared" si="80"/>
        <v>0</v>
      </c>
      <c r="ES24" s="5">
        <f t="shared" si="81"/>
        <v>0</v>
      </c>
      <c r="ET24" s="38">
        <f t="shared" si="82"/>
        <v>0</v>
      </c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</row>
    <row r="25" spans="1:193" ht="12.75">
      <c r="A25" s="40">
        <v>47209</v>
      </c>
      <c r="B25" s="76"/>
      <c r="C25" s="76"/>
      <c r="D25" s="37">
        <f t="shared" si="0"/>
        <v>0</v>
      </c>
      <c r="E25" s="37"/>
      <c r="G25" s="38">
        <f>'Academic Project '!H25</f>
        <v>0</v>
      </c>
      <c r="H25" s="38">
        <f>'Academic Project '!I25</f>
        <v>0</v>
      </c>
      <c r="I25" s="38">
        <f t="shared" si="1"/>
        <v>0</v>
      </c>
      <c r="J25" s="38">
        <f>'Academic Project '!K25</f>
        <v>0</v>
      </c>
      <c r="L25" s="38">
        <f>Q25+V25+AA25+AK25+AP25+AU25+BJ25+BO25+BT25+CD25+CN25+CS25+CX25+DC25+DH25+DM25+DR25+DW25+EB25+EG25+EL25+EQ25+EV25+AF25+AZ25+BY25+CI25+BE25</f>
        <v>0</v>
      </c>
      <c r="M25" s="37">
        <f t="shared" si="2"/>
        <v>0</v>
      </c>
      <c r="N25" s="5">
        <f t="shared" si="3"/>
        <v>0</v>
      </c>
      <c r="O25" s="37">
        <f t="shared" si="2"/>
        <v>0</v>
      </c>
      <c r="Q25" s="38">
        <f t="shared" si="83"/>
        <v>0</v>
      </c>
      <c r="R25" s="38">
        <f t="shared" si="4"/>
        <v>0</v>
      </c>
      <c r="S25" s="5">
        <f t="shared" si="5"/>
        <v>0</v>
      </c>
      <c r="T25" s="38">
        <f t="shared" si="6"/>
        <v>0</v>
      </c>
      <c r="V25" s="5">
        <f t="shared" si="84"/>
        <v>0</v>
      </c>
      <c r="W25" s="38">
        <f t="shared" si="7"/>
        <v>0</v>
      </c>
      <c r="X25" s="38">
        <f t="shared" si="8"/>
        <v>0</v>
      </c>
      <c r="Y25" s="38">
        <f t="shared" si="9"/>
        <v>0</v>
      </c>
      <c r="AA25" s="5">
        <f t="shared" si="85"/>
        <v>0</v>
      </c>
      <c r="AB25" s="5">
        <f t="shared" si="10"/>
        <v>0</v>
      </c>
      <c r="AC25" s="5">
        <f t="shared" si="11"/>
        <v>0</v>
      </c>
      <c r="AD25" s="38">
        <f t="shared" si="12"/>
        <v>0</v>
      </c>
      <c r="AF25" s="5">
        <f t="shared" si="86"/>
        <v>0</v>
      </c>
      <c r="AG25" s="5">
        <f t="shared" si="13"/>
        <v>0</v>
      </c>
      <c r="AH25" s="5">
        <f t="shared" si="14"/>
        <v>0</v>
      </c>
      <c r="AI25" s="38">
        <f t="shared" si="15"/>
        <v>0</v>
      </c>
      <c r="AK25" s="38">
        <f t="shared" si="87"/>
        <v>0</v>
      </c>
      <c r="AL25" s="38">
        <f t="shared" si="16"/>
        <v>0</v>
      </c>
      <c r="AM25" s="5">
        <f t="shared" si="17"/>
        <v>0</v>
      </c>
      <c r="AN25" s="38"/>
      <c r="AP25" s="38">
        <f t="shared" si="88"/>
        <v>0</v>
      </c>
      <c r="AQ25" s="38">
        <f t="shared" si="18"/>
        <v>0</v>
      </c>
      <c r="AR25" s="5">
        <f t="shared" si="19"/>
        <v>0</v>
      </c>
      <c r="AS25" s="38">
        <f t="shared" si="20"/>
        <v>0</v>
      </c>
      <c r="AT25" s="5"/>
      <c r="AU25" s="38">
        <f t="shared" si="89"/>
        <v>0</v>
      </c>
      <c r="AV25" s="38">
        <f t="shared" si="21"/>
        <v>0</v>
      </c>
      <c r="AW25" s="5">
        <f t="shared" si="22"/>
        <v>0</v>
      </c>
      <c r="AX25" s="38">
        <f t="shared" si="23"/>
        <v>0</v>
      </c>
      <c r="AY25" s="5"/>
      <c r="AZ25" s="38">
        <f t="shared" si="90"/>
        <v>0</v>
      </c>
      <c r="BA25" s="38">
        <f t="shared" si="24"/>
        <v>0</v>
      </c>
      <c r="BB25" s="5">
        <f t="shared" si="25"/>
        <v>0</v>
      </c>
      <c r="BC25" s="38">
        <f t="shared" si="26"/>
        <v>0</v>
      </c>
      <c r="BD25" s="5"/>
      <c r="BE25" s="38">
        <f>B25*$BF$6</f>
        <v>0</v>
      </c>
      <c r="BF25" s="38">
        <f t="shared" si="27"/>
        <v>0</v>
      </c>
      <c r="BG25" s="5">
        <f t="shared" si="28"/>
        <v>0</v>
      </c>
      <c r="BH25" s="38"/>
      <c r="BI25" s="5"/>
      <c r="BJ25" s="38">
        <f t="shared" si="91"/>
        <v>0</v>
      </c>
      <c r="BK25" s="38">
        <f t="shared" si="29"/>
        <v>0</v>
      </c>
      <c r="BL25" s="5">
        <f t="shared" si="30"/>
        <v>0</v>
      </c>
      <c r="BM25" s="38">
        <f t="shared" si="31"/>
        <v>0</v>
      </c>
      <c r="BN25" s="5"/>
      <c r="BO25" s="5">
        <f t="shared" si="92"/>
        <v>0</v>
      </c>
      <c r="BP25" s="5">
        <f t="shared" si="32"/>
        <v>0</v>
      </c>
      <c r="BQ25" s="5">
        <f t="shared" si="33"/>
        <v>0</v>
      </c>
      <c r="BR25" s="38">
        <f t="shared" si="34"/>
        <v>0</v>
      </c>
      <c r="BS25" s="5"/>
      <c r="BT25" s="38">
        <f t="shared" si="93"/>
        <v>0</v>
      </c>
      <c r="BU25" s="38">
        <f t="shared" si="35"/>
        <v>0</v>
      </c>
      <c r="BV25" s="5">
        <f t="shared" si="36"/>
        <v>0</v>
      </c>
      <c r="BW25" s="38">
        <f t="shared" si="37"/>
        <v>0</v>
      </c>
      <c r="BX25" s="5"/>
      <c r="BY25" s="38">
        <f t="shared" si="94"/>
        <v>0</v>
      </c>
      <c r="BZ25" s="38">
        <f t="shared" si="38"/>
        <v>0</v>
      </c>
      <c r="CA25" s="5">
        <f t="shared" si="39"/>
        <v>0</v>
      </c>
      <c r="CB25" s="38">
        <f t="shared" si="40"/>
        <v>0</v>
      </c>
      <c r="CC25" s="5"/>
      <c r="CD25" s="5">
        <f t="shared" si="95"/>
        <v>0</v>
      </c>
      <c r="CE25" s="38">
        <f t="shared" si="41"/>
        <v>0</v>
      </c>
      <c r="CF25" s="38">
        <f t="shared" si="42"/>
        <v>0</v>
      </c>
      <c r="CG25" s="38">
        <f t="shared" si="43"/>
        <v>0</v>
      </c>
      <c r="CH25" s="5"/>
      <c r="CI25" s="5">
        <f t="shared" si="96"/>
        <v>0</v>
      </c>
      <c r="CJ25" s="38">
        <f t="shared" si="44"/>
        <v>0</v>
      </c>
      <c r="CK25" s="38">
        <f t="shared" si="45"/>
        <v>0</v>
      </c>
      <c r="CL25" s="38">
        <f t="shared" si="46"/>
        <v>0</v>
      </c>
      <c r="CM25" s="5"/>
      <c r="CN25" s="38">
        <f t="shared" si="97"/>
        <v>0</v>
      </c>
      <c r="CO25" s="38">
        <f t="shared" si="47"/>
        <v>0</v>
      </c>
      <c r="CP25" s="5">
        <f t="shared" si="48"/>
        <v>0</v>
      </c>
      <c r="CQ25" s="38">
        <f t="shared" si="49"/>
        <v>0</v>
      </c>
      <c r="CR25" s="5"/>
      <c r="CS25" s="5">
        <f t="shared" si="98"/>
        <v>0</v>
      </c>
      <c r="CT25" s="38">
        <f t="shared" si="50"/>
        <v>0</v>
      </c>
      <c r="CU25" s="38">
        <f t="shared" si="51"/>
        <v>0</v>
      </c>
      <c r="CV25" s="38">
        <f t="shared" si="52"/>
        <v>0</v>
      </c>
      <c r="CW25" s="5"/>
      <c r="CX25" s="5">
        <f t="shared" si="99"/>
        <v>0</v>
      </c>
      <c r="CY25" s="5">
        <f t="shared" si="53"/>
        <v>0</v>
      </c>
      <c r="CZ25" s="5">
        <f t="shared" si="54"/>
        <v>0</v>
      </c>
      <c r="DA25" s="38">
        <f t="shared" si="55"/>
        <v>0</v>
      </c>
      <c r="DB25" s="5"/>
      <c r="DC25" s="38">
        <f t="shared" si="100"/>
        <v>0</v>
      </c>
      <c r="DD25" s="38">
        <f t="shared" si="56"/>
        <v>0</v>
      </c>
      <c r="DE25" s="5">
        <f t="shared" si="57"/>
        <v>0</v>
      </c>
      <c r="DF25" s="38">
        <f t="shared" si="58"/>
        <v>0</v>
      </c>
      <c r="DG25" s="5"/>
      <c r="DH25" s="38">
        <f t="shared" si="101"/>
        <v>0</v>
      </c>
      <c r="DI25" s="38">
        <f t="shared" si="59"/>
        <v>0</v>
      </c>
      <c r="DJ25" s="5">
        <f t="shared" si="60"/>
        <v>0</v>
      </c>
      <c r="DK25" s="38">
        <f t="shared" si="61"/>
        <v>0</v>
      </c>
      <c r="DL25" s="5"/>
      <c r="DM25" s="38">
        <f t="shared" si="102"/>
        <v>0</v>
      </c>
      <c r="DN25" s="38">
        <f t="shared" si="62"/>
        <v>0</v>
      </c>
      <c r="DO25" s="5">
        <f t="shared" si="63"/>
        <v>0</v>
      </c>
      <c r="DP25" s="38">
        <f t="shared" si="64"/>
        <v>0</v>
      </c>
      <c r="DQ25" s="5"/>
      <c r="DR25" s="38">
        <f t="shared" si="103"/>
        <v>0</v>
      </c>
      <c r="DS25" s="38">
        <f t="shared" si="65"/>
        <v>0</v>
      </c>
      <c r="DT25" s="5">
        <f t="shared" si="66"/>
        <v>0</v>
      </c>
      <c r="DU25" s="38">
        <f t="shared" si="67"/>
        <v>0</v>
      </c>
      <c r="DV25" s="5"/>
      <c r="DW25" s="38">
        <f t="shared" si="104"/>
        <v>0</v>
      </c>
      <c r="DX25" s="38">
        <f t="shared" si="68"/>
        <v>0</v>
      </c>
      <c r="DY25" s="5">
        <f t="shared" si="69"/>
        <v>0</v>
      </c>
      <c r="DZ25" s="38">
        <f t="shared" si="70"/>
        <v>0</v>
      </c>
      <c r="EA25" s="5"/>
      <c r="EB25" s="5">
        <f t="shared" si="105"/>
        <v>0</v>
      </c>
      <c r="EC25" s="38">
        <f t="shared" si="71"/>
        <v>0</v>
      </c>
      <c r="ED25" s="38">
        <f t="shared" si="72"/>
        <v>0</v>
      </c>
      <c r="EE25" s="38">
        <f t="shared" si="73"/>
        <v>0</v>
      </c>
      <c r="EF25" s="5"/>
      <c r="EG25" s="5">
        <f t="shared" si="106"/>
        <v>0</v>
      </c>
      <c r="EH25" s="38">
        <f t="shared" si="74"/>
        <v>0</v>
      </c>
      <c r="EI25" s="38">
        <f t="shared" si="75"/>
        <v>0</v>
      </c>
      <c r="EJ25" s="38">
        <f t="shared" si="76"/>
        <v>0</v>
      </c>
      <c r="EK25" s="5"/>
      <c r="EL25" s="38">
        <f t="shared" si="107"/>
        <v>0</v>
      </c>
      <c r="EM25" s="38">
        <f t="shared" si="77"/>
        <v>0</v>
      </c>
      <c r="EN25" s="5">
        <f t="shared" si="78"/>
        <v>0</v>
      </c>
      <c r="EO25" s="38">
        <f t="shared" si="79"/>
        <v>0</v>
      </c>
      <c r="EP25" s="5"/>
      <c r="EQ25" s="38">
        <f t="shared" si="108"/>
        <v>0</v>
      </c>
      <c r="ER25" s="38">
        <f t="shared" si="80"/>
        <v>0</v>
      </c>
      <c r="ES25" s="5">
        <f t="shared" si="81"/>
        <v>0</v>
      </c>
      <c r="ET25" s="38">
        <f t="shared" si="82"/>
        <v>0</v>
      </c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ht="12.75">
      <c r="A26" s="40">
        <v>47392</v>
      </c>
      <c r="B26" s="76"/>
      <c r="C26" s="76"/>
      <c r="D26" s="37">
        <f t="shared" si="0"/>
        <v>0</v>
      </c>
      <c r="E26" s="37"/>
      <c r="G26" s="38">
        <f>'Academic Project '!H26</f>
        <v>0</v>
      </c>
      <c r="H26" s="38">
        <f>'Academic Project '!I26</f>
        <v>0</v>
      </c>
      <c r="I26" s="38">
        <f t="shared" si="1"/>
        <v>0</v>
      </c>
      <c r="J26" s="38">
        <f>'Academic Project '!K26</f>
        <v>0</v>
      </c>
      <c r="L26" s="38"/>
      <c r="M26" s="37">
        <f t="shared" si="2"/>
        <v>0</v>
      </c>
      <c r="N26" s="5">
        <f t="shared" si="3"/>
        <v>0</v>
      </c>
      <c r="O26" s="37">
        <f t="shared" si="2"/>
        <v>0</v>
      </c>
      <c r="Q26" s="38"/>
      <c r="R26" s="38">
        <f t="shared" si="4"/>
        <v>0</v>
      </c>
      <c r="S26" s="5">
        <f t="shared" si="5"/>
        <v>0</v>
      </c>
      <c r="T26" s="38">
        <f t="shared" si="6"/>
        <v>0</v>
      </c>
      <c r="W26" s="38">
        <f t="shared" si="7"/>
        <v>0</v>
      </c>
      <c r="X26" s="38">
        <f t="shared" si="8"/>
        <v>0</v>
      </c>
      <c r="Y26" s="38">
        <f t="shared" si="9"/>
        <v>0</v>
      </c>
      <c r="AB26" s="5">
        <f t="shared" si="10"/>
        <v>0</v>
      </c>
      <c r="AC26" s="5">
        <f t="shared" si="11"/>
        <v>0</v>
      </c>
      <c r="AD26" s="38">
        <f t="shared" si="12"/>
        <v>0</v>
      </c>
      <c r="AG26" s="5">
        <f t="shared" si="13"/>
        <v>0</v>
      </c>
      <c r="AH26" s="5">
        <f t="shared" si="14"/>
        <v>0</v>
      </c>
      <c r="AI26" s="38">
        <f t="shared" si="15"/>
        <v>0</v>
      </c>
      <c r="AK26" s="38"/>
      <c r="AL26" s="38">
        <f t="shared" si="16"/>
        <v>0</v>
      </c>
      <c r="AM26" s="5">
        <f t="shared" si="17"/>
        <v>0</v>
      </c>
      <c r="AN26" s="38"/>
      <c r="AP26" s="38"/>
      <c r="AQ26" s="38">
        <f t="shared" si="18"/>
        <v>0</v>
      </c>
      <c r="AR26" s="5">
        <f t="shared" si="19"/>
        <v>0</v>
      </c>
      <c r="AS26" s="38">
        <f t="shared" si="20"/>
        <v>0</v>
      </c>
      <c r="AT26" s="5"/>
      <c r="AU26" s="38"/>
      <c r="AV26" s="38">
        <f t="shared" si="21"/>
        <v>0</v>
      </c>
      <c r="AW26" s="5">
        <f t="shared" si="22"/>
        <v>0</v>
      </c>
      <c r="AX26" s="38">
        <f t="shared" si="23"/>
        <v>0</v>
      </c>
      <c r="AY26" s="5"/>
      <c r="AZ26" s="38"/>
      <c r="BA26" s="38">
        <f t="shared" si="24"/>
        <v>0</v>
      </c>
      <c r="BB26" s="5">
        <f t="shared" si="25"/>
        <v>0</v>
      </c>
      <c r="BC26" s="38">
        <f t="shared" si="26"/>
        <v>0</v>
      </c>
      <c r="BD26" s="5"/>
      <c r="BE26" s="38"/>
      <c r="BF26" s="38">
        <f t="shared" si="27"/>
        <v>0</v>
      </c>
      <c r="BG26" s="5">
        <f t="shared" si="28"/>
        <v>0</v>
      </c>
      <c r="BH26" s="38"/>
      <c r="BI26" s="5"/>
      <c r="BJ26" s="38"/>
      <c r="BK26" s="38">
        <f t="shared" si="29"/>
        <v>0</v>
      </c>
      <c r="BL26" s="5">
        <f t="shared" si="30"/>
        <v>0</v>
      </c>
      <c r="BM26" s="38">
        <f t="shared" si="31"/>
        <v>0</v>
      </c>
      <c r="BN26" s="5"/>
      <c r="BO26" s="5"/>
      <c r="BP26" s="5">
        <f t="shared" si="32"/>
        <v>0</v>
      </c>
      <c r="BQ26" s="5">
        <f t="shared" si="33"/>
        <v>0</v>
      </c>
      <c r="BR26" s="38">
        <f t="shared" si="34"/>
        <v>0</v>
      </c>
      <c r="BS26" s="5"/>
      <c r="BT26" s="38"/>
      <c r="BU26" s="38">
        <f t="shared" si="35"/>
        <v>0</v>
      </c>
      <c r="BV26" s="5">
        <f t="shared" si="36"/>
        <v>0</v>
      </c>
      <c r="BW26" s="38">
        <f t="shared" si="37"/>
        <v>0</v>
      </c>
      <c r="BX26" s="5"/>
      <c r="BY26" s="38"/>
      <c r="BZ26" s="38">
        <f t="shared" si="38"/>
        <v>0</v>
      </c>
      <c r="CA26" s="5">
        <f t="shared" si="39"/>
        <v>0</v>
      </c>
      <c r="CB26" s="38">
        <f t="shared" si="40"/>
        <v>0</v>
      </c>
      <c r="CC26" s="5"/>
      <c r="CD26" s="5"/>
      <c r="CE26" s="38">
        <f t="shared" si="41"/>
        <v>0</v>
      </c>
      <c r="CF26" s="38">
        <f t="shared" si="42"/>
        <v>0</v>
      </c>
      <c r="CG26" s="38">
        <f t="shared" si="43"/>
        <v>0</v>
      </c>
      <c r="CH26" s="5"/>
      <c r="CI26" s="5"/>
      <c r="CJ26" s="38">
        <f t="shared" si="44"/>
        <v>0</v>
      </c>
      <c r="CK26" s="38">
        <f t="shared" si="45"/>
        <v>0</v>
      </c>
      <c r="CL26" s="38">
        <f t="shared" si="46"/>
        <v>0</v>
      </c>
      <c r="CM26" s="5"/>
      <c r="CN26" s="38"/>
      <c r="CO26" s="38">
        <f t="shared" si="47"/>
        <v>0</v>
      </c>
      <c r="CP26" s="5">
        <f t="shared" si="48"/>
        <v>0</v>
      </c>
      <c r="CQ26" s="38">
        <f t="shared" si="49"/>
        <v>0</v>
      </c>
      <c r="CR26" s="5"/>
      <c r="CS26" s="5"/>
      <c r="CT26" s="38">
        <f t="shared" si="50"/>
        <v>0</v>
      </c>
      <c r="CU26" s="38">
        <f t="shared" si="51"/>
        <v>0</v>
      </c>
      <c r="CV26" s="38">
        <f t="shared" si="52"/>
        <v>0</v>
      </c>
      <c r="CW26" s="5"/>
      <c r="CX26" s="5"/>
      <c r="CY26" s="5">
        <f t="shared" si="53"/>
        <v>0</v>
      </c>
      <c r="CZ26" s="5">
        <f t="shared" si="54"/>
        <v>0</v>
      </c>
      <c r="DA26" s="38">
        <f t="shared" si="55"/>
        <v>0</v>
      </c>
      <c r="DB26" s="5"/>
      <c r="DC26" s="38"/>
      <c r="DD26" s="38">
        <f t="shared" si="56"/>
        <v>0</v>
      </c>
      <c r="DE26" s="5">
        <f t="shared" si="57"/>
        <v>0</v>
      </c>
      <c r="DF26" s="38">
        <f t="shared" si="58"/>
        <v>0</v>
      </c>
      <c r="DG26" s="5"/>
      <c r="DH26" s="38"/>
      <c r="DI26" s="38">
        <f t="shared" si="59"/>
        <v>0</v>
      </c>
      <c r="DJ26" s="5">
        <f t="shared" si="60"/>
        <v>0</v>
      </c>
      <c r="DK26" s="38">
        <f t="shared" si="61"/>
        <v>0</v>
      </c>
      <c r="DL26" s="5"/>
      <c r="DM26" s="38"/>
      <c r="DN26" s="38">
        <f t="shared" si="62"/>
        <v>0</v>
      </c>
      <c r="DO26" s="5">
        <f t="shared" si="63"/>
        <v>0</v>
      </c>
      <c r="DP26" s="38">
        <f t="shared" si="64"/>
        <v>0</v>
      </c>
      <c r="DQ26" s="5"/>
      <c r="DR26" s="38"/>
      <c r="DS26" s="38">
        <f t="shared" si="65"/>
        <v>0</v>
      </c>
      <c r="DT26" s="5">
        <f t="shared" si="66"/>
        <v>0</v>
      </c>
      <c r="DU26" s="38">
        <f t="shared" si="67"/>
        <v>0</v>
      </c>
      <c r="DV26" s="5"/>
      <c r="DW26" s="38"/>
      <c r="DX26" s="38">
        <f t="shared" si="68"/>
        <v>0</v>
      </c>
      <c r="DY26" s="5">
        <f t="shared" si="69"/>
        <v>0</v>
      </c>
      <c r="DZ26" s="38">
        <f t="shared" si="70"/>
        <v>0</v>
      </c>
      <c r="EA26" s="5"/>
      <c r="EB26" s="5"/>
      <c r="EC26" s="38">
        <f t="shared" si="71"/>
        <v>0</v>
      </c>
      <c r="ED26" s="38">
        <f t="shared" si="72"/>
        <v>0</v>
      </c>
      <c r="EE26" s="38">
        <f t="shared" si="73"/>
        <v>0</v>
      </c>
      <c r="EF26" s="5"/>
      <c r="EG26" s="5"/>
      <c r="EH26" s="38">
        <f t="shared" si="74"/>
        <v>0</v>
      </c>
      <c r="EI26" s="38">
        <f t="shared" si="75"/>
        <v>0</v>
      </c>
      <c r="EJ26" s="38">
        <f t="shared" si="76"/>
        <v>0</v>
      </c>
      <c r="EK26" s="5"/>
      <c r="EL26" s="38"/>
      <c r="EM26" s="38">
        <f t="shared" si="77"/>
        <v>0</v>
      </c>
      <c r="EN26" s="5">
        <f t="shared" si="78"/>
        <v>0</v>
      </c>
      <c r="EO26" s="38">
        <f t="shared" si="79"/>
        <v>0</v>
      </c>
      <c r="EP26" s="5"/>
      <c r="EQ26" s="38"/>
      <c r="ER26" s="38">
        <f t="shared" si="80"/>
        <v>0</v>
      </c>
      <c r="ES26" s="5">
        <f t="shared" si="81"/>
        <v>0</v>
      </c>
      <c r="ET26" s="38">
        <f t="shared" si="82"/>
        <v>0</v>
      </c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</row>
    <row r="27" spans="1:193" ht="12.75">
      <c r="A27" s="40">
        <v>11049</v>
      </c>
      <c r="B27" s="76"/>
      <c r="C27" s="76"/>
      <c r="D27" s="37">
        <f t="shared" si="0"/>
        <v>0</v>
      </c>
      <c r="E27" s="37"/>
      <c r="G27" s="38">
        <f>'Academic Project '!H27</f>
        <v>0</v>
      </c>
      <c r="H27" s="38">
        <f>'Academic Project '!I27</f>
        <v>0</v>
      </c>
      <c r="I27" s="38">
        <f t="shared" si="1"/>
        <v>0</v>
      </c>
      <c r="J27" s="38">
        <f>'Academic Project '!K27</f>
        <v>0</v>
      </c>
      <c r="L27" s="38">
        <f>Q27+V27+AA27+AK27+AP27+AU27+BJ27+BO27+BT27+CD27+CN27+CS27+CX27+DC27+DH27+DM27+DR27+DW27+EB27+EG27+EL27+EQ27+EV27+AF27+AZ27+BY27+CI27+BE27</f>
        <v>0</v>
      </c>
      <c r="M27" s="37">
        <f t="shared" si="2"/>
        <v>0</v>
      </c>
      <c r="N27" s="5">
        <f t="shared" si="3"/>
        <v>0</v>
      </c>
      <c r="O27" s="37">
        <f t="shared" si="2"/>
        <v>0</v>
      </c>
      <c r="Q27" s="38">
        <f t="shared" si="83"/>
        <v>0</v>
      </c>
      <c r="R27" s="38">
        <f t="shared" si="4"/>
        <v>0</v>
      </c>
      <c r="S27" s="5">
        <f t="shared" si="5"/>
        <v>0</v>
      </c>
      <c r="T27" s="38">
        <f t="shared" si="6"/>
        <v>0</v>
      </c>
      <c r="V27" s="5">
        <f t="shared" si="84"/>
        <v>0</v>
      </c>
      <c r="W27" s="38">
        <f t="shared" si="7"/>
        <v>0</v>
      </c>
      <c r="X27" s="38">
        <f t="shared" si="8"/>
        <v>0</v>
      </c>
      <c r="Y27" s="38">
        <f t="shared" si="9"/>
        <v>0</v>
      </c>
      <c r="AA27" s="5">
        <f t="shared" si="85"/>
        <v>0</v>
      </c>
      <c r="AB27" s="5">
        <f t="shared" si="10"/>
        <v>0</v>
      </c>
      <c r="AC27" s="5">
        <f t="shared" si="11"/>
        <v>0</v>
      </c>
      <c r="AD27" s="38">
        <f t="shared" si="12"/>
        <v>0</v>
      </c>
      <c r="AF27" s="5">
        <f t="shared" si="86"/>
        <v>0</v>
      </c>
      <c r="AG27" s="5">
        <f t="shared" si="13"/>
        <v>0</v>
      </c>
      <c r="AH27" s="5">
        <f t="shared" si="14"/>
        <v>0</v>
      </c>
      <c r="AI27" s="38">
        <f t="shared" si="15"/>
        <v>0</v>
      </c>
      <c r="AK27" s="38">
        <f t="shared" si="87"/>
        <v>0</v>
      </c>
      <c r="AL27" s="38">
        <f t="shared" si="16"/>
        <v>0</v>
      </c>
      <c r="AM27" s="5">
        <f t="shared" si="17"/>
        <v>0</v>
      </c>
      <c r="AN27" s="38"/>
      <c r="AP27" s="38">
        <f t="shared" si="88"/>
        <v>0</v>
      </c>
      <c r="AQ27" s="38">
        <f t="shared" si="18"/>
        <v>0</v>
      </c>
      <c r="AR27" s="5">
        <f t="shared" si="19"/>
        <v>0</v>
      </c>
      <c r="AS27" s="38">
        <f t="shared" si="20"/>
        <v>0</v>
      </c>
      <c r="AT27" s="5"/>
      <c r="AU27" s="38">
        <f t="shared" si="89"/>
        <v>0</v>
      </c>
      <c r="AV27" s="38">
        <f t="shared" si="21"/>
        <v>0</v>
      </c>
      <c r="AW27" s="5">
        <f t="shared" si="22"/>
        <v>0</v>
      </c>
      <c r="AX27" s="38">
        <f t="shared" si="23"/>
        <v>0</v>
      </c>
      <c r="AY27" s="5"/>
      <c r="AZ27" s="38">
        <f t="shared" si="90"/>
        <v>0</v>
      </c>
      <c r="BA27" s="38">
        <f t="shared" si="24"/>
        <v>0</v>
      </c>
      <c r="BB27" s="5">
        <f t="shared" si="25"/>
        <v>0</v>
      </c>
      <c r="BC27" s="38">
        <f t="shared" si="26"/>
        <v>0</v>
      </c>
      <c r="BD27" s="5"/>
      <c r="BE27" s="38">
        <f>B27*$BF$6</f>
        <v>0</v>
      </c>
      <c r="BF27" s="38">
        <f t="shared" si="27"/>
        <v>0</v>
      </c>
      <c r="BG27" s="5">
        <f t="shared" si="28"/>
        <v>0</v>
      </c>
      <c r="BH27" s="38"/>
      <c r="BI27" s="5"/>
      <c r="BJ27" s="38">
        <f t="shared" si="91"/>
        <v>0</v>
      </c>
      <c r="BK27" s="38">
        <f t="shared" si="29"/>
        <v>0</v>
      </c>
      <c r="BL27" s="5">
        <f t="shared" si="30"/>
        <v>0</v>
      </c>
      <c r="BM27" s="38">
        <f t="shared" si="31"/>
        <v>0</v>
      </c>
      <c r="BN27" s="5"/>
      <c r="BO27" s="5">
        <f t="shared" si="92"/>
        <v>0</v>
      </c>
      <c r="BP27" s="5">
        <f t="shared" si="32"/>
        <v>0</v>
      </c>
      <c r="BQ27" s="5">
        <f t="shared" si="33"/>
        <v>0</v>
      </c>
      <c r="BR27" s="38">
        <f t="shared" si="34"/>
        <v>0</v>
      </c>
      <c r="BS27" s="5"/>
      <c r="BT27" s="38">
        <f t="shared" si="93"/>
        <v>0</v>
      </c>
      <c r="BU27" s="38">
        <f t="shared" si="35"/>
        <v>0</v>
      </c>
      <c r="BV27" s="5">
        <f t="shared" si="36"/>
        <v>0</v>
      </c>
      <c r="BW27" s="38">
        <f t="shared" si="37"/>
        <v>0</v>
      </c>
      <c r="BX27" s="5"/>
      <c r="BY27" s="38">
        <f t="shared" si="94"/>
        <v>0</v>
      </c>
      <c r="BZ27" s="38">
        <f t="shared" si="38"/>
        <v>0</v>
      </c>
      <c r="CA27" s="5">
        <f t="shared" si="39"/>
        <v>0</v>
      </c>
      <c r="CB27" s="38">
        <f t="shared" si="40"/>
        <v>0</v>
      </c>
      <c r="CC27" s="5"/>
      <c r="CD27" s="5">
        <f t="shared" si="95"/>
        <v>0</v>
      </c>
      <c r="CE27" s="38">
        <f t="shared" si="41"/>
        <v>0</v>
      </c>
      <c r="CF27" s="38">
        <f t="shared" si="42"/>
        <v>0</v>
      </c>
      <c r="CG27" s="38">
        <f t="shared" si="43"/>
        <v>0</v>
      </c>
      <c r="CH27" s="5"/>
      <c r="CI27" s="5">
        <f t="shared" si="96"/>
        <v>0</v>
      </c>
      <c r="CJ27" s="38">
        <f t="shared" si="44"/>
        <v>0</v>
      </c>
      <c r="CK27" s="38">
        <f t="shared" si="45"/>
        <v>0</v>
      </c>
      <c r="CL27" s="38">
        <f t="shared" si="46"/>
        <v>0</v>
      </c>
      <c r="CM27" s="5"/>
      <c r="CN27" s="38">
        <f t="shared" si="97"/>
        <v>0</v>
      </c>
      <c r="CO27" s="38">
        <f t="shared" si="47"/>
        <v>0</v>
      </c>
      <c r="CP27" s="5">
        <f t="shared" si="48"/>
        <v>0</v>
      </c>
      <c r="CQ27" s="38">
        <f t="shared" si="49"/>
        <v>0</v>
      </c>
      <c r="CR27" s="5"/>
      <c r="CS27" s="5">
        <f t="shared" si="98"/>
        <v>0</v>
      </c>
      <c r="CT27" s="38">
        <f t="shared" si="50"/>
        <v>0</v>
      </c>
      <c r="CU27" s="38">
        <f t="shared" si="51"/>
        <v>0</v>
      </c>
      <c r="CV27" s="38">
        <f t="shared" si="52"/>
        <v>0</v>
      </c>
      <c r="CW27" s="5"/>
      <c r="CX27" s="5">
        <f t="shared" si="99"/>
        <v>0</v>
      </c>
      <c r="CY27" s="5">
        <f t="shared" si="53"/>
        <v>0</v>
      </c>
      <c r="CZ27" s="5">
        <f t="shared" si="54"/>
        <v>0</v>
      </c>
      <c r="DA27" s="38">
        <f t="shared" si="55"/>
        <v>0</v>
      </c>
      <c r="DB27" s="5"/>
      <c r="DC27" s="38">
        <f t="shared" si="100"/>
        <v>0</v>
      </c>
      <c r="DD27" s="38">
        <f t="shared" si="56"/>
        <v>0</v>
      </c>
      <c r="DE27" s="5">
        <f t="shared" si="57"/>
        <v>0</v>
      </c>
      <c r="DF27" s="38">
        <f t="shared" si="58"/>
        <v>0</v>
      </c>
      <c r="DG27" s="5"/>
      <c r="DH27" s="38">
        <f t="shared" si="101"/>
        <v>0</v>
      </c>
      <c r="DI27" s="38">
        <f t="shared" si="59"/>
        <v>0</v>
      </c>
      <c r="DJ27" s="5">
        <f t="shared" si="60"/>
        <v>0</v>
      </c>
      <c r="DK27" s="38">
        <f t="shared" si="61"/>
        <v>0</v>
      </c>
      <c r="DL27" s="5"/>
      <c r="DM27" s="38">
        <f t="shared" si="102"/>
        <v>0</v>
      </c>
      <c r="DN27" s="38">
        <f t="shared" si="62"/>
        <v>0</v>
      </c>
      <c r="DO27" s="5">
        <f t="shared" si="63"/>
        <v>0</v>
      </c>
      <c r="DP27" s="38">
        <f t="shared" si="64"/>
        <v>0</v>
      </c>
      <c r="DQ27" s="5"/>
      <c r="DR27" s="38">
        <f t="shared" si="103"/>
        <v>0</v>
      </c>
      <c r="DS27" s="38">
        <f t="shared" si="65"/>
        <v>0</v>
      </c>
      <c r="DT27" s="5">
        <f t="shared" si="66"/>
        <v>0</v>
      </c>
      <c r="DU27" s="38">
        <f t="shared" si="67"/>
        <v>0</v>
      </c>
      <c r="DV27" s="5"/>
      <c r="DW27" s="38">
        <f t="shared" si="104"/>
        <v>0</v>
      </c>
      <c r="DX27" s="38">
        <f t="shared" si="68"/>
        <v>0</v>
      </c>
      <c r="DY27" s="5">
        <f t="shared" si="69"/>
        <v>0</v>
      </c>
      <c r="DZ27" s="38">
        <f t="shared" si="70"/>
        <v>0</v>
      </c>
      <c r="EA27" s="5"/>
      <c r="EB27" s="5">
        <f t="shared" si="105"/>
        <v>0</v>
      </c>
      <c r="EC27" s="38">
        <f t="shared" si="71"/>
        <v>0</v>
      </c>
      <c r="ED27" s="38">
        <f t="shared" si="72"/>
        <v>0</v>
      </c>
      <c r="EE27" s="38">
        <f t="shared" si="73"/>
        <v>0</v>
      </c>
      <c r="EF27" s="5"/>
      <c r="EG27" s="5">
        <f t="shared" si="106"/>
        <v>0</v>
      </c>
      <c r="EH27" s="38">
        <f t="shared" si="74"/>
        <v>0</v>
      </c>
      <c r="EI27" s="38">
        <f t="shared" si="75"/>
        <v>0</v>
      </c>
      <c r="EJ27" s="38">
        <f t="shared" si="76"/>
        <v>0</v>
      </c>
      <c r="EK27" s="5"/>
      <c r="EL27" s="38">
        <f t="shared" si="107"/>
        <v>0</v>
      </c>
      <c r="EM27" s="38">
        <f t="shared" si="77"/>
        <v>0</v>
      </c>
      <c r="EN27" s="5">
        <f t="shared" si="78"/>
        <v>0</v>
      </c>
      <c r="EO27" s="38">
        <f t="shared" si="79"/>
        <v>0</v>
      </c>
      <c r="EP27" s="5"/>
      <c r="EQ27" s="38">
        <f t="shared" si="108"/>
        <v>0</v>
      </c>
      <c r="ER27" s="38">
        <f t="shared" si="80"/>
        <v>0</v>
      </c>
      <c r="ES27" s="5">
        <f t="shared" si="81"/>
        <v>0</v>
      </c>
      <c r="ET27" s="38">
        <f t="shared" si="82"/>
        <v>0</v>
      </c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2:193" ht="12.75">
      <c r="B28" s="37"/>
      <c r="C28" s="37"/>
      <c r="D28" s="37"/>
      <c r="E28" s="37"/>
      <c r="Q28" s="5"/>
      <c r="R28" s="5"/>
      <c r="S28" s="5"/>
      <c r="T28" s="5"/>
      <c r="AK28" s="5"/>
      <c r="AL28" s="5"/>
      <c r="AM28" s="5"/>
      <c r="AN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38"/>
      <c r="ED28" s="38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</row>
    <row r="29" spans="1:193" ht="13.5" thickBot="1">
      <c r="A29" s="41" t="s">
        <v>31</v>
      </c>
      <c r="B29" s="42">
        <f>SUM(B8:B28)</f>
        <v>6040000</v>
      </c>
      <c r="C29" s="42">
        <f>SUM(C8:C28)</f>
        <v>176670</v>
      </c>
      <c r="D29" s="42">
        <f>SUM(D8:D28)</f>
        <v>6216670</v>
      </c>
      <c r="E29" s="42">
        <f>SUM(E8:E28)</f>
        <v>157264</v>
      </c>
      <c r="G29" s="42">
        <f>SUM(G8:G28)</f>
        <v>865609.9160000001</v>
      </c>
      <c r="H29" s="42">
        <f>SUM(H8:H28)</f>
        <v>25319.090043</v>
      </c>
      <c r="I29" s="42">
        <f>SUM(I8:I28)</f>
        <v>890929.006043</v>
      </c>
      <c r="J29" s="42">
        <f>SUM(J8:J28)</f>
        <v>22537.959905599997</v>
      </c>
      <c r="L29" s="42">
        <f>SUM(L8:L28)</f>
        <v>5174390.084000001</v>
      </c>
      <c r="M29" s="42">
        <f>SUM(M8:M28)</f>
        <v>151350.90995700003</v>
      </c>
      <c r="N29" s="42">
        <f>SUM(N8:N28)</f>
        <v>5325740.993957</v>
      </c>
      <c r="O29" s="42">
        <f>SUM(O8:O28)</f>
        <v>134724.8291616</v>
      </c>
      <c r="Q29" s="42">
        <f>SUM(Q8:Q28)</f>
        <v>102565.23999999999</v>
      </c>
      <c r="R29" s="42">
        <f>SUM(R8:R28)</f>
        <v>3000.03327</v>
      </c>
      <c r="S29" s="42">
        <f>SUM(S8:S28)</f>
        <v>105565.27327</v>
      </c>
      <c r="T29" s="42">
        <f>SUM(T8:T28)</f>
        <v>2670.499984</v>
      </c>
      <c r="V29" s="42">
        <f>SUM(V8:V28)</f>
        <v>24428.176</v>
      </c>
      <c r="W29" s="42">
        <f>SUM(W8:W28)</f>
        <v>714.524148</v>
      </c>
      <c r="X29" s="42">
        <f>SUM(X8:X28)</f>
        <v>25142.700147999996</v>
      </c>
      <c r="Y29" s="42">
        <f>SUM(Y8:Y28)</f>
        <v>636.0385216</v>
      </c>
      <c r="AA29" s="42">
        <f>SUM(AA8:AA28)</f>
        <v>6017.048</v>
      </c>
      <c r="AB29" s="42">
        <f>SUM(AB8:AB28)</f>
        <v>175.99865400000002</v>
      </c>
      <c r="AC29" s="42">
        <f>SUM(AC8:AC28)</f>
        <v>6193.046654000001</v>
      </c>
      <c r="AD29" s="42">
        <f>SUM(AD8:AD28)</f>
        <v>156.6663968</v>
      </c>
      <c r="AF29" s="42">
        <f>SUM(AF8:AF28)</f>
        <v>219.856</v>
      </c>
      <c r="AG29" s="42">
        <f>SUM(AG8:AG28)</f>
        <v>6.430788</v>
      </c>
      <c r="AH29" s="42">
        <f>SUM(AH8:AH28)</f>
        <v>226.286788</v>
      </c>
      <c r="AI29" s="42">
        <f>SUM(AI8:AI28)</f>
        <v>5.7244095999999995</v>
      </c>
      <c r="AK29" s="42">
        <f>SUM(AK8:AK28)</f>
        <v>24.16</v>
      </c>
      <c r="AL29" s="42">
        <f>SUM(AL8:AL28)</f>
        <v>0.70668</v>
      </c>
      <c r="AM29" s="42">
        <f>SUM(AM8:AM28)</f>
        <v>24.86668</v>
      </c>
      <c r="AN29" s="42">
        <f>SUM(AN8:AN28)</f>
        <v>0</v>
      </c>
      <c r="AP29" s="42">
        <f>SUM(AP8:AP28)</f>
        <v>312211.22400000005</v>
      </c>
      <c r="AQ29" s="42">
        <f>SUM(AQ8:AQ28)</f>
        <v>9132.178302</v>
      </c>
      <c r="AR29" s="42">
        <f>SUM(AR8:AR28)</f>
        <v>321343.4023020001</v>
      </c>
      <c r="AS29" s="42">
        <f>SUM(AS8:AS28)</f>
        <v>8129.070518400001</v>
      </c>
      <c r="AT29" s="5"/>
      <c r="AU29" s="42">
        <f>SUM(AU8:AU28)</f>
        <v>3750.84</v>
      </c>
      <c r="AV29" s="42">
        <f>SUM(AV8:AV28)</f>
        <v>109.71207000000001</v>
      </c>
      <c r="AW29" s="42">
        <f>SUM(AW8:AW28)</f>
        <v>3860.5520699999997</v>
      </c>
      <c r="AX29" s="42">
        <f>SUM(AX8:AX28)</f>
        <v>97.660944</v>
      </c>
      <c r="AY29" s="5"/>
      <c r="AZ29" s="42">
        <f>SUM(AZ8:AZ28)</f>
        <v>4377.188</v>
      </c>
      <c r="BA29" s="42">
        <f>SUM(BA8:BA28)</f>
        <v>128.032749</v>
      </c>
      <c r="BB29" s="42">
        <f>SUM(BB8:BB28)</f>
        <v>4505.220749</v>
      </c>
      <c r="BC29" s="42">
        <f>SUM(BC8:BC28)</f>
        <v>113.9692208</v>
      </c>
      <c r="BD29" s="37"/>
      <c r="BE29" s="42">
        <f>SUM(BE8:BE28)</f>
        <v>22.348000000000003</v>
      </c>
      <c r="BF29" s="42">
        <f>SUM(BF8:BF28)</f>
        <v>0.653679</v>
      </c>
      <c r="BG29" s="42">
        <f>SUM(BG8:BG28)</f>
        <v>23.001679</v>
      </c>
      <c r="BH29" s="42">
        <f>SUM(BH8:BH28)</f>
        <v>0</v>
      </c>
      <c r="BI29" s="5"/>
      <c r="BJ29" s="42">
        <f>SUM(BJ8:BJ28)</f>
        <v>23172.46</v>
      </c>
      <c r="BK29" s="42">
        <f>SUM(BK8:BK28)</f>
        <v>677.794455</v>
      </c>
      <c r="BL29" s="42">
        <f>SUM(BL8:BL28)</f>
        <v>23850.254455000002</v>
      </c>
      <c r="BM29" s="42">
        <f>SUM(BM8:BM28)</f>
        <v>603.343336</v>
      </c>
      <c r="BN29" s="5"/>
      <c r="BO29" s="42">
        <f>SUM(BO8:BO28)</f>
        <v>13225.788</v>
      </c>
      <c r="BP29" s="42">
        <f>SUM(BP8:BP28)</f>
        <v>386.854299</v>
      </c>
      <c r="BQ29" s="42">
        <f>SUM(BQ8:BQ28)</f>
        <v>13612.642299</v>
      </c>
      <c r="BR29" s="42">
        <f>SUM(BR8:BR28)</f>
        <v>344.36098080000005</v>
      </c>
      <c r="BS29" s="5"/>
      <c r="BT29" s="42">
        <f>SUM(BT8:BT28)</f>
        <v>146222.964</v>
      </c>
      <c r="BU29" s="42">
        <f>SUM(BU8:BU28)</f>
        <v>4277.021697</v>
      </c>
      <c r="BV29" s="42">
        <f>SUM(BV8:BV28)</f>
        <v>150499.98569700003</v>
      </c>
      <c r="BW29" s="42">
        <f>SUM(BW8:BW28)</f>
        <v>3807.2199024</v>
      </c>
      <c r="BX29" s="5"/>
      <c r="BY29" s="42">
        <f>SUM(BY8:BY28)</f>
        <v>1072.1000000000001</v>
      </c>
      <c r="BZ29" s="42">
        <f>SUM(BZ8:BZ28)</f>
        <v>31.358925</v>
      </c>
      <c r="CA29" s="42">
        <f>SUM(CA8:CA28)</f>
        <v>1103.4589250000001</v>
      </c>
      <c r="CB29" s="42">
        <f>SUM(CB8:CB28)</f>
        <v>27.914360000000002</v>
      </c>
      <c r="CC29" s="5"/>
      <c r="CD29" s="42">
        <f>SUM(CD8:CD28)</f>
        <v>38335.880000000005</v>
      </c>
      <c r="CE29" s="42">
        <f>SUM(CE8:CE28)</f>
        <v>1121.32449</v>
      </c>
      <c r="CF29" s="42">
        <f>SUM(CF8:CF28)</f>
        <v>39457.204490000004</v>
      </c>
      <c r="CG29" s="42">
        <f>SUM(CG8:CG28)</f>
        <v>998.154608</v>
      </c>
      <c r="CH29" s="5"/>
      <c r="CI29" s="42">
        <f>SUM(CI8:CI28)</f>
        <v>90296.792</v>
      </c>
      <c r="CJ29" s="42">
        <f>SUM(CJ8:CJ28)</f>
        <v>2641.181166</v>
      </c>
      <c r="CK29" s="42">
        <f>SUM(CK8:CK28)</f>
        <v>92937.973166</v>
      </c>
      <c r="CL29" s="42">
        <f>SUM(CL8:CL28)</f>
        <v>2351.0653472</v>
      </c>
      <c r="CM29" s="5"/>
      <c r="CN29" s="42">
        <f>SUM(CN8:CN28)</f>
        <v>35345.476</v>
      </c>
      <c r="CO29" s="42">
        <f>SUM(CO8:CO28)</f>
        <v>1033.855173</v>
      </c>
      <c r="CP29" s="42">
        <f>SUM(CP8:CP28)</f>
        <v>36379.331173000006</v>
      </c>
      <c r="CQ29" s="42">
        <f>SUM(CQ8:CQ28)</f>
        <v>920.2932016</v>
      </c>
      <c r="CR29" s="5"/>
      <c r="CS29" s="42">
        <f>SUM(CS8:CS28)</f>
        <v>43785.168</v>
      </c>
      <c r="CT29" s="42">
        <f>SUM(CT8:CT28)</f>
        <v>1280.716164</v>
      </c>
      <c r="CU29" s="42">
        <f>SUM(CU8:CU28)</f>
        <v>45065.884163999996</v>
      </c>
      <c r="CV29" s="42">
        <f>SUM(CV8:CV28)</f>
        <v>1140.0381888</v>
      </c>
      <c r="CW29" s="5"/>
      <c r="CX29" s="42">
        <f>SUM(CX8:CX28)</f>
        <v>5064.54</v>
      </c>
      <c r="CY29" s="42">
        <f>SUM(CY8:CY28)</f>
        <v>148.137795</v>
      </c>
      <c r="CZ29" s="42">
        <f>SUM(CZ8:CZ28)</f>
        <v>5212.6777950000005</v>
      </c>
      <c r="DA29" s="42">
        <f>SUM(DA8:DA28)</f>
        <v>131.86586400000002</v>
      </c>
      <c r="DB29" s="5"/>
      <c r="DC29" s="42">
        <f>SUM(DC8:DC28)</f>
        <v>535366.272</v>
      </c>
      <c r="DD29" s="42">
        <f>SUM(DD8:DD28)</f>
        <v>15659.463456</v>
      </c>
      <c r="DE29" s="42">
        <f>SUM(DE8:DE28)</f>
        <v>551025.735456</v>
      </c>
      <c r="DF29" s="42">
        <f>SUM(DF8:DF28)</f>
        <v>13939.3777152</v>
      </c>
      <c r="DG29" s="5"/>
      <c r="DH29" s="42">
        <f>SUM(DH8:DH28)</f>
        <v>509668.488</v>
      </c>
      <c r="DI29" s="42">
        <f>SUM(DI8:DI28)</f>
        <v>14907.803274</v>
      </c>
      <c r="DJ29" s="42">
        <f>SUM(DJ8:DJ28)</f>
        <v>524576.291274</v>
      </c>
      <c r="DK29" s="42">
        <f>SUM(DK8:DK28)</f>
        <v>13270.282300800001</v>
      </c>
      <c r="DL29" s="5"/>
      <c r="DM29" s="42">
        <f>SUM(DM8:DM28)</f>
        <v>12083.624</v>
      </c>
      <c r="DN29" s="42">
        <f>SUM(DN8:DN28)</f>
        <v>353.44600199999996</v>
      </c>
      <c r="DO29" s="42">
        <f>SUM(DO8:DO28)</f>
        <v>12437.070002</v>
      </c>
      <c r="DP29" s="42">
        <f>SUM(DP8:DP28)</f>
        <v>314.6223584</v>
      </c>
      <c r="DQ29" s="5"/>
      <c r="DR29" s="42">
        <f>SUM(DR8:DR28)</f>
        <v>865749.44</v>
      </c>
      <c r="DS29" s="42">
        <f>SUM(DS8:DS28)</f>
        <v>25323.17112</v>
      </c>
      <c r="DT29" s="42">
        <f>SUM(DT8:DT28)</f>
        <v>891072.61112</v>
      </c>
      <c r="DU29" s="42">
        <f>SUM(DU8:DU28)</f>
        <v>22541.592704</v>
      </c>
      <c r="DV29" s="5"/>
      <c r="DW29" s="42">
        <f>SUM(DW8:DW28)</f>
        <v>1113280.1160000002</v>
      </c>
      <c r="DX29" s="42">
        <f>SUM(DX8:DX28)</f>
        <v>32563.443393</v>
      </c>
      <c r="DY29" s="42">
        <f>SUM(DY8:DY28)</f>
        <v>1145843.559393</v>
      </c>
      <c r="DZ29" s="42">
        <f>SUM(DZ8:DZ28)</f>
        <v>28986.5702256</v>
      </c>
      <c r="EA29" s="5"/>
      <c r="EB29" s="42">
        <f>SUM(EB8:EB28)</f>
        <v>34737.248</v>
      </c>
      <c r="EC29" s="42">
        <f>SUM(EC8:EC28)</f>
        <v>1016.0645039999999</v>
      </c>
      <c r="ED29" s="42">
        <f>SUM(ED8:ED28)</f>
        <v>35753.312503999994</v>
      </c>
      <c r="EE29" s="42">
        <f>SUM(EE8:EE28)</f>
        <v>904.4567168</v>
      </c>
      <c r="EF29" s="5"/>
      <c r="EG29" s="42">
        <f>SUM(EG8:EG28)</f>
        <v>95250.196</v>
      </c>
      <c r="EH29" s="42">
        <f>SUM(EH8:EH28)</f>
        <v>2786.068233</v>
      </c>
      <c r="EI29" s="42">
        <f>SUM(EI8:EI28)</f>
        <v>98036.264233</v>
      </c>
      <c r="EJ29" s="42">
        <f>SUM(EJ8:EJ28)</f>
        <v>2480.0375536</v>
      </c>
      <c r="EK29" s="5"/>
      <c r="EL29" s="42">
        <f>SUM(EL8:EL28)</f>
        <v>672341.9959999999</v>
      </c>
      <c r="EM29" s="42">
        <f>SUM(EM8:EM28)</f>
        <v>19666.003383</v>
      </c>
      <c r="EN29" s="42">
        <f>SUM(EN8:EN28)</f>
        <v>692007.9993829998</v>
      </c>
      <c r="EO29" s="42">
        <f>SUM(EO8:EO28)</f>
        <v>17505.8264336</v>
      </c>
      <c r="EP29" s="37"/>
      <c r="EQ29" s="42">
        <f>SUM(EQ8:EQ28)</f>
        <v>485775.45599999995</v>
      </c>
      <c r="ER29" s="42">
        <f>SUM(ER8:ER28)</f>
        <v>14208.932088</v>
      </c>
      <c r="ES29" s="42">
        <f>SUM(ES8:ES28)</f>
        <v>499984.38808799995</v>
      </c>
      <c r="ET29" s="42">
        <f>SUM(ET8:ET28)</f>
        <v>12648.1773696</v>
      </c>
      <c r="EU29" s="5"/>
      <c r="EV29" s="42">
        <f>SUM(EV8:EV28)</f>
        <v>0</v>
      </c>
      <c r="EW29" s="42">
        <f>SUM(EW8:EW28)</f>
        <v>0</v>
      </c>
      <c r="EX29" s="42">
        <f>SUM(EX8:EX28)</f>
        <v>0</v>
      </c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17:193" ht="13.5" thickTop="1">
      <c r="Q30" s="5"/>
      <c r="R30" s="5"/>
      <c r="S30" s="5"/>
      <c r="T30" s="5"/>
      <c r="AK30" s="5"/>
      <c r="AL30" s="5"/>
      <c r="AM30" s="5"/>
      <c r="AN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3:193" ht="12.75">
      <c r="M31" s="5"/>
      <c r="Q31" s="5"/>
      <c r="R31" s="5"/>
      <c r="S31" s="5"/>
      <c r="T31" s="5"/>
      <c r="AK31" s="5"/>
      <c r="AL31" s="5"/>
      <c r="AM31" s="5"/>
      <c r="AN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2:193" ht="12.75">
      <c r="B32" s="3">
        <f>G29+L29</f>
        <v>6040000.000000001</v>
      </c>
      <c r="C32" s="3">
        <f>H29+M29</f>
        <v>176670.00000000003</v>
      </c>
      <c r="D32" s="3">
        <f>I29+N29</f>
        <v>6216670</v>
      </c>
      <c r="E32" s="3">
        <f>J29+O29</f>
        <v>157262.7890672</v>
      </c>
      <c r="Q32" s="5"/>
      <c r="R32" s="5"/>
      <c r="S32" s="5"/>
      <c r="T32" s="5"/>
      <c r="AK32" s="5"/>
      <c r="AL32" s="5"/>
      <c r="AM32" s="5"/>
      <c r="AN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</row>
    <row r="33" spans="17:193" ht="12.75">
      <c r="Q33" s="5"/>
      <c r="R33" s="5"/>
      <c r="S33" s="5"/>
      <c r="T33" s="5"/>
      <c r="AK33" s="5"/>
      <c r="AL33" s="5"/>
      <c r="AM33" s="5"/>
      <c r="AN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</row>
    <row r="34" spans="17:193" ht="12.75">
      <c r="Q34" s="5"/>
      <c r="R34" s="5"/>
      <c r="S34" s="5"/>
      <c r="T34" s="5"/>
      <c r="AK34" s="5"/>
      <c r="AL34" s="5"/>
      <c r="AM34" s="5"/>
      <c r="AN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</row>
    <row r="35" spans="17:193" ht="12.75">
      <c r="Q35" s="5"/>
      <c r="R35" s="5"/>
      <c r="S35" s="5"/>
      <c r="T35" s="5"/>
      <c r="AK35" s="5"/>
      <c r="AL35" s="5"/>
      <c r="AM35" s="5"/>
      <c r="AN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</row>
    <row r="36" spans="17:193" ht="12.75">
      <c r="Q36" s="5"/>
      <c r="R36" s="5"/>
      <c r="S36" s="5"/>
      <c r="T36" s="5"/>
      <c r="AK36" s="5"/>
      <c r="AL36" s="5"/>
      <c r="AM36" s="5"/>
      <c r="AN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</row>
    <row r="37" spans="1:193" ht="12.75">
      <c r="A37"/>
      <c r="Q37" s="5"/>
      <c r="R37" s="5"/>
      <c r="S37" s="5"/>
      <c r="T37" s="5"/>
      <c r="AK37" s="5"/>
      <c r="AL37" s="5"/>
      <c r="AM37" s="5"/>
      <c r="AN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1:193" ht="12.75">
      <c r="A38"/>
      <c r="Q38" s="5"/>
      <c r="R38" s="5"/>
      <c r="S38" s="5"/>
      <c r="T38" s="5"/>
      <c r="AK38" s="5"/>
      <c r="AL38" s="5"/>
      <c r="AM38" s="5"/>
      <c r="AN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</row>
    <row r="39" spans="1:193" ht="12.75">
      <c r="A39"/>
      <c r="Q39" s="5"/>
      <c r="R39" s="5"/>
      <c r="S39" s="5"/>
      <c r="T39" s="5"/>
      <c r="AK39" s="5"/>
      <c r="AL39" s="5"/>
      <c r="AM39" s="5"/>
      <c r="AN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</row>
    <row r="40" spans="1:193" ht="12.75">
      <c r="A40"/>
      <c r="Q40" s="5"/>
      <c r="R40" s="5"/>
      <c r="S40" s="5"/>
      <c r="T40" s="5"/>
      <c r="AK40" s="5"/>
      <c r="AL40" s="5"/>
      <c r="AM40" s="5"/>
      <c r="AN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</row>
    <row r="41" spans="1:193" ht="12.75">
      <c r="A41"/>
      <c r="Q41" s="5"/>
      <c r="R41" s="5"/>
      <c r="S41" s="5"/>
      <c r="T41" s="5"/>
      <c r="AK41" s="5"/>
      <c r="AL41" s="5"/>
      <c r="AM41" s="5"/>
      <c r="AN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</row>
    <row r="42" spans="1:193" ht="12.75">
      <c r="A42"/>
      <c r="G42"/>
      <c r="H42"/>
      <c r="I42"/>
      <c r="J42"/>
      <c r="Q42" s="5"/>
      <c r="R42" s="5"/>
      <c r="S42" s="5"/>
      <c r="T42" s="5"/>
      <c r="AK42" s="5"/>
      <c r="AL42" s="5"/>
      <c r="AM42" s="5"/>
      <c r="AN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</row>
    <row r="43" spans="1:193" ht="12.75">
      <c r="A43"/>
      <c r="B43"/>
      <c r="C43"/>
      <c r="D43"/>
      <c r="E43"/>
      <c r="F43"/>
      <c r="G43"/>
      <c r="H43"/>
      <c r="I43"/>
      <c r="J43"/>
      <c r="K43"/>
      <c r="P43"/>
      <c r="Q43" s="5"/>
      <c r="R43" s="5"/>
      <c r="S43" s="5"/>
      <c r="T43" s="5"/>
      <c r="AK43" s="5"/>
      <c r="AL43" s="5"/>
      <c r="AM43" s="5"/>
      <c r="AN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</row>
    <row r="44" spans="1:193" ht="12.75">
      <c r="A44"/>
      <c r="B44"/>
      <c r="C44"/>
      <c r="D44"/>
      <c r="E44"/>
      <c r="F44"/>
      <c r="G44"/>
      <c r="H44"/>
      <c r="I44"/>
      <c r="J44"/>
      <c r="K44"/>
      <c r="P44"/>
      <c r="Q44" s="5"/>
      <c r="R44" s="5"/>
      <c r="S44" s="5"/>
      <c r="T44" s="5"/>
      <c r="AK44" s="5"/>
      <c r="AL44" s="5"/>
      <c r="AM44" s="5"/>
      <c r="AN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</row>
    <row r="45" spans="1:193" ht="12.75">
      <c r="A45"/>
      <c r="B45"/>
      <c r="C45"/>
      <c r="D45"/>
      <c r="E45"/>
      <c r="F45"/>
      <c r="G45"/>
      <c r="H45"/>
      <c r="I45"/>
      <c r="J45"/>
      <c r="K45"/>
      <c r="P45"/>
      <c r="Q45" s="5"/>
      <c r="R45" s="5"/>
      <c r="S45" s="5"/>
      <c r="T45" s="5"/>
      <c r="AK45" s="5"/>
      <c r="AL45" s="5"/>
      <c r="AM45" s="5"/>
      <c r="AN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</row>
    <row r="46" spans="1:193" ht="12.75">
      <c r="A46"/>
      <c r="B46"/>
      <c r="C46"/>
      <c r="D46"/>
      <c r="E46"/>
      <c r="F46"/>
      <c r="G46"/>
      <c r="H46"/>
      <c r="I46"/>
      <c r="J46"/>
      <c r="K46"/>
      <c r="P46"/>
      <c r="Q46" s="5"/>
      <c r="R46" s="5"/>
      <c r="S46" s="5"/>
      <c r="T46" s="5"/>
      <c r="AK46" s="5"/>
      <c r="AL46" s="5"/>
      <c r="AM46" s="5"/>
      <c r="AN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</row>
    <row r="47" spans="1:193" ht="12.75">
      <c r="A47"/>
      <c r="B47"/>
      <c r="C47"/>
      <c r="D47"/>
      <c r="E47"/>
      <c r="F47"/>
      <c r="G47"/>
      <c r="H47"/>
      <c r="I47"/>
      <c r="J47"/>
      <c r="K47"/>
      <c r="P47"/>
      <c r="Q47" s="5"/>
      <c r="R47" s="5"/>
      <c r="S47" s="5"/>
      <c r="T47" s="5"/>
      <c r="AK47" s="5"/>
      <c r="AL47" s="5"/>
      <c r="AM47" s="5"/>
      <c r="AN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</row>
    <row r="48" spans="1:193" ht="12.75">
      <c r="A48"/>
      <c r="B48"/>
      <c r="C48"/>
      <c r="D48"/>
      <c r="E48"/>
      <c r="F48"/>
      <c r="G48"/>
      <c r="H48"/>
      <c r="I48"/>
      <c r="J48"/>
      <c r="K48"/>
      <c r="P48"/>
      <c r="Q48" s="5"/>
      <c r="R48" s="5"/>
      <c r="S48" s="5"/>
      <c r="T48" s="5"/>
      <c r="AK48" s="5"/>
      <c r="AL48" s="5"/>
      <c r="AM48" s="5"/>
      <c r="AN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</row>
    <row r="49" spans="1:193" ht="12.75">
      <c r="A49"/>
      <c r="B49"/>
      <c r="C49"/>
      <c r="D49"/>
      <c r="E49"/>
      <c r="F49"/>
      <c r="G49"/>
      <c r="H49"/>
      <c r="I49"/>
      <c r="J49"/>
      <c r="K49"/>
      <c r="P49"/>
      <c r="Q49" s="5"/>
      <c r="R49" s="5"/>
      <c r="S49" s="5"/>
      <c r="T49" s="5"/>
      <c r="AK49" s="5"/>
      <c r="AL49" s="5"/>
      <c r="AM49" s="5"/>
      <c r="AN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</row>
    <row r="50" spans="1:193" ht="12.75">
      <c r="A50"/>
      <c r="B50"/>
      <c r="C50"/>
      <c r="D50"/>
      <c r="E50"/>
      <c r="F50"/>
      <c r="G50"/>
      <c r="H50"/>
      <c r="I50"/>
      <c r="J50"/>
      <c r="K50"/>
      <c r="P50"/>
      <c r="Q50" s="5"/>
      <c r="R50" s="5"/>
      <c r="S50" s="5"/>
      <c r="T50" s="5"/>
      <c r="AK50" s="5"/>
      <c r="AL50" s="5"/>
      <c r="AM50" s="5"/>
      <c r="AN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</row>
    <row r="51" spans="1:193" ht="12.75">
      <c r="A51"/>
      <c r="B51"/>
      <c r="C51"/>
      <c r="D51"/>
      <c r="E51"/>
      <c r="F51"/>
      <c r="G51"/>
      <c r="H51"/>
      <c r="I51"/>
      <c r="J51"/>
      <c r="K51"/>
      <c r="P51"/>
      <c r="Q51" s="5"/>
      <c r="R51" s="5"/>
      <c r="S51" s="5"/>
      <c r="T51" s="5"/>
      <c r="AK51" s="5"/>
      <c r="AL51" s="5"/>
      <c r="AM51" s="5"/>
      <c r="AN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</row>
    <row r="52" spans="1:193" ht="12.75">
      <c r="A52"/>
      <c r="B52"/>
      <c r="C52"/>
      <c r="D52"/>
      <c r="E52"/>
      <c r="F52"/>
      <c r="G52"/>
      <c r="H52"/>
      <c r="I52"/>
      <c r="J52"/>
      <c r="K52"/>
      <c r="P52"/>
      <c r="Q52" s="5"/>
      <c r="R52" s="5"/>
      <c r="S52" s="5"/>
      <c r="T52" s="5"/>
      <c r="AK52" s="5"/>
      <c r="AL52" s="5"/>
      <c r="AM52" s="5"/>
      <c r="AN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</row>
    <row r="53" spans="1:193" ht="12.75">
      <c r="A53"/>
      <c r="B53"/>
      <c r="C53"/>
      <c r="D53"/>
      <c r="E53"/>
      <c r="F53"/>
      <c r="G53"/>
      <c r="H53"/>
      <c r="I53"/>
      <c r="J53"/>
      <c r="K53"/>
      <c r="P53"/>
      <c r="Q53" s="5"/>
      <c r="R53" s="5"/>
      <c r="S53" s="5"/>
      <c r="T53" s="5"/>
      <c r="AK53" s="5"/>
      <c r="AL53" s="5"/>
      <c r="AM53" s="5"/>
      <c r="AN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</row>
    <row r="54" spans="1:193" ht="12.75">
      <c r="A54"/>
      <c r="B54"/>
      <c r="C54"/>
      <c r="D54"/>
      <c r="E54"/>
      <c r="F54"/>
      <c r="G54"/>
      <c r="H54"/>
      <c r="I54"/>
      <c r="J54"/>
      <c r="K54"/>
      <c r="P54"/>
      <c r="Q54" s="5"/>
      <c r="R54" s="5"/>
      <c r="S54" s="5"/>
      <c r="T54" s="5"/>
      <c r="AK54" s="5"/>
      <c r="AL54" s="5"/>
      <c r="AM54" s="5"/>
      <c r="AN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</row>
    <row r="55" spans="1:193" ht="12.75">
      <c r="A55"/>
      <c r="B55"/>
      <c r="C55"/>
      <c r="D55"/>
      <c r="E55"/>
      <c r="F55"/>
      <c r="G55"/>
      <c r="H55"/>
      <c r="I55"/>
      <c r="J55"/>
      <c r="K55"/>
      <c r="P55"/>
      <c r="Q55" s="5"/>
      <c r="R55" s="5"/>
      <c r="S55" s="5"/>
      <c r="T55" s="5"/>
      <c r="AK55" s="5"/>
      <c r="AL55" s="5"/>
      <c r="AM55" s="5"/>
      <c r="AN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</row>
    <row r="56" spans="1:193" ht="12.75">
      <c r="A56"/>
      <c r="B56"/>
      <c r="C56"/>
      <c r="D56"/>
      <c r="E56"/>
      <c r="F56"/>
      <c r="G56"/>
      <c r="H56"/>
      <c r="I56"/>
      <c r="J56"/>
      <c r="K56"/>
      <c r="P56"/>
      <c r="Q56" s="5"/>
      <c r="R56" s="5"/>
      <c r="S56" s="5"/>
      <c r="T56" s="5"/>
      <c r="AK56" s="5"/>
      <c r="AL56" s="5"/>
      <c r="AM56" s="5"/>
      <c r="AN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</row>
    <row r="57" spans="1:193" ht="12.75">
      <c r="A57"/>
      <c r="B57"/>
      <c r="C57"/>
      <c r="D57"/>
      <c r="E57"/>
      <c r="F57"/>
      <c r="G57"/>
      <c r="H57"/>
      <c r="I57"/>
      <c r="J57"/>
      <c r="K57"/>
      <c r="P57"/>
      <c r="Q57" s="5"/>
      <c r="R57" s="5"/>
      <c r="S57" s="5"/>
      <c r="T57" s="5"/>
      <c r="AK57" s="5"/>
      <c r="AL57" s="5"/>
      <c r="AM57" s="5"/>
      <c r="AN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</row>
    <row r="58" spans="1:193" ht="12.75">
      <c r="A58"/>
      <c r="B58"/>
      <c r="C58"/>
      <c r="D58"/>
      <c r="E58"/>
      <c r="F58"/>
      <c r="G58"/>
      <c r="H58"/>
      <c r="I58"/>
      <c r="J58"/>
      <c r="K58"/>
      <c r="P58"/>
      <c r="Q58" s="5"/>
      <c r="R58" s="5"/>
      <c r="S58" s="5"/>
      <c r="T58" s="5"/>
      <c r="AK58" s="5"/>
      <c r="AL58" s="5"/>
      <c r="AM58" s="5"/>
      <c r="AN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</row>
    <row r="59" spans="1:193" ht="12.75">
      <c r="A59"/>
      <c r="B59"/>
      <c r="C59"/>
      <c r="D59"/>
      <c r="E59"/>
      <c r="F59"/>
      <c r="G59"/>
      <c r="H59"/>
      <c r="I59"/>
      <c r="J59"/>
      <c r="K59"/>
      <c r="P59"/>
      <c r="Q59" s="5"/>
      <c r="R59" s="5"/>
      <c r="S59" s="5"/>
      <c r="T59" s="5"/>
      <c r="AK59" s="5"/>
      <c r="AL59" s="5"/>
      <c r="AM59" s="5"/>
      <c r="AN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</row>
    <row r="60" spans="1:193" ht="12.75">
      <c r="A60"/>
      <c r="B60"/>
      <c r="C60"/>
      <c r="D60"/>
      <c r="E60"/>
      <c r="F60"/>
      <c r="G60"/>
      <c r="H60"/>
      <c r="I60"/>
      <c r="J60"/>
      <c r="K60"/>
      <c r="P60"/>
      <c r="Q60" s="5"/>
      <c r="R60" s="5"/>
      <c r="S60" s="5"/>
      <c r="T60" s="5"/>
      <c r="AK60" s="5"/>
      <c r="AL60" s="5"/>
      <c r="AM60" s="5"/>
      <c r="AN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</row>
    <row r="61" spans="1:193" ht="12.75">
      <c r="A61"/>
      <c r="B61"/>
      <c r="C61"/>
      <c r="D61"/>
      <c r="E61"/>
      <c r="F61"/>
      <c r="G61"/>
      <c r="H61"/>
      <c r="I61"/>
      <c r="J61"/>
      <c r="K61"/>
      <c r="P61"/>
      <c r="Q61" s="5"/>
      <c r="R61" s="5"/>
      <c r="S61" s="5"/>
      <c r="T61" s="5"/>
      <c r="AK61" s="5"/>
      <c r="AL61" s="5"/>
      <c r="AM61" s="5"/>
      <c r="AN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</row>
    <row r="62" spans="1:193" ht="12.75">
      <c r="A62"/>
      <c r="B62"/>
      <c r="C62"/>
      <c r="D62"/>
      <c r="E62"/>
      <c r="F62"/>
      <c r="G62"/>
      <c r="H62"/>
      <c r="I62"/>
      <c r="J62"/>
      <c r="K62"/>
      <c r="P62"/>
      <c r="Q62" s="5"/>
      <c r="R62" s="5"/>
      <c r="S62" s="5"/>
      <c r="T62" s="5"/>
      <c r="AK62" s="5"/>
      <c r="AL62" s="5"/>
      <c r="AM62" s="5"/>
      <c r="AN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</row>
    <row r="63" spans="1:193" ht="12.75">
      <c r="A63"/>
      <c r="B63"/>
      <c r="C63"/>
      <c r="D63"/>
      <c r="E63"/>
      <c r="F63"/>
      <c r="G63"/>
      <c r="H63"/>
      <c r="I63"/>
      <c r="J63"/>
      <c r="K63"/>
      <c r="P63"/>
      <c r="Q63" s="5"/>
      <c r="R63" s="5"/>
      <c r="S63" s="5"/>
      <c r="T63" s="5"/>
      <c r="AK63" s="5"/>
      <c r="AL63" s="5"/>
      <c r="AM63" s="5"/>
      <c r="AN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</row>
    <row r="64" spans="2:193" ht="12.75">
      <c r="B64"/>
      <c r="C64"/>
      <c r="D64"/>
      <c r="E64"/>
      <c r="F64"/>
      <c r="G64"/>
      <c r="H64"/>
      <c r="I64"/>
      <c r="J64"/>
      <c r="K64"/>
      <c r="P64"/>
      <c r="Q64" s="5"/>
      <c r="R64" s="5"/>
      <c r="S64" s="5"/>
      <c r="T64" s="5"/>
      <c r="AK64" s="5"/>
      <c r="AL64" s="5"/>
      <c r="AM64" s="5"/>
      <c r="AN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</row>
    <row r="65" spans="2:193" ht="12.75">
      <c r="B65"/>
      <c r="C65"/>
      <c r="D65"/>
      <c r="E65"/>
      <c r="F65"/>
      <c r="G65"/>
      <c r="H65"/>
      <c r="I65"/>
      <c r="J65"/>
      <c r="K65"/>
      <c r="P65"/>
      <c r="Q65" s="5"/>
      <c r="R65" s="5"/>
      <c r="S65" s="5"/>
      <c r="T65" s="5"/>
      <c r="AK65" s="5"/>
      <c r="AL65" s="5"/>
      <c r="AM65" s="5"/>
      <c r="AN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</row>
    <row r="66" spans="2:193" ht="12.75">
      <c r="B66"/>
      <c r="C66"/>
      <c r="D66"/>
      <c r="E66"/>
      <c r="F66"/>
      <c r="G66"/>
      <c r="H66"/>
      <c r="I66"/>
      <c r="J66"/>
      <c r="K66"/>
      <c r="P66"/>
      <c r="Q66" s="5"/>
      <c r="R66" s="5"/>
      <c r="S66" s="5"/>
      <c r="T66" s="5"/>
      <c r="AK66" s="5"/>
      <c r="AL66" s="5"/>
      <c r="AM66" s="5"/>
      <c r="AN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</row>
    <row r="67" spans="2:193" ht="12.75">
      <c r="B67"/>
      <c r="C67"/>
      <c r="D67"/>
      <c r="E67"/>
      <c r="F67"/>
      <c r="G67"/>
      <c r="H67"/>
      <c r="I67"/>
      <c r="J67"/>
      <c r="K67"/>
      <c r="P67"/>
      <c r="Q67" s="5"/>
      <c r="R67" s="5"/>
      <c r="S67" s="5"/>
      <c r="T67" s="5"/>
      <c r="AK67" s="5"/>
      <c r="AL67" s="5"/>
      <c r="AM67" s="5"/>
      <c r="AN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</row>
    <row r="68" spans="2:193" ht="12.75">
      <c r="B68"/>
      <c r="C68"/>
      <c r="D68"/>
      <c r="E68"/>
      <c r="F68"/>
      <c r="G68"/>
      <c r="H68"/>
      <c r="I68"/>
      <c r="J68"/>
      <c r="K68"/>
      <c r="P68"/>
      <c r="Q68" s="5"/>
      <c r="R68" s="5"/>
      <c r="S68" s="5"/>
      <c r="T68" s="5"/>
      <c r="AK68" s="5"/>
      <c r="AL68" s="5"/>
      <c r="AM68" s="5"/>
      <c r="AN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</row>
    <row r="69" spans="2:193" ht="12.75">
      <c r="B69"/>
      <c r="C69"/>
      <c r="D69"/>
      <c r="E69"/>
      <c r="F69"/>
      <c r="K69"/>
      <c r="P69"/>
      <c r="Q69" s="5"/>
      <c r="R69" s="5"/>
      <c r="S69" s="5"/>
      <c r="T69" s="5"/>
      <c r="AK69" s="5"/>
      <c r="AL69" s="5"/>
      <c r="AM69" s="5"/>
      <c r="AN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</row>
    <row r="70" spans="17:193" ht="12.75">
      <c r="Q70" s="5"/>
      <c r="R70" s="5"/>
      <c r="S70" s="5"/>
      <c r="T70" s="5"/>
      <c r="AK70" s="5"/>
      <c r="AL70" s="5"/>
      <c r="AM70" s="5"/>
      <c r="AN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</row>
    <row r="71" spans="17:193" ht="12.75">
      <c r="Q71" s="5"/>
      <c r="R71" s="5"/>
      <c r="S71" s="5"/>
      <c r="T71" s="5"/>
      <c r="AK71" s="5"/>
      <c r="AL71" s="5"/>
      <c r="AM71" s="5"/>
      <c r="AN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</row>
    <row r="72" spans="17:193" ht="12.75">
      <c r="Q72" s="5"/>
      <c r="R72" s="5"/>
      <c r="S72" s="5"/>
      <c r="T72" s="5"/>
      <c r="AK72" s="5"/>
      <c r="AL72" s="5"/>
      <c r="AM72" s="5"/>
      <c r="AN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</row>
    <row r="73" spans="17:193" ht="12.75">
      <c r="Q73" s="5"/>
      <c r="R73" s="5"/>
      <c r="S73" s="5"/>
      <c r="T73" s="5"/>
      <c r="AK73" s="5"/>
      <c r="AL73" s="5"/>
      <c r="AM73" s="5"/>
      <c r="AN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</row>
    <row r="74" spans="17:193" ht="12.75">
      <c r="Q74" s="5"/>
      <c r="R74" s="5"/>
      <c r="S74" s="5"/>
      <c r="T74" s="5"/>
      <c r="AK74" s="5"/>
      <c r="AL74" s="5"/>
      <c r="AM74" s="5"/>
      <c r="AN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</row>
    <row r="75" spans="17:193" ht="12.75">
      <c r="Q75" s="5"/>
      <c r="R75" s="5"/>
      <c r="S75" s="5"/>
      <c r="T75" s="5"/>
      <c r="AK75" s="5"/>
      <c r="AL75" s="5"/>
      <c r="AM75" s="5"/>
      <c r="AN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</row>
    <row r="76" spans="17:193" ht="12.75">
      <c r="Q76" s="5"/>
      <c r="R76" s="5"/>
      <c r="S76" s="5"/>
      <c r="T76" s="5"/>
      <c r="AK76" s="5"/>
      <c r="AL76" s="5"/>
      <c r="AM76" s="5"/>
      <c r="AN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</row>
    <row r="77" spans="17:193" ht="12.75">
      <c r="Q77" s="5"/>
      <c r="R77" s="5"/>
      <c r="S77" s="5"/>
      <c r="T77" s="5"/>
      <c r="AK77" s="5"/>
      <c r="AL77" s="5"/>
      <c r="AM77" s="5"/>
      <c r="AN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</row>
    <row r="78" spans="17:193" ht="12.75">
      <c r="Q78" s="5"/>
      <c r="R78" s="5"/>
      <c r="S78" s="5"/>
      <c r="T78" s="5"/>
      <c r="AK78" s="5"/>
      <c r="AL78" s="5"/>
      <c r="AM78" s="5"/>
      <c r="AN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</row>
    <row r="79" spans="17:193" ht="12.75">
      <c r="Q79" s="5"/>
      <c r="R79" s="5"/>
      <c r="S79" s="5"/>
      <c r="T79" s="5"/>
      <c r="AK79" s="5"/>
      <c r="AL79" s="5"/>
      <c r="AM79" s="5"/>
      <c r="AN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</row>
    <row r="80" spans="17:193" ht="12.75">
      <c r="Q80" s="5"/>
      <c r="R80" s="5"/>
      <c r="S80" s="5"/>
      <c r="T80" s="5"/>
      <c r="AK80" s="5"/>
      <c r="AL80" s="5"/>
      <c r="AM80" s="5"/>
      <c r="AN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</row>
    <row r="81" spans="17:193" ht="12.75">
      <c r="Q81" s="5"/>
      <c r="R81" s="5"/>
      <c r="S81" s="5"/>
      <c r="T81" s="5"/>
      <c r="AK81" s="5"/>
      <c r="AL81" s="5"/>
      <c r="AM81" s="5"/>
      <c r="AN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</row>
    <row r="82" spans="17:193" ht="12.75">
      <c r="Q82" s="5"/>
      <c r="R82" s="5"/>
      <c r="S82" s="5"/>
      <c r="T82" s="5"/>
      <c r="AK82" s="5"/>
      <c r="AL82" s="5"/>
      <c r="AM82" s="5"/>
      <c r="AN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</row>
    <row r="83" spans="17:193" ht="12.75">
      <c r="Q83" s="5"/>
      <c r="R83" s="5"/>
      <c r="S83" s="5"/>
      <c r="T83" s="5"/>
      <c r="AK83" s="5"/>
      <c r="AL83" s="5"/>
      <c r="AM83" s="5"/>
      <c r="AN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</row>
    <row r="84" spans="17:193" ht="12.75">
      <c r="Q84" s="5"/>
      <c r="R84" s="5"/>
      <c r="S84" s="5"/>
      <c r="T84" s="5"/>
      <c r="AK84" s="5"/>
      <c r="AL84" s="5"/>
      <c r="AM84" s="5"/>
      <c r="AN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</row>
    <row r="85" spans="17:193" ht="12.75">
      <c r="Q85" s="5"/>
      <c r="R85" s="5"/>
      <c r="S85" s="5"/>
      <c r="T85" s="5"/>
      <c r="AK85" s="5"/>
      <c r="AL85" s="5"/>
      <c r="AM85" s="5"/>
      <c r="AN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</row>
    <row r="86" spans="17:193" ht="12.75">
      <c r="Q86" s="5"/>
      <c r="R86" s="5"/>
      <c r="S86" s="5"/>
      <c r="T86" s="5"/>
      <c r="AK86" s="5"/>
      <c r="AL86" s="5"/>
      <c r="AM86" s="5"/>
      <c r="AN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</row>
    <row r="87" spans="17:193" ht="12.75">
      <c r="Q87" s="5"/>
      <c r="R87" s="5"/>
      <c r="S87" s="5"/>
      <c r="T87" s="5"/>
      <c r="AK87" s="5"/>
      <c r="AL87" s="5"/>
      <c r="AM87" s="5"/>
      <c r="AN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</row>
    <row r="88" spans="17:193" ht="12.75">
      <c r="Q88" s="5"/>
      <c r="R88" s="5"/>
      <c r="S88" s="5"/>
      <c r="T88" s="5"/>
      <c r="AK88" s="5"/>
      <c r="AL88" s="5"/>
      <c r="AM88" s="5"/>
      <c r="AN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</row>
    <row r="89" spans="17:193" ht="12.75">
      <c r="Q89" s="5"/>
      <c r="R89" s="5"/>
      <c r="S89" s="5"/>
      <c r="T89" s="5"/>
      <c r="AK89" s="5"/>
      <c r="AL89" s="5"/>
      <c r="AM89" s="5"/>
      <c r="AN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</row>
    <row r="90" spans="17:193" ht="12.75">
      <c r="Q90" s="5"/>
      <c r="R90" s="5"/>
      <c r="S90" s="5"/>
      <c r="T90" s="5"/>
      <c r="AK90" s="5"/>
      <c r="AL90" s="5"/>
      <c r="AM90" s="5"/>
      <c r="AN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</row>
    <row r="91" spans="17:193" ht="12.75">
      <c r="Q91" s="5"/>
      <c r="R91" s="5"/>
      <c r="S91" s="5"/>
      <c r="T91" s="5"/>
      <c r="AK91" s="5"/>
      <c r="AL91" s="5"/>
      <c r="AM91" s="5"/>
      <c r="AN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</row>
    <row r="92" spans="17:193" ht="12.75">
      <c r="Q92" s="5"/>
      <c r="R92" s="5"/>
      <c r="S92" s="5"/>
      <c r="T92" s="5"/>
      <c r="AK92" s="5"/>
      <c r="AL92" s="5"/>
      <c r="AM92" s="5"/>
      <c r="AN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</row>
    <row r="93" spans="17:193" ht="12.75">
      <c r="Q93" s="5"/>
      <c r="R93" s="5"/>
      <c r="S93" s="5"/>
      <c r="T93" s="5"/>
      <c r="AK93" s="5"/>
      <c r="AL93" s="5"/>
      <c r="AM93" s="5"/>
      <c r="AN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</row>
    <row r="94" spans="17:193" ht="12.75">
      <c r="Q94" s="5"/>
      <c r="R94" s="5"/>
      <c r="S94" s="5"/>
      <c r="T94" s="5"/>
      <c r="AK94" s="5"/>
      <c r="AL94" s="5"/>
      <c r="AM94" s="5"/>
      <c r="AN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</row>
    <row r="95" spans="17:193" ht="12.75">
      <c r="Q95" s="5"/>
      <c r="R95" s="5"/>
      <c r="S95" s="5"/>
      <c r="T95" s="5"/>
      <c r="AK95" s="5"/>
      <c r="AL95" s="5"/>
      <c r="AM95" s="5"/>
      <c r="AN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</row>
    <row r="96" spans="17:193" ht="12.75">
      <c r="Q96" s="5"/>
      <c r="R96" s="5"/>
      <c r="S96" s="5"/>
      <c r="T96" s="5"/>
      <c r="AK96" s="5"/>
      <c r="AL96" s="5"/>
      <c r="AM96" s="5"/>
      <c r="AN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</row>
    <row r="97" spans="17:193" ht="12.75">
      <c r="Q97" s="5"/>
      <c r="R97" s="5"/>
      <c r="S97" s="5"/>
      <c r="T97" s="5"/>
      <c r="AK97" s="5"/>
      <c r="AL97" s="5"/>
      <c r="AM97" s="5"/>
      <c r="AN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</row>
    <row r="98" spans="17:193" ht="12.75">
      <c r="Q98" s="5"/>
      <c r="R98" s="5"/>
      <c r="S98" s="5"/>
      <c r="T98" s="5"/>
      <c r="AK98" s="5"/>
      <c r="AL98" s="5"/>
      <c r="AM98" s="5"/>
      <c r="AN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</row>
    <row r="99" spans="17:193" ht="12.75">
      <c r="Q99" s="5"/>
      <c r="R99" s="5"/>
      <c r="S99" s="5"/>
      <c r="T99" s="5"/>
      <c r="AK99" s="5"/>
      <c r="AL99" s="5"/>
      <c r="AM99" s="5"/>
      <c r="AN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</row>
    <row r="100" spans="17:193" ht="12.75">
      <c r="Q100" s="5"/>
      <c r="R100" s="5"/>
      <c r="S100" s="5"/>
      <c r="T100" s="5"/>
      <c r="AK100" s="5"/>
      <c r="AL100" s="5"/>
      <c r="AM100" s="5"/>
      <c r="AN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</row>
    <row r="101" spans="17:193" ht="12.75">
      <c r="Q101" s="5"/>
      <c r="R101" s="5"/>
      <c r="S101" s="5"/>
      <c r="T101" s="5"/>
      <c r="AK101" s="5"/>
      <c r="AL101" s="5"/>
      <c r="AM101" s="5"/>
      <c r="AN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</row>
    <row r="102" spans="17:193" ht="12.75">
      <c r="Q102" s="5"/>
      <c r="R102" s="5"/>
      <c r="S102" s="5"/>
      <c r="T102" s="5"/>
      <c r="AK102" s="5"/>
      <c r="AL102" s="5"/>
      <c r="AM102" s="5"/>
      <c r="AN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</row>
    <row r="103" spans="17:193" ht="12.75">
      <c r="Q103" s="5"/>
      <c r="R103" s="5"/>
      <c r="S103" s="5"/>
      <c r="T103" s="5"/>
      <c r="AK103" s="5"/>
      <c r="AL103" s="5"/>
      <c r="AM103" s="5"/>
      <c r="AN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</row>
    <row r="104" spans="17:193" ht="12.75">
      <c r="Q104" s="5"/>
      <c r="R104" s="5"/>
      <c r="S104" s="5"/>
      <c r="T104" s="5"/>
      <c r="AK104" s="5"/>
      <c r="AL104" s="5"/>
      <c r="AM104" s="5"/>
      <c r="AN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</row>
    <row r="105" spans="17:193" ht="12.75">
      <c r="Q105" s="5"/>
      <c r="R105" s="5"/>
      <c r="S105" s="5"/>
      <c r="T105" s="5"/>
      <c r="AK105" s="5"/>
      <c r="AL105" s="5"/>
      <c r="AM105" s="5"/>
      <c r="AN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</row>
    <row r="106" spans="17:193" ht="12.75">
      <c r="Q106" s="5"/>
      <c r="R106" s="5"/>
      <c r="S106" s="5"/>
      <c r="T106" s="5"/>
      <c r="AK106" s="5"/>
      <c r="AL106" s="5"/>
      <c r="AM106" s="5"/>
      <c r="AN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</row>
    <row r="107" spans="17:193" ht="12.75">
      <c r="Q107" s="5"/>
      <c r="R107" s="5"/>
      <c r="S107" s="5"/>
      <c r="T107" s="5"/>
      <c r="AK107" s="5"/>
      <c r="AL107" s="5"/>
      <c r="AM107" s="5"/>
      <c r="AN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</row>
    <row r="108" spans="17:193" ht="12.75">
      <c r="Q108" s="5"/>
      <c r="R108" s="5"/>
      <c r="S108" s="5"/>
      <c r="T108" s="5"/>
      <c r="AK108" s="5"/>
      <c r="AL108" s="5"/>
      <c r="AM108" s="5"/>
      <c r="AN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</row>
    <row r="109" spans="17:193" ht="12.75">
      <c r="Q109" s="5"/>
      <c r="R109" s="5"/>
      <c r="S109" s="5"/>
      <c r="T109" s="5"/>
      <c r="AK109" s="5"/>
      <c r="AL109" s="5"/>
      <c r="AM109" s="5"/>
      <c r="AN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</row>
    <row r="110" spans="17:193" ht="12.75">
      <c r="Q110" s="5"/>
      <c r="R110" s="5"/>
      <c r="S110" s="5"/>
      <c r="T110" s="5"/>
      <c r="AK110" s="5"/>
      <c r="AL110" s="5"/>
      <c r="AM110" s="5"/>
      <c r="AN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</row>
    <row r="111" spans="17:193" ht="12.75">
      <c r="Q111" s="5"/>
      <c r="R111" s="5"/>
      <c r="S111" s="5"/>
      <c r="T111" s="5"/>
      <c r="AK111" s="5"/>
      <c r="AL111" s="5"/>
      <c r="AM111" s="5"/>
      <c r="AN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</row>
    <row r="112" spans="17:193" ht="12.75">
      <c r="Q112" s="5"/>
      <c r="R112" s="5"/>
      <c r="S112" s="5"/>
      <c r="T112" s="5"/>
      <c r="AK112" s="5"/>
      <c r="AL112" s="5"/>
      <c r="AM112" s="5"/>
      <c r="AN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</row>
    <row r="113" spans="17:193" ht="12.75">
      <c r="Q113" s="5"/>
      <c r="R113" s="5"/>
      <c r="S113" s="5"/>
      <c r="T113" s="5"/>
      <c r="AK113" s="5"/>
      <c r="AL113" s="5"/>
      <c r="AM113" s="5"/>
      <c r="AN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</row>
    <row r="114" spans="17:193" ht="12.75">
      <c r="Q114" s="5"/>
      <c r="R114" s="5"/>
      <c r="S114" s="5"/>
      <c r="T114" s="5"/>
      <c r="AK114" s="5"/>
      <c r="AL114" s="5"/>
      <c r="AM114" s="5"/>
      <c r="AN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</row>
    <row r="115" spans="17:193" ht="12.75">
      <c r="Q115" s="5"/>
      <c r="R115" s="5"/>
      <c r="S115" s="5"/>
      <c r="T115" s="5"/>
      <c r="AK115" s="5"/>
      <c r="AL115" s="5"/>
      <c r="AM115" s="5"/>
      <c r="AN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</row>
    <row r="116" spans="17:193" ht="12.75">
      <c r="Q116" s="5"/>
      <c r="R116" s="5"/>
      <c r="S116" s="5"/>
      <c r="T116" s="5"/>
      <c r="AK116" s="5"/>
      <c r="AL116" s="5"/>
      <c r="AM116" s="5"/>
      <c r="AN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</row>
    <row r="117" spans="17:193" ht="12.75">
      <c r="Q117" s="5"/>
      <c r="R117" s="5"/>
      <c r="S117" s="5"/>
      <c r="T117" s="5"/>
      <c r="AK117" s="5"/>
      <c r="AL117" s="5"/>
      <c r="AM117" s="5"/>
      <c r="AN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</row>
    <row r="118" spans="17:193" ht="12.75">
      <c r="Q118" s="5"/>
      <c r="R118" s="5"/>
      <c r="S118" s="5"/>
      <c r="T118" s="5"/>
      <c r="AK118" s="5"/>
      <c r="AL118" s="5"/>
      <c r="AM118" s="5"/>
      <c r="AN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</row>
    <row r="119" spans="17:193" ht="12.75">
      <c r="Q119" s="5"/>
      <c r="R119" s="5"/>
      <c r="S119" s="5"/>
      <c r="T119" s="5"/>
      <c r="AK119" s="5"/>
      <c r="AL119" s="5"/>
      <c r="AM119" s="5"/>
      <c r="AN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</row>
    <row r="120" spans="17:193" ht="12.75">
      <c r="Q120" s="5"/>
      <c r="R120" s="5"/>
      <c r="S120" s="5"/>
      <c r="T120" s="5"/>
      <c r="AK120" s="5"/>
      <c r="AL120" s="5"/>
      <c r="AM120" s="5"/>
      <c r="AN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</row>
    <row r="121" spans="17:193" ht="12.75">
      <c r="Q121" s="5"/>
      <c r="R121" s="5"/>
      <c r="S121" s="5"/>
      <c r="T121" s="5"/>
      <c r="AK121" s="5"/>
      <c r="AL121" s="5"/>
      <c r="AM121" s="5"/>
      <c r="AN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</row>
    <row r="122" spans="17:193" ht="12.75">
      <c r="Q122" s="5"/>
      <c r="R122" s="5"/>
      <c r="S122" s="5"/>
      <c r="T122" s="5"/>
      <c r="AK122" s="5"/>
      <c r="AL122" s="5"/>
      <c r="AM122" s="5"/>
      <c r="AN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</row>
    <row r="123" spans="17:193" ht="12.75">
      <c r="Q123" s="5"/>
      <c r="R123" s="5"/>
      <c r="S123" s="5"/>
      <c r="T123" s="5"/>
      <c r="AK123" s="5"/>
      <c r="AL123" s="5"/>
      <c r="AM123" s="5"/>
      <c r="AN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</row>
    <row r="124" spans="17:193" ht="12.75">
      <c r="Q124" s="5"/>
      <c r="R124" s="5"/>
      <c r="S124" s="5"/>
      <c r="T124" s="5"/>
      <c r="AK124" s="5"/>
      <c r="AL124" s="5"/>
      <c r="AM124" s="5"/>
      <c r="AN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</row>
    <row r="125" spans="17:193" ht="12.75">
      <c r="Q125" s="5"/>
      <c r="R125" s="5"/>
      <c r="S125" s="5"/>
      <c r="T125" s="5"/>
      <c r="AK125" s="5"/>
      <c r="AL125" s="5"/>
      <c r="AM125" s="5"/>
      <c r="AN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</row>
    <row r="126" spans="17:193" ht="12.75">
      <c r="Q126" s="5"/>
      <c r="R126" s="5"/>
      <c r="S126" s="5"/>
      <c r="T126" s="5"/>
      <c r="AK126" s="5"/>
      <c r="AL126" s="5"/>
      <c r="AM126" s="5"/>
      <c r="AN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</row>
    <row r="127" spans="17:193" ht="12.75">
      <c r="Q127" s="5"/>
      <c r="R127" s="5"/>
      <c r="S127" s="5"/>
      <c r="T127" s="5"/>
      <c r="AK127" s="5"/>
      <c r="AL127" s="5"/>
      <c r="AM127" s="5"/>
      <c r="AN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</row>
    <row r="128" spans="17:193" ht="12.75">
      <c r="Q128" s="5"/>
      <c r="R128" s="5"/>
      <c r="S128" s="5"/>
      <c r="T128" s="5"/>
      <c r="AK128" s="5"/>
      <c r="AL128" s="5"/>
      <c r="AM128" s="5"/>
      <c r="AN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</row>
    <row r="129" spans="17:193" ht="12.75">
      <c r="Q129" s="5"/>
      <c r="R129" s="5"/>
      <c r="S129" s="5"/>
      <c r="T129" s="5"/>
      <c r="AK129" s="5"/>
      <c r="AL129" s="5"/>
      <c r="AM129" s="5"/>
      <c r="AN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</row>
    <row r="130" spans="17:193" ht="12.75">
      <c r="Q130" s="5"/>
      <c r="R130" s="5"/>
      <c r="S130" s="5"/>
      <c r="T130" s="5"/>
      <c r="AK130" s="5"/>
      <c r="AL130" s="5"/>
      <c r="AM130" s="5"/>
      <c r="AN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</row>
    <row r="131" spans="17:193" ht="12.75">
      <c r="Q131" s="5"/>
      <c r="R131" s="5"/>
      <c r="S131" s="5"/>
      <c r="T131" s="5"/>
      <c r="AK131" s="5"/>
      <c r="AL131" s="5"/>
      <c r="AM131" s="5"/>
      <c r="AN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</row>
    <row r="132" spans="17:193" ht="12.75">
      <c r="Q132" s="5"/>
      <c r="R132" s="5"/>
      <c r="S132" s="5"/>
      <c r="T132" s="5"/>
      <c r="AK132" s="5"/>
      <c r="AL132" s="5"/>
      <c r="AM132" s="5"/>
      <c r="AN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</row>
    <row r="133" spans="17:193" ht="12.75">
      <c r="Q133" s="5"/>
      <c r="R133" s="5"/>
      <c r="S133" s="5"/>
      <c r="T133" s="5"/>
      <c r="AK133" s="5"/>
      <c r="AL133" s="5"/>
      <c r="AM133" s="5"/>
      <c r="AN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</row>
    <row r="134" spans="17:193" ht="12.75">
      <c r="Q134" s="5"/>
      <c r="R134" s="5"/>
      <c r="S134" s="5"/>
      <c r="T134" s="5"/>
      <c r="AK134" s="5"/>
      <c r="AL134" s="5"/>
      <c r="AM134" s="5"/>
      <c r="AN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</row>
    <row r="135" spans="17:193" ht="12.75">
      <c r="Q135" s="5"/>
      <c r="R135" s="5"/>
      <c r="S135" s="5"/>
      <c r="T135" s="5"/>
      <c r="AK135" s="5"/>
      <c r="AL135" s="5"/>
      <c r="AM135" s="5"/>
      <c r="AN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</row>
    <row r="136" spans="17:193" ht="12.75">
      <c r="Q136" s="5"/>
      <c r="R136" s="5"/>
      <c r="S136" s="5"/>
      <c r="T136" s="5"/>
      <c r="AK136" s="5"/>
      <c r="AL136" s="5"/>
      <c r="AM136" s="5"/>
      <c r="AN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</row>
    <row r="137" spans="17:193" ht="12.75">
      <c r="Q137" s="5"/>
      <c r="R137" s="5"/>
      <c r="S137" s="5"/>
      <c r="T137" s="5"/>
      <c r="AK137" s="5"/>
      <c r="AL137" s="5"/>
      <c r="AM137" s="5"/>
      <c r="AN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</row>
    <row r="138" spans="17:193" ht="12.75">
      <c r="Q138" s="5"/>
      <c r="R138" s="5"/>
      <c r="S138" s="5"/>
      <c r="T138" s="5"/>
      <c r="AK138" s="5"/>
      <c r="AL138" s="5"/>
      <c r="AM138" s="5"/>
      <c r="AN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</row>
    <row r="139" spans="17:193" ht="12.75">
      <c r="Q139" s="5"/>
      <c r="R139" s="5"/>
      <c r="S139" s="5"/>
      <c r="T139" s="5"/>
      <c r="AK139" s="5"/>
      <c r="AL139" s="5"/>
      <c r="AM139" s="5"/>
      <c r="AN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</row>
    <row r="140" spans="17:193" ht="12.75">
      <c r="Q140" s="5"/>
      <c r="R140" s="5"/>
      <c r="S140" s="5"/>
      <c r="T140" s="5"/>
      <c r="AK140" s="5"/>
      <c r="AL140" s="5"/>
      <c r="AM140" s="5"/>
      <c r="AN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</row>
    <row r="141" spans="17:193" ht="12.75">
      <c r="Q141" s="5"/>
      <c r="R141" s="5"/>
      <c r="S141" s="5"/>
      <c r="T141" s="5"/>
      <c r="AK141" s="5"/>
      <c r="AL141" s="5"/>
      <c r="AM141" s="5"/>
      <c r="AN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</row>
    <row r="142" spans="17:193" ht="12.75">
      <c r="Q142" s="5"/>
      <c r="R142" s="5"/>
      <c r="S142" s="5"/>
      <c r="T142" s="5"/>
      <c r="AK142" s="5"/>
      <c r="AL142" s="5"/>
      <c r="AM142" s="5"/>
      <c r="AN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</row>
    <row r="143" spans="17:193" ht="12.75">
      <c r="Q143" s="5"/>
      <c r="R143" s="5"/>
      <c r="S143" s="5"/>
      <c r="T143" s="5"/>
      <c r="AK143" s="5"/>
      <c r="AL143" s="5"/>
      <c r="AM143" s="5"/>
      <c r="AN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</row>
    <row r="144" spans="17:193" ht="12.75">
      <c r="Q144" s="5"/>
      <c r="R144" s="5"/>
      <c r="S144" s="5"/>
      <c r="T144" s="5"/>
      <c r="AK144" s="5"/>
      <c r="AL144" s="5"/>
      <c r="AM144" s="5"/>
      <c r="AN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</row>
    <row r="145" spans="17:193" ht="12.75">
      <c r="Q145" s="5"/>
      <c r="R145" s="5"/>
      <c r="S145" s="5"/>
      <c r="T145" s="5"/>
      <c r="AK145" s="5"/>
      <c r="AL145" s="5"/>
      <c r="AM145" s="5"/>
      <c r="AN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</row>
    <row r="146" spans="17:193" ht="12.75">
      <c r="Q146" s="5"/>
      <c r="R146" s="5"/>
      <c r="S146" s="5"/>
      <c r="T146" s="5"/>
      <c r="AK146" s="5"/>
      <c r="AL146" s="5"/>
      <c r="AM146" s="5"/>
      <c r="AN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</row>
    <row r="147" spans="17:193" ht="12.75">
      <c r="Q147" s="5"/>
      <c r="R147" s="5"/>
      <c r="S147" s="5"/>
      <c r="T147" s="5"/>
      <c r="AK147" s="5"/>
      <c r="AL147" s="5"/>
      <c r="AM147" s="5"/>
      <c r="AN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</row>
    <row r="148" spans="17:193" ht="12.75">
      <c r="Q148" s="5"/>
      <c r="R148" s="5"/>
      <c r="S148" s="5"/>
      <c r="T148" s="5"/>
      <c r="AK148" s="5"/>
      <c r="AL148" s="5"/>
      <c r="AM148" s="5"/>
      <c r="AN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</row>
    <row r="149" spans="17:193" ht="12.75">
      <c r="Q149" s="5"/>
      <c r="R149" s="5"/>
      <c r="S149" s="5"/>
      <c r="T149" s="5"/>
      <c r="AK149" s="5"/>
      <c r="AL149" s="5"/>
      <c r="AM149" s="5"/>
      <c r="AN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</row>
    <row r="150" spans="17:193" ht="12.75">
      <c r="Q150" s="5"/>
      <c r="R150" s="5"/>
      <c r="S150" s="5"/>
      <c r="T150" s="5"/>
      <c r="AK150" s="5"/>
      <c r="AL150" s="5"/>
      <c r="AM150" s="5"/>
      <c r="AN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</row>
    <row r="151" spans="17:193" ht="12.75">
      <c r="Q151" s="5"/>
      <c r="R151" s="5"/>
      <c r="S151" s="5"/>
      <c r="T151" s="5"/>
      <c r="AK151" s="5"/>
      <c r="AL151" s="5"/>
      <c r="AM151" s="5"/>
      <c r="AN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</row>
    <row r="152" spans="17:193" ht="12.75">
      <c r="Q152" s="5"/>
      <c r="R152" s="5"/>
      <c r="S152" s="5"/>
      <c r="T152" s="5"/>
      <c r="AK152" s="5"/>
      <c r="AL152" s="5"/>
      <c r="AM152" s="5"/>
      <c r="AN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</row>
    <row r="153" spans="17:193" ht="12.75">
      <c r="Q153" s="5"/>
      <c r="R153" s="5"/>
      <c r="S153" s="5"/>
      <c r="T153" s="5"/>
      <c r="AK153" s="5"/>
      <c r="AL153" s="5"/>
      <c r="AM153" s="5"/>
      <c r="AN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</row>
    <row r="154" spans="17:193" ht="12.75">
      <c r="Q154" s="5"/>
      <c r="R154" s="5"/>
      <c r="S154" s="5"/>
      <c r="T154" s="5"/>
      <c r="AK154" s="5"/>
      <c r="AL154" s="5"/>
      <c r="AM154" s="5"/>
      <c r="AN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</row>
    <row r="155" spans="17:193" ht="12.75">
      <c r="Q155" s="5"/>
      <c r="R155" s="5"/>
      <c r="S155" s="5"/>
      <c r="T155" s="5"/>
      <c r="AK155" s="5"/>
      <c r="AL155" s="5"/>
      <c r="AM155" s="5"/>
      <c r="AN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</row>
    <row r="156" spans="17:193" ht="12.75">
      <c r="Q156" s="5"/>
      <c r="R156" s="5"/>
      <c r="S156" s="5"/>
      <c r="T156" s="5"/>
      <c r="AK156" s="5"/>
      <c r="AL156" s="5"/>
      <c r="AM156" s="5"/>
      <c r="AN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</row>
    <row r="157" spans="17:193" ht="12.75">
      <c r="Q157" s="5"/>
      <c r="R157" s="5"/>
      <c r="S157" s="5"/>
      <c r="T157" s="5"/>
      <c r="AK157" s="5"/>
      <c r="AL157" s="5"/>
      <c r="AM157" s="5"/>
      <c r="AN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</row>
    <row r="158" spans="17:193" ht="12.75">
      <c r="Q158" s="5"/>
      <c r="R158" s="5"/>
      <c r="S158" s="5"/>
      <c r="T158" s="5"/>
      <c r="AK158" s="5"/>
      <c r="AL158" s="5"/>
      <c r="AM158" s="5"/>
      <c r="AN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</row>
    <row r="159" spans="17:193" ht="12.75">
      <c r="Q159" s="5"/>
      <c r="R159" s="5"/>
      <c r="S159" s="5"/>
      <c r="T159" s="5"/>
      <c r="AK159" s="5"/>
      <c r="AL159" s="5"/>
      <c r="AM159" s="5"/>
      <c r="AN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</row>
    <row r="160" spans="17:193" ht="12.75">
      <c r="Q160" s="5"/>
      <c r="R160" s="5"/>
      <c r="S160" s="5"/>
      <c r="T160" s="5"/>
      <c r="AK160" s="5"/>
      <c r="AL160" s="5"/>
      <c r="AM160" s="5"/>
      <c r="AN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</row>
    <row r="161" spans="17:193" ht="12.75">
      <c r="Q161" s="5"/>
      <c r="R161" s="5"/>
      <c r="S161" s="5"/>
      <c r="T161" s="5"/>
      <c r="AK161" s="5"/>
      <c r="AL161" s="5"/>
      <c r="AM161" s="5"/>
      <c r="AN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</row>
    <row r="162" spans="17:193" ht="12.75">
      <c r="Q162" s="5"/>
      <c r="R162" s="5"/>
      <c r="S162" s="5"/>
      <c r="T162" s="5"/>
      <c r="AK162" s="5"/>
      <c r="AL162" s="5"/>
      <c r="AM162" s="5"/>
      <c r="AN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</row>
    <row r="163" spans="17:193" ht="12.75">
      <c r="Q163" s="5"/>
      <c r="R163" s="5"/>
      <c r="S163" s="5"/>
      <c r="T163" s="5"/>
      <c r="AK163" s="5"/>
      <c r="AL163" s="5"/>
      <c r="AM163" s="5"/>
      <c r="AN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</row>
    <row r="164" spans="17:193" ht="12.75">
      <c r="Q164" s="5"/>
      <c r="R164" s="5"/>
      <c r="S164" s="5"/>
      <c r="T164" s="5"/>
      <c r="AK164" s="5"/>
      <c r="AL164" s="5"/>
      <c r="AM164" s="5"/>
      <c r="AN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</row>
    <row r="165" spans="17:193" ht="12.75">
      <c r="Q165" s="5"/>
      <c r="R165" s="5"/>
      <c r="S165" s="5"/>
      <c r="T165" s="5"/>
      <c r="AK165" s="5"/>
      <c r="AL165" s="5"/>
      <c r="AM165" s="5"/>
      <c r="AN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</row>
    <row r="166" spans="17:193" ht="12.75">
      <c r="Q166" s="5"/>
      <c r="R166" s="5"/>
      <c r="S166" s="5"/>
      <c r="T166" s="5"/>
      <c r="AK166" s="5"/>
      <c r="AL166" s="5"/>
      <c r="AM166" s="5"/>
      <c r="AN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</row>
    <row r="167" spans="17:193" ht="12.75">
      <c r="Q167" s="5"/>
      <c r="R167" s="5"/>
      <c r="S167" s="5"/>
      <c r="T167" s="5"/>
      <c r="AK167" s="5"/>
      <c r="AL167" s="5"/>
      <c r="AM167" s="5"/>
      <c r="AN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</row>
    <row r="168" spans="17:193" ht="12.75">
      <c r="Q168" s="5"/>
      <c r="R168" s="5"/>
      <c r="S168" s="5"/>
      <c r="T168" s="5"/>
      <c r="AK168" s="5"/>
      <c r="AL168" s="5"/>
      <c r="AM168" s="5"/>
      <c r="AN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</row>
    <row r="169" spans="17:193" ht="12.75">
      <c r="Q169" s="5"/>
      <c r="R169" s="5"/>
      <c r="S169" s="5"/>
      <c r="T169" s="5"/>
      <c r="AK169" s="5"/>
      <c r="AL169" s="5"/>
      <c r="AM169" s="5"/>
      <c r="AN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</row>
    <row r="170" spans="17:193" ht="12.75">
      <c r="Q170" s="5"/>
      <c r="R170" s="5"/>
      <c r="S170" s="5"/>
      <c r="T170" s="5"/>
      <c r="AK170" s="5"/>
      <c r="AL170" s="5"/>
      <c r="AM170" s="5"/>
      <c r="AN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</row>
    <row r="171" spans="17:193" ht="12.75">
      <c r="Q171" s="5"/>
      <c r="R171" s="5"/>
      <c r="S171" s="5"/>
      <c r="T171" s="5"/>
      <c r="AK171" s="5"/>
      <c r="AL171" s="5"/>
      <c r="AM171" s="5"/>
      <c r="AN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</row>
    <row r="172" spans="17:193" ht="12.75">
      <c r="Q172" s="5"/>
      <c r="R172" s="5"/>
      <c r="S172" s="5"/>
      <c r="T172" s="5"/>
      <c r="AK172" s="5"/>
      <c r="AL172" s="5"/>
      <c r="AM172" s="5"/>
      <c r="AN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</row>
    <row r="173" spans="17:193" ht="12.75">
      <c r="Q173" s="5"/>
      <c r="R173" s="5"/>
      <c r="S173" s="5"/>
      <c r="T173" s="5"/>
      <c r="AK173" s="5"/>
      <c r="AL173" s="5"/>
      <c r="AM173" s="5"/>
      <c r="AN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</row>
    <row r="174" spans="17:193" ht="12.75">
      <c r="Q174" s="5"/>
      <c r="R174" s="5"/>
      <c r="S174" s="5"/>
      <c r="T174" s="5"/>
      <c r="AK174" s="5"/>
      <c r="AL174" s="5"/>
      <c r="AM174" s="5"/>
      <c r="AN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</row>
    <row r="175" spans="17:193" ht="12.75">
      <c r="Q175" s="5"/>
      <c r="R175" s="5"/>
      <c r="S175" s="5"/>
      <c r="T175" s="5"/>
      <c r="AK175" s="5"/>
      <c r="AL175" s="5"/>
      <c r="AM175" s="5"/>
      <c r="AN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</row>
    <row r="176" spans="17:193" ht="12.75">
      <c r="Q176" s="5"/>
      <c r="R176" s="5"/>
      <c r="S176" s="5"/>
      <c r="T176" s="5"/>
      <c r="AK176" s="5"/>
      <c r="AL176" s="5"/>
      <c r="AM176" s="5"/>
      <c r="AN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</row>
    <row r="177" spans="17:193" ht="12.75">
      <c r="Q177" s="5"/>
      <c r="R177" s="5"/>
      <c r="S177" s="5"/>
      <c r="T177" s="5"/>
      <c r="AK177" s="5"/>
      <c r="AL177" s="5"/>
      <c r="AM177" s="5"/>
      <c r="AN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</row>
    <row r="178" spans="17:193" ht="12.75">
      <c r="Q178" s="5"/>
      <c r="R178" s="5"/>
      <c r="S178" s="5"/>
      <c r="T178" s="5"/>
      <c r="AK178" s="5"/>
      <c r="AL178" s="5"/>
      <c r="AM178" s="5"/>
      <c r="AN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</row>
    <row r="179" spans="17:193" ht="12.75">
      <c r="Q179" s="5"/>
      <c r="R179" s="5"/>
      <c r="S179" s="5"/>
      <c r="T179" s="5"/>
      <c r="AK179" s="5"/>
      <c r="AL179" s="5"/>
      <c r="AM179" s="5"/>
      <c r="AN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</row>
    <row r="180" spans="17:193" ht="12.75">
      <c r="Q180" s="5"/>
      <c r="R180" s="5"/>
      <c r="S180" s="5"/>
      <c r="T180" s="5"/>
      <c r="AK180" s="5"/>
      <c r="AL180" s="5"/>
      <c r="AM180" s="5"/>
      <c r="AN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</row>
    <row r="181" spans="17:193" ht="12.75">
      <c r="Q181" s="5"/>
      <c r="R181" s="5"/>
      <c r="S181" s="5"/>
      <c r="T181" s="5"/>
      <c r="AK181" s="5"/>
      <c r="AL181" s="5"/>
      <c r="AM181" s="5"/>
      <c r="AN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</row>
    <row r="182" spans="17:193" ht="12.75">
      <c r="Q182" s="5"/>
      <c r="R182" s="5"/>
      <c r="S182" s="5"/>
      <c r="T182" s="5"/>
      <c r="AK182" s="5"/>
      <c r="AL182" s="5"/>
      <c r="AM182" s="5"/>
      <c r="AN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</row>
    <row r="183" spans="17:193" ht="12.75">
      <c r="Q183" s="5"/>
      <c r="R183" s="5"/>
      <c r="S183" s="5"/>
      <c r="T183" s="5"/>
      <c r="AK183" s="5"/>
      <c r="AL183" s="5"/>
      <c r="AM183" s="5"/>
      <c r="AN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</row>
    <row r="184" spans="17:193" ht="12.75">
      <c r="Q184" s="5"/>
      <c r="R184" s="5"/>
      <c r="S184" s="5"/>
      <c r="T184" s="5"/>
      <c r="AK184" s="5"/>
      <c r="AL184" s="5"/>
      <c r="AM184" s="5"/>
      <c r="AN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</row>
    <row r="185" spans="17:193" ht="12.75">
      <c r="Q185" s="5"/>
      <c r="R185" s="5"/>
      <c r="S185" s="5"/>
      <c r="T185" s="5"/>
      <c r="AK185" s="5"/>
      <c r="AL185" s="5"/>
      <c r="AM185" s="5"/>
      <c r="AN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</row>
    <row r="186" spans="17:193" ht="12.75">
      <c r="Q186" s="5"/>
      <c r="R186" s="5"/>
      <c r="S186" s="5"/>
      <c r="T186" s="5"/>
      <c r="AK186" s="5"/>
      <c r="AL186" s="5"/>
      <c r="AM186" s="5"/>
      <c r="AN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</row>
    <row r="187" spans="17:193" ht="12.75">
      <c r="Q187" s="5"/>
      <c r="R187" s="5"/>
      <c r="S187" s="5"/>
      <c r="T187" s="5"/>
      <c r="AK187" s="5"/>
      <c r="AL187" s="5"/>
      <c r="AM187" s="5"/>
      <c r="AN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</row>
    <row r="188" spans="17:193" ht="12.75">
      <c r="Q188" s="5"/>
      <c r="R188" s="5"/>
      <c r="S188" s="5"/>
      <c r="T188" s="5"/>
      <c r="AK188" s="5"/>
      <c r="AL188" s="5"/>
      <c r="AM188" s="5"/>
      <c r="AN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</row>
    <row r="189" spans="17:193" ht="12.75">
      <c r="Q189" s="5"/>
      <c r="R189" s="5"/>
      <c r="S189" s="5"/>
      <c r="T189" s="5"/>
      <c r="AK189" s="5"/>
      <c r="AL189" s="5"/>
      <c r="AM189" s="5"/>
      <c r="AN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</row>
    <row r="190" spans="17:193" ht="12.75">
      <c r="Q190" s="5"/>
      <c r="R190" s="5"/>
      <c r="S190" s="5"/>
      <c r="T190" s="5"/>
      <c r="AK190" s="5"/>
      <c r="AL190" s="5"/>
      <c r="AM190" s="5"/>
      <c r="AN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</row>
    <row r="191" spans="17:193" ht="12.75">
      <c r="Q191" s="5"/>
      <c r="R191" s="5"/>
      <c r="S191" s="5"/>
      <c r="T191" s="5"/>
      <c r="AK191" s="5"/>
      <c r="AL191" s="5"/>
      <c r="AM191" s="5"/>
      <c r="AN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</row>
    <row r="192" spans="17:193" ht="12.75">
      <c r="Q192" s="5"/>
      <c r="R192" s="5"/>
      <c r="S192" s="5"/>
      <c r="T192" s="5"/>
      <c r="AK192" s="5"/>
      <c r="AL192" s="5"/>
      <c r="AM192" s="5"/>
      <c r="AN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</row>
    <row r="193" spans="17:193" ht="12.75">
      <c r="Q193" s="5"/>
      <c r="R193" s="5"/>
      <c r="S193" s="5"/>
      <c r="T193" s="5"/>
      <c r="AK193" s="5"/>
      <c r="AL193" s="5"/>
      <c r="AM193" s="5"/>
      <c r="AN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</row>
    <row r="194" spans="17:193" ht="12.75">
      <c r="Q194" s="5"/>
      <c r="R194" s="5"/>
      <c r="S194" s="5"/>
      <c r="T194" s="5"/>
      <c r="AK194" s="5"/>
      <c r="AL194" s="5"/>
      <c r="AM194" s="5"/>
      <c r="AN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</row>
    <row r="195" spans="17:193" ht="12.75">
      <c r="Q195" s="5"/>
      <c r="R195" s="5"/>
      <c r="S195" s="5"/>
      <c r="T195" s="5"/>
      <c r="AK195" s="5"/>
      <c r="AL195" s="5"/>
      <c r="AM195" s="5"/>
      <c r="AN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</row>
    <row r="196" spans="17:193" ht="12.75">
      <c r="Q196" s="5"/>
      <c r="R196" s="5"/>
      <c r="S196" s="5"/>
      <c r="T196" s="5"/>
      <c r="AK196" s="5"/>
      <c r="AL196" s="5"/>
      <c r="AM196" s="5"/>
      <c r="AN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</row>
    <row r="197" spans="17:193" ht="12.75">
      <c r="Q197" s="5"/>
      <c r="R197" s="5"/>
      <c r="S197" s="5"/>
      <c r="T197" s="5"/>
      <c r="AK197" s="5"/>
      <c r="AL197" s="5"/>
      <c r="AM197" s="5"/>
      <c r="AN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</row>
    <row r="198" spans="17:193" ht="12.75">
      <c r="Q198" s="5"/>
      <c r="R198" s="5"/>
      <c r="S198" s="5"/>
      <c r="T198" s="5"/>
      <c r="AK198" s="5"/>
      <c r="AL198" s="5"/>
      <c r="AM198" s="5"/>
      <c r="AN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</row>
    <row r="199" spans="17:193" ht="12.75">
      <c r="Q199" s="5"/>
      <c r="R199" s="5"/>
      <c r="S199" s="5"/>
      <c r="T199" s="5"/>
      <c r="AK199" s="5"/>
      <c r="AL199" s="5"/>
      <c r="AM199" s="5"/>
      <c r="AN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</row>
    <row r="200" spans="17:193" ht="12.75">
      <c r="Q200" s="5"/>
      <c r="R200" s="5"/>
      <c r="S200" s="5"/>
      <c r="T200" s="5"/>
      <c r="AK200" s="5"/>
      <c r="AL200" s="5"/>
      <c r="AM200" s="5"/>
      <c r="AN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</row>
    <row r="201" spans="17:193" ht="12.75">
      <c r="Q201" s="5"/>
      <c r="R201" s="5"/>
      <c r="S201" s="5"/>
      <c r="T201" s="5"/>
      <c r="AK201" s="5"/>
      <c r="AL201" s="5"/>
      <c r="AM201" s="5"/>
      <c r="AN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</row>
    <row r="202" spans="17:193" ht="12.75">
      <c r="Q202" s="5"/>
      <c r="R202" s="5"/>
      <c r="S202" s="5"/>
      <c r="T202" s="5"/>
      <c r="AK202" s="5"/>
      <c r="AL202" s="5"/>
      <c r="AM202" s="5"/>
      <c r="AN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</row>
    <row r="203" spans="17:193" ht="12.75">
      <c r="Q203" s="5"/>
      <c r="R203" s="5"/>
      <c r="S203" s="5"/>
      <c r="T203" s="5"/>
      <c r="AK203" s="5"/>
      <c r="AL203" s="5"/>
      <c r="AM203" s="5"/>
      <c r="AN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</row>
    <row r="204" spans="17:193" ht="12.75">
      <c r="Q204" s="5"/>
      <c r="R204" s="5"/>
      <c r="S204" s="5"/>
      <c r="T204" s="5"/>
      <c r="AK204" s="5"/>
      <c r="AL204" s="5"/>
      <c r="AM204" s="5"/>
      <c r="AN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</row>
    <row r="205" spans="17:193" ht="12.75">
      <c r="Q205" s="5"/>
      <c r="R205" s="5"/>
      <c r="S205" s="5"/>
      <c r="T205" s="5"/>
      <c r="AK205" s="5"/>
      <c r="AL205" s="5"/>
      <c r="AM205" s="5"/>
      <c r="AN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</row>
    <row r="206" spans="17:193" ht="12.75">
      <c r="Q206" s="5"/>
      <c r="R206" s="5"/>
      <c r="S206" s="5"/>
      <c r="T206" s="5"/>
      <c r="AK206" s="5"/>
      <c r="AL206" s="5"/>
      <c r="AM206" s="5"/>
      <c r="AN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</row>
    <row r="207" spans="17:193" ht="12.75">
      <c r="Q207" s="5"/>
      <c r="R207" s="5"/>
      <c r="S207" s="5"/>
      <c r="T207" s="5"/>
      <c r="AK207" s="5"/>
      <c r="AL207" s="5"/>
      <c r="AM207" s="5"/>
      <c r="AN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</row>
    <row r="208" spans="17:193" ht="12.75">
      <c r="Q208" s="5"/>
      <c r="R208" s="5"/>
      <c r="S208" s="5"/>
      <c r="T208" s="5"/>
      <c r="AK208" s="5"/>
      <c r="AL208" s="5"/>
      <c r="AM208" s="5"/>
      <c r="AN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</row>
    <row r="209" spans="17:193" ht="12.75">
      <c r="Q209" s="5"/>
      <c r="R209" s="5"/>
      <c r="S209" s="5"/>
      <c r="T209" s="5"/>
      <c r="AK209" s="5"/>
      <c r="AL209" s="5"/>
      <c r="AM209" s="5"/>
      <c r="AN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</row>
    <row r="210" spans="17:193" ht="12.75">
      <c r="Q210" s="5"/>
      <c r="R210" s="5"/>
      <c r="S210" s="5"/>
      <c r="T210" s="5"/>
      <c r="AK210" s="5"/>
      <c r="AL210" s="5"/>
      <c r="AM210" s="5"/>
      <c r="AN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</row>
    <row r="211" spans="17:193" ht="12.75">
      <c r="Q211" s="5"/>
      <c r="R211" s="5"/>
      <c r="S211" s="5"/>
      <c r="T211" s="5"/>
      <c r="AK211" s="5"/>
      <c r="AL211" s="5"/>
      <c r="AM211" s="5"/>
      <c r="AN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</row>
    <row r="212" spans="17:193" ht="12.75">
      <c r="Q212" s="5"/>
      <c r="R212" s="5"/>
      <c r="S212" s="5"/>
      <c r="T212" s="5"/>
      <c r="AK212" s="5"/>
      <c r="AL212" s="5"/>
      <c r="AM212" s="5"/>
      <c r="AN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</row>
    <row r="213" spans="17:193" ht="12.75">
      <c r="Q213" s="5"/>
      <c r="R213" s="5"/>
      <c r="S213" s="5"/>
      <c r="T213" s="5"/>
      <c r="AK213" s="5"/>
      <c r="AL213" s="5"/>
      <c r="AM213" s="5"/>
      <c r="AN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</row>
    <row r="214" spans="17:193" ht="12.75">
      <c r="Q214" s="5"/>
      <c r="R214" s="5"/>
      <c r="S214" s="5"/>
      <c r="T214" s="5"/>
      <c r="AK214" s="5"/>
      <c r="AL214" s="5"/>
      <c r="AM214" s="5"/>
      <c r="AN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</row>
    <row r="215" spans="17:193" ht="12.75">
      <c r="Q215" s="5"/>
      <c r="R215" s="5"/>
      <c r="S215" s="5"/>
      <c r="T215" s="5"/>
      <c r="AK215" s="5"/>
      <c r="AL215" s="5"/>
      <c r="AM215" s="5"/>
      <c r="AN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</row>
    <row r="216" spans="17:193" ht="12.75">
      <c r="Q216" s="5"/>
      <c r="R216" s="5"/>
      <c r="S216" s="5"/>
      <c r="T216" s="5"/>
      <c r="AK216" s="5"/>
      <c r="AL216" s="5"/>
      <c r="AM216" s="5"/>
      <c r="AN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</row>
    <row r="217" spans="17:193" ht="12.75">
      <c r="Q217" s="5"/>
      <c r="R217" s="5"/>
      <c r="S217" s="5"/>
      <c r="T217" s="5"/>
      <c r="AK217" s="5"/>
      <c r="AL217" s="5"/>
      <c r="AM217" s="5"/>
      <c r="AN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</row>
    <row r="218" spans="17:193" ht="12.75">
      <c r="Q218" s="5"/>
      <c r="R218" s="5"/>
      <c r="S218" s="5"/>
      <c r="T218" s="5"/>
      <c r="AK218" s="5"/>
      <c r="AL218" s="5"/>
      <c r="AM218" s="5"/>
      <c r="AN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</row>
    <row r="219" spans="17:193" ht="12.75">
      <c r="Q219" s="5"/>
      <c r="R219" s="5"/>
      <c r="S219" s="5"/>
      <c r="T219" s="5"/>
      <c r="AK219" s="5"/>
      <c r="AL219" s="5"/>
      <c r="AM219" s="5"/>
      <c r="AN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</row>
    <row r="220" spans="17:193" ht="12.75">
      <c r="Q220" s="5"/>
      <c r="R220" s="5"/>
      <c r="S220" s="5"/>
      <c r="T220" s="5"/>
      <c r="AK220" s="5"/>
      <c r="AL220" s="5"/>
      <c r="AM220" s="5"/>
      <c r="AN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</row>
    <row r="221" spans="17:193" ht="12.75">
      <c r="Q221" s="5"/>
      <c r="R221" s="5"/>
      <c r="S221" s="5"/>
      <c r="T221" s="5"/>
      <c r="AK221" s="5"/>
      <c r="AL221" s="5"/>
      <c r="AM221" s="5"/>
      <c r="AN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</row>
    <row r="222" spans="17:193" ht="12.75">
      <c r="Q222" s="5"/>
      <c r="R222" s="5"/>
      <c r="S222" s="5"/>
      <c r="T222" s="5"/>
      <c r="AK222" s="5"/>
      <c r="AL222" s="5"/>
      <c r="AM222" s="5"/>
      <c r="AN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</row>
    <row r="223" spans="17:193" ht="12.75">
      <c r="Q223" s="5"/>
      <c r="R223" s="5"/>
      <c r="S223" s="5"/>
      <c r="T223" s="5"/>
      <c r="AK223" s="5"/>
      <c r="AL223" s="5"/>
      <c r="AM223" s="5"/>
      <c r="AN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</row>
    <row r="224" spans="17:193" ht="12.75">
      <c r="Q224" s="5"/>
      <c r="R224" s="5"/>
      <c r="S224" s="5"/>
      <c r="T224" s="5"/>
      <c r="AK224" s="5"/>
      <c r="AL224" s="5"/>
      <c r="AM224" s="5"/>
      <c r="AN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</row>
    <row r="225" spans="17:193" ht="12.75">
      <c r="Q225" s="5"/>
      <c r="R225" s="5"/>
      <c r="S225" s="5"/>
      <c r="T225" s="5"/>
      <c r="AK225" s="5"/>
      <c r="AL225" s="5"/>
      <c r="AM225" s="5"/>
      <c r="AN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</row>
    <row r="226" spans="17:193" ht="12.75">
      <c r="Q226" s="5"/>
      <c r="R226" s="5"/>
      <c r="S226" s="5"/>
      <c r="T226" s="5"/>
      <c r="AK226" s="5"/>
      <c r="AL226" s="5"/>
      <c r="AM226" s="5"/>
      <c r="AN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</row>
    <row r="227" spans="17:193" ht="12.75">
      <c r="Q227" s="5"/>
      <c r="R227" s="5"/>
      <c r="S227" s="5"/>
      <c r="T227" s="5"/>
      <c r="AK227" s="5"/>
      <c r="AL227" s="5"/>
      <c r="AM227" s="5"/>
      <c r="AN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</row>
    <row r="228" spans="17:193" ht="12.75">
      <c r="Q228" s="5"/>
      <c r="R228" s="5"/>
      <c r="S228" s="5"/>
      <c r="T228" s="5"/>
      <c r="AK228" s="5"/>
      <c r="AL228" s="5"/>
      <c r="AM228" s="5"/>
      <c r="AN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</row>
    <row r="229" spans="17:193" ht="12.75">
      <c r="Q229" s="5"/>
      <c r="R229" s="5"/>
      <c r="S229" s="5"/>
      <c r="T229" s="5"/>
      <c r="AK229" s="5"/>
      <c r="AL229" s="5"/>
      <c r="AM229" s="5"/>
      <c r="AN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</row>
    <row r="230" spans="17:193" ht="12.75">
      <c r="Q230" s="5"/>
      <c r="R230" s="5"/>
      <c r="S230" s="5"/>
      <c r="T230" s="5"/>
      <c r="AK230" s="5"/>
      <c r="AL230" s="5"/>
      <c r="AM230" s="5"/>
      <c r="AN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</row>
    <row r="231" spans="17:193" ht="12.75">
      <c r="Q231" s="5"/>
      <c r="R231" s="5"/>
      <c r="S231" s="5"/>
      <c r="T231" s="5"/>
      <c r="AK231" s="5"/>
      <c r="AL231" s="5"/>
      <c r="AM231" s="5"/>
      <c r="AN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</row>
    <row r="232" spans="17:193" ht="12.75">
      <c r="Q232" s="5"/>
      <c r="R232" s="5"/>
      <c r="S232" s="5"/>
      <c r="T232" s="5"/>
      <c r="AK232" s="5"/>
      <c r="AL232" s="5"/>
      <c r="AM232" s="5"/>
      <c r="AN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</row>
    <row r="233" spans="17:193" ht="12.75">
      <c r="Q233" s="5"/>
      <c r="R233" s="5"/>
      <c r="S233" s="5"/>
      <c r="T233" s="5"/>
      <c r="AK233" s="5"/>
      <c r="AL233" s="5"/>
      <c r="AM233" s="5"/>
      <c r="AN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</row>
    <row r="234" spans="17:193" ht="12.75">
      <c r="Q234" s="5"/>
      <c r="R234" s="5"/>
      <c r="S234" s="5"/>
      <c r="T234" s="5"/>
      <c r="AK234" s="5"/>
      <c r="AL234" s="5"/>
      <c r="AM234" s="5"/>
      <c r="AN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</row>
    <row r="235" spans="17:193" ht="12.75">
      <c r="Q235" s="5"/>
      <c r="R235" s="5"/>
      <c r="S235" s="5"/>
      <c r="T235" s="5"/>
      <c r="AK235" s="5"/>
      <c r="AL235" s="5"/>
      <c r="AM235" s="5"/>
      <c r="AN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</row>
    <row r="236" spans="17:193" ht="12.75">
      <c r="Q236" s="5"/>
      <c r="R236" s="5"/>
      <c r="S236" s="5"/>
      <c r="T236" s="5"/>
      <c r="AK236" s="5"/>
      <c r="AL236" s="5"/>
      <c r="AM236" s="5"/>
      <c r="AN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</row>
    <row r="237" spans="17:193" ht="12.75">
      <c r="Q237" s="5"/>
      <c r="R237" s="5"/>
      <c r="S237" s="5"/>
      <c r="T237" s="5"/>
      <c r="AK237" s="5"/>
      <c r="AL237" s="5"/>
      <c r="AM237" s="5"/>
      <c r="AN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</row>
    <row r="238" spans="17:193" ht="12.75">
      <c r="Q238" s="5"/>
      <c r="R238" s="5"/>
      <c r="S238" s="5"/>
      <c r="T238" s="5"/>
      <c r="AK238" s="5"/>
      <c r="AL238" s="5"/>
      <c r="AM238" s="5"/>
      <c r="AN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</row>
    <row r="239" spans="17:193" ht="12.75">
      <c r="Q239" s="5"/>
      <c r="R239" s="5"/>
      <c r="S239" s="5"/>
      <c r="T239" s="5"/>
      <c r="AK239" s="5"/>
      <c r="AL239" s="5"/>
      <c r="AM239" s="5"/>
      <c r="AN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</row>
    <row r="240" spans="17:193" ht="12.75">
      <c r="Q240" s="5"/>
      <c r="R240" s="5"/>
      <c r="S240" s="5"/>
      <c r="T240" s="5"/>
      <c r="AK240" s="5"/>
      <c r="AL240" s="5"/>
      <c r="AM240" s="5"/>
      <c r="AN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</row>
    <row r="241" spans="17:193" ht="12.75">
      <c r="Q241" s="5"/>
      <c r="R241" s="5"/>
      <c r="S241" s="5"/>
      <c r="T241" s="5"/>
      <c r="AK241" s="5"/>
      <c r="AL241" s="5"/>
      <c r="AM241" s="5"/>
      <c r="AN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</row>
    <row r="242" spans="17:193" ht="12.75">
      <c r="Q242" s="5"/>
      <c r="R242" s="5"/>
      <c r="S242" s="5"/>
      <c r="T242" s="5"/>
      <c r="AK242" s="5"/>
      <c r="AL242" s="5"/>
      <c r="AM242" s="5"/>
      <c r="AN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</row>
    <row r="243" spans="17:193" ht="12.75">
      <c r="Q243" s="5"/>
      <c r="R243" s="5"/>
      <c r="S243" s="5"/>
      <c r="T243" s="5"/>
      <c r="AK243" s="5"/>
      <c r="AL243" s="5"/>
      <c r="AM243" s="5"/>
      <c r="AN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</row>
    <row r="244" spans="17:193" ht="12.75">
      <c r="Q244" s="5"/>
      <c r="R244" s="5"/>
      <c r="S244" s="5"/>
      <c r="T244" s="5"/>
      <c r="AK244" s="5"/>
      <c r="AL244" s="5"/>
      <c r="AM244" s="5"/>
      <c r="AN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</row>
    <row r="245" spans="17:193" ht="12.75">
      <c r="Q245" s="5"/>
      <c r="R245" s="5"/>
      <c r="S245" s="5"/>
      <c r="T245" s="5"/>
      <c r="AK245" s="5"/>
      <c r="AL245" s="5"/>
      <c r="AM245" s="5"/>
      <c r="AN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</row>
    <row r="246" spans="17:193" ht="12.75">
      <c r="Q246" s="5"/>
      <c r="R246" s="5"/>
      <c r="S246" s="5"/>
      <c r="T246" s="5"/>
      <c r="AK246" s="5"/>
      <c r="AL246" s="5"/>
      <c r="AM246" s="5"/>
      <c r="AN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</row>
    <row r="247" spans="17:193" ht="12.75">
      <c r="Q247" s="5"/>
      <c r="R247" s="5"/>
      <c r="S247" s="5"/>
      <c r="T247" s="5"/>
      <c r="AK247" s="5"/>
      <c r="AL247" s="5"/>
      <c r="AM247" s="5"/>
      <c r="AN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</row>
    <row r="248" spans="17:193" ht="12.75">
      <c r="Q248" s="5"/>
      <c r="R248" s="5"/>
      <c r="S248" s="5"/>
      <c r="T248" s="5"/>
      <c r="AK248" s="5"/>
      <c r="AL248" s="5"/>
      <c r="AM248" s="5"/>
      <c r="AN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</row>
    <row r="249" spans="17:193" ht="12.75">
      <c r="Q249" s="5"/>
      <c r="R249" s="5"/>
      <c r="S249" s="5"/>
      <c r="T249" s="5"/>
      <c r="AK249" s="5"/>
      <c r="AL249" s="5"/>
      <c r="AM249" s="5"/>
      <c r="AN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</row>
    <row r="250" spans="17:193" ht="12.75">
      <c r="Q250" s="5"/>
      <c r="R250" s="5"/>
      <c r="S250" s="5"/>
      <c r="T250" s="5"/>
      <c r="AK250" s="5"/>
      <c r="AL250" s="5"/>
      <c r="AM250" s="5"/>
      <c r="AN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</row>
    <row r="251" spans="17:193" ht="12.75">
      <c r="Q251" s="5"/>
      <c r="R251" s="5"/>
      <c r="S251" s="5"/>
      <c r="T251" s="5"/>
      <c r="AK251" s="5"/>
      <c r="AL251" s="5"/>
      <c r="AM251" s="5"/>
      <c r="AN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</row>
    <row r="252" spans="17:193" ht="12.75">
      <c r="Q252" s="5"/>
      <c r="R252" s="5"/>
      <c r="S252" s="5"/>
      <c r="T252" s="5"/>
      <c r="AK252" s="5"/>
      <c r="AL252" s="5"/>
      <c r="AM252" s="5"/>
      <c r="AN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</row>
    <row r="253" spans="17:193" ht="12.75">
      <c r="Q253" s="5"/>
      <c r="R253" s="5"/>
      <c r="S253" s="5"/>
      <c r="T253" s="5"/>
      <c r="AK253" s="5"/>
      <c r="AL253" s="5"/>
      <c r="AM253" s="5"/>
      <c r="AN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</row>
    <row r="254" spans="17:193" ht="12.75">
      <c r="Q254" s="5"/>
      <c r="R254" s="5"/>
      <c r="S254" s="5"/>
      <c r="T254" s="5"/>
      <c r="AK254" s="5"/>
      <c r="AL254" s="5"/>
      <c r="AM254" s="5"/>
      <c r="AN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</row>
    <row r="255" spans="17:193" ht="12.75">
      <c r="Q255" s="5"/>
      <c r="R255" s="5"/>
      <c r="S255" s="5"/>
      <c r="T255" s="5"/>
      <c r="AK255" s="5"/>
      <c r="AL255" s="5"/>
      <c r="AM255" s="5"/>
      <c r="AN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</row>
    <row r="256" spans="17:193" ht="12.75">
      <c r="Q256" s="5"/>
      <c r="R256" s="5"/>
      <c r="S256" s="5"/>
      <c r="T256" s="5"/>
      <c r="AK256" s="5"/>
      <c r="AL256" s="5"/>
      <c r="AM256" s="5"/>
      <c r="AN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</row>
    <row r="257" spans="17:193" ht="12.75">
      <c r="Q257" s="5"/>
      <c r="R257" s="5"/>
      <c r="S257" s="5"/>
      <c r="T257" s="5"/>
      <c r="AK257" s="5"/>
      <c r="AL257" s="5"/>
      <c r="AM257" s="5"/>
      <c r="AN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</row>
    <row r="258" spans="17:193" ht="12.75">
      <c r="Q258" s="5"/>
      <c r="R258" s="5"/>
      <c r="S258" s="5"/>
      <c r="T258" s="5"/>
      <c r="AK258" s="5"/>
      <c r="AL258" s="5"/>
      <c r="AM258" s="5"/>
      <c r="AN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</row>
    <row r="259" spans="17:193" ht="12.75">
      <c r="Q259" s="5"/>
      <c r="R259" s="5"/>
      <c r="S259" s="5"/>
      <c r="T259" s="5"/>
      <c r="AK259" s="5"/>
      <c r="AL259" s="5"/>
      <c r="AM259" s="5"/>
      <c r="AN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</row>
    <row r="260" spans="17:193" ht="12.75">
      <c r="Q260" s="5"/>
      <c r="R260" s="5"/>
      <c r="S260" s="5"/>
      <c r="T260" s="5"/>
      <c r="AK260" s="5"/>
      <c r="AL260" s="5"/>
      <c r="AM260" s="5"/>
      <c r="AN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</row>
    <row r="261" spans="17:193" ht="12.75">
      <c r="Q261" s="5"/>
      <c r="R261" s="5"/>
      <c r="S261" s="5"/>
      <c r="T261" s="5"/>
      <c r="AK261" s="5"/>
      <c r="AL261" s="5"/>
      <c r="AM261" s="5"/>
      <c r="AN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</row>
    <row r="262" spans="17:193" ht="12.75">
      <c r="Q262" s="5"/>
      <c r="R262" s="5"/>
      <c r="S262" s="5"/>
      <c r="T262" s="5"/>
      <c r="AK262" s="5"/>
      <c r="AL262" s="5"/>
      <c r="AM262" s="5"/>
      <c r="AN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</row>
    <row r="263" spans="17:193" ht="12.75">
      <c r="Q263" s="5"/>
      <c r="R263" s="5"/>
      <c r="S263" s="5"/>
      <c r="T263" s="5"/>
      <c r="AK263" s="5"/>
      <c r="AL263" s="5"/>
      <c r="AM263" s="5"/>
      <c r="AN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</row>
    <row r="264" spans="17:193" ht="12.75">
      <c r="Q264" s="5"/>
      <c r="R264" s="5"/>
      <c r="S264" s="5"/>
      <c r="T264" s="5"/>
      <c r="AK264" s="5"/>
      <c r="AL264" s="5"/>
      <c r="AM264" s="5"/>
      <c r="AN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</row>
    <row r="265" spans="17:193" ht="12.75">
      <c r="Q265" s="5"/>
      <c r="R265" s="5"/>
      <c r="S265" s="5"/>
      <c r="T265" s="5"/>
      <c r="AK265" s="5"/>
      <c r="AL265" s="5"/>
      <c r="AM265" s="5"/>
      <c r="AN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</row>
    <row r="266" spans="17:193" ht="12.75">
      <c r="Q266" s="5"/>
      <c r="R266" s="5"/>
      <c r="S266" s="5"/>
      <c r="T266" s="5"/>
      <c r="AK266" s="5"/>
      <c r="AL266" s="5"/>
      <c r="AM266" s="5"/>
      <c r="AN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</row>
    <row r="267" spans="17:193" ht="12.75">
      <c r="Q267" s="5"/>
      <c r="R267" s="5"/>
      <c r="S267" s="5"/>
      <c r="T267" s="5"/>
      <c r="AK267" s="5"/>
      <c r="AL267" s="5"/>
      <c r="AM267" s="5"/>
      <c r="AN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</row>
    <row r="268" spans="17:193" ht="12.75">
      <c r="Q268" s="5"/>
      <c r="R268" s="5"/>
      <c r="S268" s="5"/>
      <c r="T268" s="5"/>
      <c r="AK268" s="5"/>
      <c r="AL268" s="5"/>
      <c r="AM268" s="5"/>
      <c r="AN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</row>
    <row r="269" spans="17:193" ht="12.75">
      <c r="Q269" s="5"/>
      <c r="R269" s="5"/>
      <c r="S269" s="5"/>
      <c r="T269" s="5"/>
      <c r="AK269" s="5"/>
      <c r="AL269" s="5"/>
      <c r="AM269" s="5"/>
      <c r="AN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</row>
    <row r="270" spans="17:193" ht="12.75">
      <c r="Q270" s="5"/>
      <c r="R270" s="5"/>
      <c r="S270" s="5"/>
      <c r="T270" s="5"/>
      <c r="AK270" s="5"/>
      <c r="AL270" s="5"/>
      <c r="AM270" s="5"/>
      <c r="AN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</row>
    <row r="271" spans="17:193" ht="12.75">
      <c r="Q271" s="5"/>
      <c r="R271" s="5"/>
      <c r="S271" s="5"/>
      <c r="T271" s="5"/>
      <c r="AK271" s="5"/>
      <c r="AL271" s="5"/>
      <c r="AM271" s="5"/>
      <c r="AN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</row>
    <row r="272" spans="17:193" ht="12.75">
      <c r="Q272" s="5"/>
      <c r="R272" s="5"/>
      <c r="S272" s="5"/>
      <c r="T272" s="5"/>
      <c r="AK272" s="5"/>
      <c r="AL272" s="5"/>
      <c r="AM272" s="5"/>
      <c r="AN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</row>
    <row r="273" spans="17:193" ht="12.75">
      <c r="Q273" s="5"/>
      <c r="R273" s="5"/>
      <c r="S273" s="5"/>
      <c r="T273" s="5"/>
      <c r="AK273" s="5"/>
      <c r="AL273" s="5"/>
      <c r="AM273" s="5"/>
      <c r="AN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</row>
    <row r="274" spans="17:193" ht="12.75">
      <c r="Q274" s="5"/>
      <c r="R274" s="5"/>
      <c r="S274" s="5"/>
      <c r="T274" s="5"/>
      <c r="AK274" s="5"/>
      <c r="AL274" s="5"/>
      <c r="AM274" s="5"/>
      <c r="AN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</row>
    <row r="275" spans="17:193" ht="12.75">
      <c r="Q275" s="5"/>
      <c r="R275" s="5"/>
      <c r="S275" s="5"/>
      <c r="T275" s="5"/>
      <c r="AK275" s="5"/>
      <c r="AL275" s="5"/>
      <c r="AM275" s="5"/>
      <c r="AN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</row>
    <row r="276" spans="17:193" ht="12.75">
      <c r="Q276" s="5"/>
      <c r="R276" s="5"/>
      <c r="S276" s="5"/>
      <c r="T276" s="5"/>
      <c r="AK276" s="5"/>
      <c r="AL276" s="5"/>
      <c r="AM276" s="5"/>
      <c r="AN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</row>
    <row r="277" spans="17:193" ht="12.75">
      <c r="Q277" s="5"/>
      <c r="R277" s="5"/>
      <c r="S277" s="5"/>
      <c r="T277" s="5"/>
      <c r="AK277" s="5"/>
      <c r="AL277" s="5"/>
      <c r="AM277" s="5"/>
      <c r="AN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</row>
    <row r="278" spans="17:193" ht="12.75">
      <c r="Q278" s="5"/>
      <c r="R278" s="5"/>
      <c r="S278" s="5"/>
      <c r="T278" s="5"/>
      <c r="AK278" s="5"/>
      <c r="AL278" s="5"/>
      <c r="AM278" s="5"/>
      <c r="AN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</row>
    <row r="279" spans="17:193" ht="12.75">
      <c r="Q279" s="5"/>
      <c r="R279" s="5"/>
      <c r="S279" s="5"/>
      <c r="T279" s="5"/>
      <c r="AK279" s="5"/>
      <c r="AL279" s="5"/>
      <c r="AM279" s="5"/>
      <c r="AN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</row>
    <row r="280" spans="17:193" ht="12.75">
      <c r="Q280" s="5"/>
      <c r="R280" s="5"/>
      <c r="S280" s="5"/>
      <c r="T280" s="5"/>
      <c r="AK280" s="5"/>
      <c r="AL280" s="5"/>
      <c r="AM280" s="5"/>
      <c r="AN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</row>
    <row r="281" spans="17:193" ht="12.75">
      <c r="Q281" s="5"/>
      <c r="R281" s="5"/>
      <c r="S281" s="5"/>
      <c r="T281" s="5"/>
      <c r="AK281" s="5"/>
      <c r="AL281" s="5"/>
      <c r="AM281" s="5"/>
      <c r="AN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</row>
    <row r="282" spans="17:193" ht="12.75">
      <c r="Q282" s="5"/>
      <c r="R282" s="5"/>
      <c r="S282" s="5"/>
      <c r="T282" s="5"/>
      <c r="AK282" s="5"/>
      <c r="AL282" s="5"/>
      <c r="AM282" s="5"/>
      <c r="AN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</row>
    <row r="283" spans="17:193" ht="12.75">
      <c r="Q283" s="5"/>
      <c r="R283" s="5"/>
      <c r="S283" s="5"/>
      <c r="T283" s="5"/>
      <c r="AK283" s="5"/>
      <c r="AL283" s="5"/>
      <c r="AM283" s="5"/>
      <c r="AN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</row>
    <row r="284" spans="17:193" ht="12.75">
      <c r="Q284" s="5"/>
      <c r="R284" s="5"/>
      <c r="S284" s="5"/>
      <c r="T284" s="5"/>
      <c r="AK284" s="5"/>
      <c r="AL284" s="5"/>
      <c r="AM284" s="5"/>
      <c r="AN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</row>
    <row r="285" spans="17:193" ht="12.75">
      <c r="Q285" s="5"/>
      <c r="R285" s="5"/>
      <c r="S285" s="5"/>
      <c r="T285" s="5"/>
      <c r="AK285" s="5"/>
      <c r="AL285" s="5"/>
      <c r="AM285" s="5"/>
      <c r="AN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</row>
    <row r="286" spans="17:193" ht="12.75">
      <c r="Q286" s="5"/>
      <c r="R286" s="5"/>
      <c r="S286" s="5"/>
      <c r="T286" s="5"/>
      <c r="AK286" s="5"/>
      <c r="AL286" s="5"/>
      <c r="AM286" s="5"/>
      <c r="AN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</row>
    <row r="287" spans="17:193" ht="12.75">
      <c r="Q287" s="5"/>
      <c r="R287" s="5"/>
      <c r="S287" s="5"/>
      <c r="T287" s="5"/>
      <c r="AK287" s="5"/>
      <c r="AL287" s="5"/>
      <c r="AM287" s="5"/>
      <c r="AN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</row>
    <row r="288" spans="17:193" ht="12.75">
      <c r="Q288" s="5"/>
      <c r="R288" s="5"/>
      <c r="S288" s="5"/>
      <c r="T288" s="5"/>
      <c r="AK288" s="5"/>
      <c r="AL288" s="5"/>
      <c r="AM288" s="5"/>
      <c r="AN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</row>
    <row r="289" spans="17:193" ht="12.75">
      <c r="Q289" s="5"/>
      <c r="R289" s="5"/>
      <c r="S289" s="5"/>
      <c r="T289" s="5"/>
      <c r="AK289" s="5"/>
      <c r="AL289" s="5"/>
      <c r="AM289" s="5"/>
      <c r="AN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</row>
    <row r="290" spans="17:193" ht="12.75">
      <c r="Q290" s="5"/>
      <c r="R290" s="5"/>
      <c r="S290" s="5"/>
      <c r="T290" s="5"/>
      <c r="AK290" s="5"/>
      <c r="AL290" s="5"/>
      <c r="AM290" s="5"/>
      <c r="AN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</row>
    <row r="291" spans="17:193" ht="12.75">
      <c r="Q291" s="5"/>
      <c r="R291" s="5"/>
      <c r="S291" s="5"/>
      <c r="T291" s="5"/>
      <c r="AK291" s="5"/>
      <c r="AL291" s="5"/>
      <c r="AM291" s="5"/>
      <c r="AN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</row>
    <row r="292" spans="17:193" ht="12.75">
      <c r="Q292" s="5"/>
      <c r="R292" s="5"/>
      <c r="S292" s="5"/>
      <c r="T292" s="5"/>
      <c r="AK292" s="5"/>
      <c r="AL292" s="5"/>
      <c r="AM292" s="5"/>
      <c r="AN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</row>
    <row r="293" spans="17:193" ht="12.75">
      <c r="Q293" s="5"/>
      <c r="R293" s="5"/>
      <c r="S293" s="5"/>
      <c r="T293" s="5"/>
      <c r="AK293" s="5"/>
      <c r="AL293" s="5"/>
      <c r="AM293" s="5"/>
      <c r="AN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</row>
    <row r="294" spans="17:193" ht="12.75">
      <c r="Q294" s="5"/>
      <c r="R294" s="5"/>
      <c r="S294" s="5"/>
      <c r="T294" s="5"/>
      <c r="AK294" s="5"/>
      <c r="AL294" s="5"/>
      <c r="AM294" s="5"/>
      <c r="AN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</row>
    <row r="295" spans="17:193" ht="12.75">
      <c r="Q295" s="5"/>
      <c r="R295" s="5"/>
      <c r="S295" s="5"/>
      <c r="T295" s="5"/>
      <c r="AK295" s="5"/>
      <c r="AL295" s="5"/>
      <c r="AM295" s="5"/>
      <c r="AN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</row>
    <row r="296" spans="17:193" ht="12.75">
      <c r="Q296" s="5"/>
      <c r="R296" s="5"/>
      <c r="S296" s="5"/>
      <c r="T296" s="5"/>
      <c r="AK296" s="5"/>
      <c r="AL296" s="5"/>
      <c r="AM296" s="5"/>
      <c r="AN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</row>
    <row r="297" spans="17:193" ht="12.75">
      <c r="Q297" s="5"/>
      <c r="R297" s="5"/>
      <c r="S297" s="5"/>
      <c r="T297" s="5"/>
      <c r="AK297" s="5"/>
      <c r="AL297" s="5"/>
      <c r="AM297" s="5"/>
      <c r="AN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</row>
    <row r="298" spans="17:193" ht="12.75">
      <c r="Q298" s="5"/>
      <c r="R298" s="5"/>
      <c r="S298" s="5"/>
      <c r="T298" s="5"/>
      <c r="AK298" s="5"/>
      <c r="AL298" s="5"/>
      <c r="AM298" s="5"/>
      <c r="AN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</row>
    <row r="299" spans="17:193" ht="12.75">
      <c r="Q299" s="5"/>
      <c r="R299" s="5"/>
      <c r="S299" s="5"/>
      <c r="T299" s="5"/>
      <c r="AK299" s="5"/>
      <c r="AL299" s="5"/>
      <c r="AM299" s="5"/>
      <c r="AN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</row>
    <row r="300" spans="17:193" ht="12.75">
      <c r="Q300" s="5"/>
      <c r="R300" s="5"/>
      <c r="S300" s="5"/>
      <c r="T300" s="5"/>
      <c r="AK300" s="5"/>
      <c r="AL300" s="5"/>
      <c r="AM300" s="5"/>
      <c r="AN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</row>
    <row r="301" spans="17:193" ht="12.75">
      <c r="Q301" s="5"/>
      <c r="R301" s="5"/>
      <c r="S301" s="5"/>
      <c r="T301" s="5"/>
      <c r="AK301" s="5"/>
      <c r="AL301" s="5"/>
      <c r="AM301" s="5"/>
      <c r="AN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</row>
    <row r="302" spans="17:193" ht="12.75">
      <c r="Q302" s="5"/>
      <c r="R302" s="5"/>
      <c r="S302" s="5"/>
      <c r="T302" s="5"/>
      <c r="AK302" s="5"/>
      <c r="AL302" s="5"/>
      <c r="AM302" s="5"/>
      <c r="AN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</row>
    <row r="303" spans="17:193" ht="12.75">
      <c r="Q303" s="5"/>
      <c r="R303" s="5"/>
      <c r="S303" s="5"/>
      <c r="T303" s="5"/>
      <c r="AK303" s="5"/>
      <c r="AL303" s="5"/>
      <c r="AM303" s="5"/>
      <c r="AN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</row>
    <row r="304" spans="17:193" ht="12.75">
      <c r="Q304" s="5"/>
      <c r="R304" s="5"/>
      <c r="S304" s="5"/>
      <c r="T304" s="5"/>
      <c r="AK304" s="5"/>
      <c r="AL304" s="5"/>
      <c r="AM304" s="5"/>
      <c r="AN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</row>
    <row r="305" spans="17:193" ht="12.75">
      <c r="Q305" s="5"/>
      <c r="R305" s="5"/>
      <c r="S305" s="5"/>
      <c r="T305" s="5"/>
      <c r="AK305" s="5"/>
      <c r="AL305" s="5"/>
      <c r="AM305" s="5"/>
      <c r="AN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</row>
    <row r="306" spans="17:193" ht="12.75">
      <c r="Q306" s="5"/>
      <c r="R306" s="5"/>
      <c r="S306" s="5"/>
      <c r="T306" s="5"/>
      <c r="AK306" s="5"/>
      <c r="AL306" s="5"/>
      <c r="AM306" s="5"/>
      <c r="AN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</row>
    <row r="307" spans="17:193" ht="12.75">
      <c r="Q307" s="5"/>
      <c r="R307" s="5"/>
      <c r="S307" s="5"/>
      <c r="T307" s="5"/>
      <c r="AK307" s="5"/>
      <c r="AL307" s="5"/>
      <c r="AM307" s="5"/>
      <c r="AN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</row>
    <row r="308" spans="17:193" ht="12.75">
      <c r="Q308" s="5"/>
      <c r="R308" s="5"/>
      <c r="S308" s="5"/>
      <c r="T308" s="5"/>
      <c r="AK308" s="5"/>
      <c r="AL308" s="5"/>
      <c r="AM308" s="5"/>
      <c r="AN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</row>
    <row r="309" spans="17:193" ht="12.75">
      <c r="Q309" s="5"/>
      <c r="R309" s="5"/>
      <c r="S309" s="5"/>
      <c r="T309" s="5"/>
      <c r="AK309" s="5"/>
      <c r="AL309" s="5"/>
      <c r="AM309" s="5"/>
      <c r="AN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</row>
    <row r="310" spans="17:193" ht="12.75">
      <c r="Q310" s="5"/>
      <c r="R310" s="5"/>
      <c r="S310" s="5"/>
      <c r="T310" s="5"/>
      <c r="AK310" s="5"/>
      <c r="AL310" s="5"/>
      <c r="AM310" s="5"/>
      <c r="AN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</row>
    <row r="311" spans="17:193" ht="12.75">
      <c r="Q311" s="5"/>
      <c r="R311" s="5"/>
      <c r="S311" s="5"/>
      <c r="T311" s="5"/>
      <c r="AK311" s="5"/>
      <c r="AL311" s="5"/>
      <c r="AM311" s="5"/>
      <c r="AN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</row>
    <row r="312" spans="17:193" ht="12.75">
      <c r="Q312" s="5"/>
      <c r="R312" s="5"/>
      <c r="S312" s="5"/>
      <c r="T312" s="5"/>
      <c r="AK312" s="5"/>
      <c r="AL312" s="5"/>
      <c r="AM312" s="5"/>
      <c r="AN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</row>
    <row r="313" spans="17:193" ht="12.75">
      <c r="Q313" s="5"/>
      <c r="R313" s="5"/>
      <c r="S313" s="5"/>
      <c r="T313" s="5"/>
      <c r="AK313" s="5"/>
      <c r="AL313" s="5"/>
      <c r="AM313" s="5"/>
      <c r="AN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</row>
    <row r="314" spans="17:193" ht="12.75">
      <c r="Q314" s="5"/>
      <c r="R314" s="5"/>
      <c r="S314" s="5"/>
      <c r="T314" s="5"/>
      <c r="AK314" s="5"/>
      <c r="AL314" s="5"/>
      <c r="AM314" s="5"/>
      <c r="AN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</row>
    <row r="315" spans="17:193" ht="12.75">
      <c r="Q315" s="5"/>
      <c r="R315" s="5"/>
      <c r="S315" s="5"/>
      <c r="T315" s="5"/>
      <c r="AK315" s="5"/>
      <c r="AL315" s="5"/>
      <c r="AM315" s="5"/>
      <c r="AN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</row>
    <row r="316" spans="17:193" ht="12.75">
      <c r="Q316" s="5"/>
      <c r="R316" s="5"/>
      <c r="S316" s="5"/>
      <c r="T316" s="5"/>
      <c r="AK316" s="5"/>
      <c r="AL316" s="5"/>
      <c r="AM316" s="5"/>
      <c r="AN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</row>
    <row r="317" spans="17:193" ht="12.75">
      <c r="Q317" s="5"/>
      <c r="R317" s="5"/>
      <c r="S317" s="5"/>
      <c r="T317" s="5"/>
      <c r="AK317" s="5"/>
      <c r="AL317" s="5"/>
      <c r="AM317" s="5"/>
      <c r="AN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</row>
    <row r="318" spans="17:193" ht="12.75">
      <c r="Q318" s="5"/>
      <c r="R318" s="5"/>
      <c r="S318" s="5"/>
      <c r="T318" s="5"/>
      <c r="AK318" s="5"/>
      <c r="AL318" s="5"/>
      <c r="AM318" s="5"/>
      <c r="AN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</row>
    <row r="319" spans="17:193" ht="12.75">
      <c r="Q319" s="5"/>
      <c r="R319" s="5"/>
      <c r="S319" s="5"/>
      <c r="T319" s="5"/>
      <c r="AK319" s="5"/>
      <c r="AL319" s="5"/>
      <c r="AM319" s="5"/>
      <c r="AN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</row>
    <row r="320" spans="17:193" ht="12.75">
      <c r="Q320" s="5"/>
      <c r="R320" s="5"/>
      <c r="S320" s="5"/>
      <c r="T320" s="5"/>
      <c r="AK320" s="5"/>
      <c r="AL320" s="5"/>
      <c r="AM320" s="5"/>
      <c r="AN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</row>
    <row r="321" spans="17:193" ht="12.75">
      <c r="Q321" s="5"/>
      <c r="R321" s="5"/>
      <c r="S321" s="5"/>
      <c r="T321" s="5"/>
      <c r="AK321" s="5"/>
      <c r="AL321" s="5"/>
      <c r="AM321" s="5"/>
      <c r="AN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</row>
    <row r="322" spans="17:193" ht="12.75">
      <c r="Q322" s="5"/>
      <c r="R322" s="5"/>
      <c r="S322" s="5"/>
      <c r="T322" s="5"/>
      <c r="AK322" s="5"/>
      <c r="AL322" s="5"/>
      <c r="AM322" s="5"/>
      <c r="AN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</row>
    <row r="323" spans="17:193" ht="12.75">
      <c r="Q323" s="5"/>
      <c r="R323" s="5"/>
      <c r="S323" s="5"/>
      <c r="T323" s="5"/>
      <c r="AK323" s="5"/>
      <c r="AL323" s="5"/>
      <c r="AM323" s="5"/>
      <c r="AN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</row>
    <row r="324" spans="17:193" ht="12.75">
      <c r="Q324" s="5"/>
      <c r="R324" s="5"/>
      <c r="S324" s="5"/>
      <c r="T324" s="5"/>
      <c r="AK324" s="5"/>
      <c r="AL324" s="5"/>
      <c r="AM324" s="5"/>
      <c r="AN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</row>
    <row r="325" spans="17:193" ht="12.75">
      <c r="Q325" s="5"/>
      <c r="R325" s="5"/>
      <c r="S325" s="5"/>
      <c r="T325" s="5"/>
      <c r="AK325" s="5"/>
      <c r="AL325" s="5"/>
      <c r="AM325" s="5"/>
      <c r="AN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</row>
    <row r="326" spans="17:193" ht="12.75">
      <c r="Q326" s="5"/>
      <c r="R326" s="5"/>
      <c r="S326" s="5"/>
      <c r="T326" s="5"/>
      <c r="AK326" s="5"/>
      <c r="AL326" s="5"/>
      <c r="AM326" s="5"/>
      <c r="AN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</row>
    <row r="327" spans="17:193" ht="12.75">
      <c r="Q327" s="5"/>
      <c r="R327" s="5"/>
      <c r="S327" s="5"/>
      <c r="T327" s="5"/>
      <c r="AK327" s="5"/>
      <c r="AL327" s="5"/>
      <c r="AM327" s="5"/>
      <c r="AN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</row>
    <row r="328" spans="17:193" ht="12.75">
      <c r="Q328" s="5"/>
      <c r="R328" s="5"/>
      <c r="S328" s="5"/>
      <c r="T328" s="5"/>
      <c r="AK328" s="5"/>
      <c r="AL328" s="5"/>
      <c r="AM328" s="5"/>
      <c r="AN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</row>
    <row r="329" spans="17:193" ht="12.75">
      <c r="Q329" s="5"/>
      <c r="R329" s="5"/>
      <c r="S329" s="5"/>
      <c r="T329" s="5"/>
      <c r="AK329" s="5"/>
      <c r="AL329" s="5"/>
      <c r="AM329" s="5"/>
      <c r="AN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</row>
    <row r="330" spans="17:193" ht="12.75">
      <c r="Q330" s="5"/>
      <c r="R330" s="5"/>
      <c r="S330" s="5"/>
      <c r="T330" s="5"/>
      <c r="AK330" s="5"/>
      <c r="AL330" s="5"/>
      <c r="AM330" s="5"/>
      <c r="AN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</row>
    <row r="331" spans="17:193" ht="12.75">
      <c r="Q331" s="5"/>
      <c r="R331" s="5"/>
      <c r="S331" s="5"/>
      <c r="T331" s="5"/>
      <c r="AK331" s="5"/>
      <c r="AL331" s="5"/>
      <c r="AM331" s="5"/>
      <c r="AN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</row>
    <row r="332" spans="17:193" ht="12.75">
      <c r="Q332" s="5"/>
      <c r="R332" s="5"/>
      <c r="S332" s="5"/>
      <c r="T332" s="5"/>
      <c r="AK332" s="5"/>
      <c r="AL332" s="5"/>
      <c r="AM332" s="5"/>
      <c r="AN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</row>
    <row r="333" spans="17:193" ht="12.75">
      <c r="Q333" s="5"/>
      <c r="R333" s="5"/>
      <c r="S333" s="5"/>
      <c r="T333" s="5"/>
      <c r="AK333" s="5"/>
      <c r="AL333" s="5"/>
      <c r="AM333" s="5"/>
      <c r="AN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</row>
    <row r="334" spans="17:193" ht="12.75">
      <c r="Q334" s="5"/>
      <c r="R334" s="5"/>
      <c r="S334" s="5"/>
      <c r="T334" s="5"/>
      <c r="AK334" s="5"/>
      <c r="AL334" s="5"/>
      <c r="AM334" s="5"/>
      <c r="AN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</row>
    <row r="335" spans="17:193" ht="12.75">
      <c r="Q335" s="5"/>
      <c r="R335" s="5"/>
      <c r="S335" s="5"/>
      <c r="T335" s="5"/>
      <c r="AK335" s="5"/>
      <c r="AL335" s="5"/>
      <c r="AM335" s="5"/>
      <c r="AN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</row>
    <row r="336" spans="17:193" ht="12.75">
      <c r="Q336" s="5"/>
      <c r="R336" s="5"/>
      <c r="S336" s="5"/>
      <c r="T336" s="5"/>
      <c r="AK336" s="5"/>
      <c r="AL336" s="5"/>
      <c r="AM336" s="5"/>
      <c r="AN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</row>
    <row r="337" spans="17:193" ht="12.75">
      <c r="Q337" s="5"/>
      <c r="R337" s="5"/>
      <c r="S337" s="5"/>
      <c r="T337" s="5"/>
      <c r="AK337" s="5"/>
      <c r="AL337" s="5"/>
      <c r="AM337" s="5"/>
      <c r="AN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</row>
    <row r="338" spans="17:193" ht="12.75">
      <c r="Q338" s="5"/>
      <c r="R338" s="5"/>
      <c r="S338" s="5"/>
      <c r="T338" s="5"/>
      <c r="AK338" s="5"/>
      <c r="AL338" s="5"/>
      <c r="AM338" s="5"/>
      <c r="AN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</row>
    <row r="339" spans="17:193" ht="12.75">
      <c r="Q339" s="5"/>
      <c r="R339" s="5"/>
      <c r="S339" s="5"/>
      <c r="T339" s="5"/>
      <c r="AK339" s="5"/>
      <c r="AL339" s="5"/>
      <c r="AM339" s="5"/>
      <c r="AN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</row>
    <row r="340" spans="17:193" ht="12.75">
      <c r="Q340" s="5"/>
      <c r="R340" s="5"/>
      <c r="S340" s="5"/>
      <c r="T340" s="5"/>
      <c r="AK340" s="5"/>
      <c r="AL340" s="5"/>
      <c r="AM340" s="5"/>
      <c r="AN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</row>
    <row r="341" spans="17:193" ht="12.75">
      <c r="Q341" s="5"/>
      <c r="R341" s="5"/>
      <c r="S341" s="5"/>
      <c r="T341" s="5"/>
      <c r="AK341" s="5"/>
      <c r="AL341" s="5"/>
      <c r="AM341" s="5"/>
      <c r="AN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</row>
    <row r="342" spans="17:193" ht="12.75">
      <c r="Q342" s="5"/>
      <c r="R342" s="5"/>
      <c r="S342" s="5"/>
      <c r="T342" s="5"/>
      <c r="AK342" s="5"/>
      <c r="AL342" s="5"/>
      <c r="AM342" s="5"/>
      <c r="AN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</row>
    <row r="343" spans="17:193" ht="12.75">
      <c r="Q343" s="5"/>
      <c r="R343" s="5"/>
      <c r="S343" s="5"/>
      <c r="T343" s="5"/>
      <c r="AK343" s="5"/>
      <c r="AL343" s="5"/>
      <c r="AM343" s="5"/>
      <c r="AN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</row>
    <row r="344" spans="17:193" ht="12.75">
      <c r="Q344" s="5"/>
      <c r="R344" s="5"/>
      <c r="S344" s="5"/>
      <c r="T344" s="5"/>
      <c r="AK344" s="5"/>
      <c r="AL344" s="5"/>
      <c r="AM344" s="5"/>
      <c r="AN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</row>
    <row r="345" spans="17:193" ht="12.75">
      <c r="Q345" s="5"/>
      <c r="R345" s="5"/>
      <c r="S345" s="5"/>
      <c r="T345" s="5"/>
      <c r="AK345" s="5"/>
      <c r="AL345" s="5"/>
      <c r="AM345" s="5"/>
      <c r="AN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</row>
    <row r="346" spans="17:193" ht="12.75">
      <c r="Q346" s="5"/>
      <c r="R346" s="5"/>
      <c r="S346" s="5"/>
      <c r="T346" s="5"/>
      <c r="AK346" s="5"/>
      <c r="AL346" s="5"/>
      <c r="AM346" s="5"/>
      <c r="AN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</row>
    <row r="347" spans="17:193" ht="12.75">
      <c r="Q347" s="5"/>
      <c r="R347" s="5"/>
      <c r="S347" s="5"/>
      <c r="T347" s="5"/>
      <c r="AK347" s="5"/>
      <c r="AL347" s="5"/>
      <c r="AM347" s="5"/>
      <c r="AN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</row>
    <row r="348" spans="17:193" ht="12.75">
      <c r="Q348" s="5"/>
      <c r="R348" s="5"/>
      <c r="S348" s="5"/>
      <c r="T348" s="5"/>
      <c r="AK348" s="5"/>
      <c r="AL348" s="5"/>
      <c r="AM348" s="5"/>
      <c r="AN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</row>
    <row r="349" spans="17:193" ht="12.75">
      <c r="Q349" s="5"/>
      <c r="R349" s="5"/>
      <c r="S349" s="5"/>
      <c r="T349" s="5"/>
      <c r="AK349" s="5"/>
      <c r="AL349" s="5"/>
      <c r="AM349" s="5"/>
      <c r="AN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</row>
    <row r="350" spans="17:193" ht="12.75">
      <c r="Q350" s="5"/>
      <c r="R350" s="5"/>
      <c r="S350" s="5"/>
      <c r="T350" s="5"/>
      <c r="AK350" s="5"/>
      <c r="AL350" s="5"/>
      <c r="AM350" s="5"/>
      <c r="AN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</row>
    <row r="351" spans="17:193" ht="12.75">
      <c r="Q351" s="5"/>
      <c r="R351" s="5"/>
      <c r="S351" s="5"/>
      <c r="T351" s="5"/>
      <c r="AK351" s="5"/>
      <c r="AL351" s="5"/>
      <c r="AM351" s="5"/>
      <c r="AN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</row>
    <row r="352" spans="17:193" ht="12.75">
      <c r="Q352" s="5"/>
      <c r="R352" s="5"/>
      <c r="S352" s="5"/>
      <c r="T352" s="5"/>
      <c r="AK352" s="5"/>
      <c r="AL352" s="5"/>
      <c r="AM352" s="5"/>
      <c r="AN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</row>
    <row r="353" spans="17:193" ht="12.75">
      <c r="Q353" s="5"/>
      <c r="R353" s="5"/>
      <c r="S353" s="5"/>
      <c r="T353" s="5"/>
      <c r="AK353" s="5"/>
      <c r="AL353" s="5"/>
      <c r="AM353" s="5"/>
      <c r="AN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</row>
    <row r="354" spans="17:193" ht="12.75">
      <c r="Q354" s="5"/>
      <c r="R354" s="5"/>
      <c r="S354" s="5"/>
      <c r="T354" s="5"/>
      <c r="AK354" s="5"/>
      <c r="AL354" s="5"/>
      <c r="AM354" s="5"/>
      <c r="AN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</row>
    <row r="355" spans="17:193" ht="12.75">
      <c r="Q355" s="5"/>
      <c r="R355" s="5"/>
      <c r="S355" s="5"/>
      <c r="T355" s="5"/>
      <c r="AK355" s="5"/>
      <c r="AL355" s="5"/>
      <c r="AM355" s="5"/>
      <c r="AN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</row>
    <row r="356" spans="17:193" ht="12.75">
      <c r="Q356" s="5"/>
      <c r="R356" s="5"/>
      <c r="S356" s="5"/>
      <c r="T356" s="5"/>
      <c r="AK356" s="5"/>
      <c r="AL356" s="5"/>
      <c r="AM356" s="5"/>
      <c r="AN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</row>
    <row r="357" spans="17:193" ht="12.75">
      <c r="Q357" s="5"/>
      <c r="R357" s="5"/>
      <c r="S357" s="5"/>
      <c r="T357" s="5"/>
      <c r="AK357" s="5"/>
      <c r="AL357" s="5"/>
      <c r="AM357" s="5"/>
      <c r="AN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</row>
    <row r="358" spans="17:193" ht="12.75">
      <c r="Q358" s="5"/>
      <c r="R358" s="5"/>
      <c r="S358" s="5"/>
      <c r="T358" s="5"/>
      <c r="AK358" s="5"/>
      <c r="AL358" s="5"/>
      <c r="AM358" s="5"/>
      <c r="AN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</row>
    <row r="359" spans="17:193" ht="12.75">
      <c r="Q359" s="5"/>
      <c r="R359" s="5"/>
      <c r="S359" s="5"/>
      <c r="T359" s="5"/>
      <c r="AK359" s="5"/>
      <c r="AL359" s="5"/>
      <c r="AM359" s="5"/>
      <c r="AN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</row>
    <row r="360" spans="17:193" ht="12.75">
      <c r="Q360" s="5"/>
      <c r="R360" s="5"/>
      <c r="S360" s="5"/>
      <c r="T360" s="5"/>
      <c r="AK360" s="5"/>
      <c r="AL360" s="5"/>
      <c r="AM360" s="5"/>
      <c r="AN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</row>
    <row r="361" spans="17:193" ht="12.75">
      <c r="Q361" s="5"/>
      <c r="R361" s="5"/>
      <c r="S361" s="5"/>
      <c r="T361" s="5"/>
      <c r="AK361" s="5"/>
      <c r="AL361" s="5"/>
      <c r="AM361" s="5"/>
      <c r="AN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</row>
    <row r="362" spans="17:193" ht="12.75">
      <c r="Q362" s="5"/>
      <c r="R362" s="5"/>
      <c r="S362" s="5"/>
      <c r="T362" s="5"/>
      <c r="AK362" s="5"/>
      <c r="AL362" s="5"/>
      <c r="AM362" s="5"/>
      <c r="AN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</row>
    <row r="363" spans="17:193" ht="12.75">
      <c r="Q363" s="5"/>
      <c r="R363" s="5"/>
      <c r="S363" s="5"/>
      <c r="T363" s="5"/>
      <c r="AK363" s="5"/>
      <c r="AL363" s="5"/>
      <c r="AM363" s="5"/>
      <c r="AN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</row>
    <row r="364" spans="17:193" ht="12.75">
      <c r="Q364" s="5"/>
      <c r="R364" s="5"/>
      <c r="S364" s="5"/>
      <c r="T364" s="5"/>
      <c r="AK364" s="5"/>
      <c r="AL364" s="5"/>
      <c r="AM364" s="5"/>
      <c r="AN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</row>
    <row r="365" spans="17:193" ht="12.75">
      <c r="Q365" s="5"/>
      <c r="R365" s="5"/>
      <c r="S365" s="5"/>
      <c r="T365" s="5"/>
      <c r="AK365" s="5"/>
      <c r="AL365" s="5"/>
      <c r="AM365" s="5"/>
      <c r="AN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</row>
    <row r="366" spans="17:193" ht="12.75">
      <c r="Q366" s="5"/>
      <c r="R366" s="5"/>
      <c r="S366" s="5"/>
      <c r="T366" s="5"/>
      <c r="AK366" s="5"/>
      <c r="AL366" s="5"/>
      <c r="AM366" s="5"/>
      <c r="AN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</row>
    <row r="367" spans="17:193" ht="12.75">
      <c r="Q367" s="5"/>
      <c r="R367" s="5"/>
      <c r="S367" s="5"/>
      <c r="T367" s="5"/>
      <c r="AK367" s="5"/>
      <c r="AL367" s="5"/>
      <c r="AM367" s="5"/>
      <c r="AN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</row>
    <row r="368" spans="17:193" ht="12.75">
      <c r="Q368" s="5"/>
      <c r="R368" s="5"/>
      <c r="S368" s="5"/>
      <c r="T368" s="5"/>
      <c r="AK368" s="5"/>
      <c r="AL368" s="5"/>
      <c r="AM368" s="5"/>
      <c r="AN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</row>
    <row r="369" spans="17:193" ht="12.75">
      <c r="Q369" s="5"/>
      <c r="R369" s="5"/>
      <c r="S369" s="5"/>
      <c r="T369" s="5"/>
      <c r="AK369" s="5"/>
      <c r="AL369" s="5"/>
      <c r="AM369" s="5"/>
      <c r="AN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</row>
    <row r="370" spans="17:193" ht="12.75">
      <c r="Q370" s="5"/>
      <c r="R370" s="5"/>
      <c r="S370" s="5"/>
      <c r="T370" s="5"/>
      <c r="AK370" s="5"/>
      <c r="AL370" s="5"/>
      <c r="AM370" s="5"/>
      <c r="AN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</row>
    <row r="371" spans="17:193" ht="12.75">
      <c r="Q371" s="5"/>
      <c r="R371" s="5"/>
      <c r="S371" s="5"/>
      <c r="T371" s="5"/>
      <c r="AK371" s="5"/>
      <c r="AL371" s="5"/>
      <c r="AM371" s="5"/>
      <c r="AN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</row>
    <row r="372" spans="17:193" ht="12.75">
      <c r="Q372" s="5"/>
      <c r="R372" s="5"/>
      <c r="S372" s="5"/>
      <c r="T372" s="5"/>
      <c r="AK372" s="5"/>
      <c r="AL372" s="5"/>
      <c r="AM372" s="5"/>
      <c r="AN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</row>
    <row r="373" spans="17:193" ht="12.75">
      <c r="Q373" s="5"/>
      <c r="R373" s="5"/>
      <c r="S373" s="5"/>
      <c r="T373" s="5"/>
      <c r="AK373" s="5"/>
      <c r="AL373" s="5"/>
      <c r="AM373" s="5"/>
      <c r="AN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</row>
    <row r="374" spans="17:193" ht="12.75">
      <c r="Q374" s="5"/>
      <c r="R374" s="5"/>
      <c r="S374" s="5"/>
      <c r="T374" s="5"/>
      <c r="AK374" s="5"/>
      <c r="AL374" s="5"/>
      <c r="AM374" s="5"/>
      <c r="AN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</row>
    <row r="375" spans="17:193" ht="12.75">
      <c r="Q375" s="5"/>
      <c r="R375" s="5"/>
      <c r="S375" s="5"/>
      <c r="T375" s="5"/>
      <c r="AK375" s="5"/>
      <c r="AL375" s="5"/>
      <c r="AM375" s="5"/>
      <c r="AN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</row>
    <row r="376" spans="17:193" ht="12.75">
      <c r="Q376" s="5"/>
      <c r="R376" s="5"/>
      <c r="S376" s="5"/>
      <c r="T376" s="5"/>
      <c r="AK376" s="5"/>
      <c r="AL376" s="5"/>
      <c r="AM376" s="5"/>
      <c r="AN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</row>
    <row r="377" spans="17:193" ht="12.75">
      <c r="Q377" s="5"/>
      <c r="R377" s="5"/>
      <c r="S377" s="5"/>
      <c r="T377" s="5"/>
      <c r="AK377" s="5"/>
      <c r="AL377" s="5"/>
      <c r="AM377" s="5"/>
      <c r="AN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</row>
    <row r="378" spans="17:193" ht="12.75">
      <c r="Q378" s="5"/>
      <c r="R378" s="5"/>
      <c r="S378" s="5"/>
      <c r="T378" s="5"/>
      <c r="AK378" s="5"/>
      <c r="AL378" s="5"/>
      <c r="AM378" s="5"/>
      <c r="AN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</row>
    <row r="379" spans="17:193" ht="12.75">
      <c r="Q379" s="5"/>
      <c r="R379" s="5"/>
      <c r="S379" s="5"/>
      <c r="T379" s="5"/>
      <c r="AK379" s="5"/>
      <c r="AL379" s="5"/>
      <c r="AM379" s="5"/>
      <c r="AN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</row>
    <row r="380" spans="17:193" ht="12.75">
      <c r="Q380" s="5"/>
      <c r="R380" s="5"/>
      <c r="S380" s="5"/>
      <c r="T380" s="5"/>
      <c r="AK380" s="5"/>
      <c r="AL380" s="5"/>
      <c r="AM380" s="5"/>
      <c r="AN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</row>
    <row r="381" spans="17:193" ht="12.75">
      <c r="Q381" s="5"/>
      <c r="R381" s="5"/>
      <c r="S381" s="5"/>
      <c r="T381" s="5"/>
      <c r="AK381" s="5"/>
      <c r="AL381" s="5"/>
      <c r="AM381" s="5"/>
      <c r="AN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</row>
    <row r="382" spans="17:193" ht="12.75">
      <c r="Q382" s="5"/>
      <c r="R382" s="5"/>
      <c r="S382" s="5"/>
      <c r="T382" s="5"/>
      <c r="AK382" s="5"/>
      <c r="AL382" s="5"/>
      <c r="AM382" s="5"/>
      <c r="AN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</row>
    <row r="383" spans="17:193" ht="12.75">
      <c r="Q383" s="5"/>
      <c r="R383" s="5"/>
      <c r="S383" s="5"/>
      <c r="T383" s="5"/>
      <c r="AK383" s="5"/>
      <c r="AL383" s="5"/>
      <c r="AM383" s="5"/>
      <c r="AN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</row>
    <row r="384" spans="17:193" ht="12.75">
      <c r="Q384" s="5"/>
      <c r="R384" s="5"/>
      <c r="S384" s="5"/>
      <c r="T384" s="5"/>
      <c r="AK384" s="5"/>
      <c r="AL384" s="5"/>
      <c r="AM384" s="5"/>
      <c r="AN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</row>
    <row r="385" spans="17:193" ht="12.75">
      <c r="Q385" s="5"/>
      <c r="R385" s="5"/>
      <c r="S385" s="5"/>
      <c r="T385" s="5"/>
      <c r="AK385" s="5"/>
      <c r="AL385" s="5"/>
      <c r="AM385" s="5"/>
      <c r="AN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</row>
    <row r="386" spans="17:193" ht="12.75">
      <c r="Q386" s="5"/>
      <c r="R386" s="5"/>
      <c r="S386" s="5"/>
      <c r="T386" s="5"/>
      <c r="AK386" s="5"/>
      <c r="AL386" s="5"/>
      <c r="AM386" s="5"/>
      <c r="AN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</row>
    <row r="387" spans="17:193" ht="12.75">
      <c r="Q387" s="5"/>
      <c r="R387" s="5"/>
      <c r="S387" s="5"/>
      <c r="T387" s="5"/>
      <c r="AK387" s="5"/>
      <c r="AL387" s="5"/>
      <c r="AM387" s="5"/>
      <c r="AN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</row>
    <row r="388" spans="17:193" ht="12.75">
      <c r="Q388" s="5"/>
      <c r="R388" s="5"/>
      <c r="S388" s="5"/>
      <c r="T388" s="5"/>
      <c r="AK388" s="5"/>
      <c r="AL388" s="5"/>
      <c r="AM388" s="5"/>
      <c r="AN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</row>
    <row r="389" spans="17:193" ht="12.75">
      <c r="Q389" s="5"/>
      <c r="R389" s="5"/>
      <c r="S389" s="5"/>
      <c r="T389" s="5"/>
      <c r="AK389" s="5"/>
      <c r="AL389" s="5"/>
      <c r="AM389" s="5"/>
      <c r="AN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</row>
    <row r="390" spans="17:193" ht="12.75">
      <c r="Q390" s="5"/>
      <c r="R390" s="5"/>
      <c r="S390" s="5"/>
      <c r="T390" s="5"/>
      <c r="AK390" s="5"/>
      <c r="AL390" s="5"/>
      <c r="AM390" s="5"/>
      <c r="AN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</row>
    <row r="391" spans="17:193" ht="12.75">
      <c r="Q391" s="5"/>
      <c r="R391" s="5"/>
      <c r="S391" s="5"/>
      <c r="T391" s="5"/>
      <c r="AK391" s="5"/>
      <c r="AL391" s="5"/>
      <c r="AM391" s="5"/>
      <c r="AN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</row>
    <row r="392" spans="17:193" ht="12.75">
      <c r="Q392" s="5"/>
      <c r="R392" s="5"/>
      <c r="S392" s="5"/>
      <c r="T392" s="5"/>
      <c r="AK392" s="5"/>
      <c r="AL392" s="5"/>
      <c r="AM392" s="5"/>
      <c r="AN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</row>
    <row r="393" spans="17:193" ht="12.75">
      <c r="Q393" s="5"/>
      <c r="R393" s="5"/>
      <c r="S393" s="5"/>
      <c r="T393" s="5"/>
      <c r="AK393" s="5"/>
      <c r="AL393" s="5"/>
      <c r="AM393" s="5"/>
      <c r="AN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</row>
    <row r="394" spans="17:193" ht="12.75">
      <c r="Q394" s="5"/>
      <c r="R394" s="5"/>
      <c r="S394" s="5"/>
      <c r="T394" s="5"/>
      <c r="AK394" s="5"/>
      <c r="AL394" s="5"/>
      <c r="AM394" s="5"/>
      <c r="AN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</row>
    <row r="395" spans="17:193" ht="12.75">
      <c r="Q395" s="5"/>
      <c r="R395" s="5"/>
      <c r="S395" s="5"/>
      <c r="T395" s="5"/>
      <c r="AK395" s="5"/>
      <c r="AL395" s="5"/>
      <c r="AM395" s="5"/>
      <c r="AN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</row>
    <row r="396" spans="17:193" ht="12.75">
      <c r="Q396" s="5"/>
      <c r="R396" s="5"/>
      <c r="S396" s="5"/>
      <c r="T396" s="5"/>
      <c r="AK396" s="5"/>
      <c r="AL396" s="5"/>
      <c r="AM396" s="5"/>
      <c r="AN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</row>
    <row r="397" spans="17:193" ht="12.75">
      <c r="Q397" s="5"/>
      <c r="R397" s="5"/>
      <c r="S397" s="5"/>
      <c r="T397" s="5"/>
      <c r="AK397" s="5"/>
      <c r="AL397" s="5"/>
      <c r="AM397" s="5"/>
      <c r="AN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</row>
    <row r="398" spans="17:193" ht="12.75">
      <c r="Q398" s="5"/>
      <c r="R398" s="5"/>
      <c r="S398" s="5"/>
      <c r="T398" s="5"/>
      <c r="AK398" s="5"/>
      <c r="AL398" s="5"/>
      <c r="AM398" s="5"/>
      <c r="AN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</row>
    <row r="399" spans="17:193" ht="12.75">
      <c r="Q399" s="5"/>
      <c r="R399" s="5"/>
      <c r="S399" s="5"/>
      <c r="T399" s="5"/>
      <c r="AK399" s="5"/>
      <c r="AL399" s="5"/>
      <c r="AM399" s="5"/>
      <c r="AN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</row>
    <row r="400" spans="17:193" ht="12.75">
      <c r="Q400" s="5"/>
      <c r="R400" s="5"/>
      <c r="S400" s="5"/>
      <c r="T400" s="5"/>
      <c r="AK400" s="5"/>
      <c r="AL400" s="5"/>
      <c r="AM400" s="5"/>
      <c r="AN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</row>
    <row r="401" spans="17:193" ht="12.75">
      <c r="Q401" s="5"/>
      <c r="R401" s="5"/>
      <c r="S401" s="5"/>
      <c r="T401" s="5"/>
      <c r="AK401" s="5"/>
      <c r="AL401" s="5"/>
      <c r="AM401" s="5"/>
      <c r="AN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</row>
    <row r="402" spans="17:193" ht="12.75">
      <c r="Q402" s="5"/>
      <c r="R402" s="5"/>
      <c r="S402" s="5"/>
      <c r="T402" s="5"/>
      <c r="AK402" s="5"/>
      <c r="AL402" s="5"/>
      <c r="AM402" s="5"/>
      <c r="AN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</row>
    <row r="403" spans="17:193" ht="12.75">
      <c r="Q403" s="5"/>
      <c r="R403" s="5"/>
      <c r="S403" s="5"/>
      <c r="T403" s="5"/>
      <c r="AK403" s="5"/>
      <c r="AL403" s="5"/>
      <c r="AM403" s="5"/>
      <c r="AN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</row>
    <row r="404" spans="17:193" ht="12.75">
      <c r="Q404" s="5"/>
      <c r="R404" s="5"/>
      <c r="S404" s="5"/>
      <c r="T404" s="5"/>
      <c r="AK404" s="5"/>
      <c r="AL404" s="5"/>
      <c r="AM404" s="5"/>
      <c r="AN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</row>
    <row r="405" spans="17:193" ht="12.75">
      <c r="Q405" s="5"/>
      <c r="R405" s="5"/>
      <c r="S405" s="5"/>
      <c r="T405" s="5"/>
      <c r="AK405" s="5"/>
      <c r="AL405" s="5"/>
      <c r="AM405" s="5"/>
      <c r="AN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</row>
    <row r="406" spans="17:193" ht="12.75">
      <c r="Q406" s="5"/>
      <c r="R406" s="5"/>
      <c r="S406" s="5"/>
      <c r="T406" s="5"/>
      <c r="AK406" s="5"/>
      <c r="AL406" s="5"/>
      <c r="AM406" s="5"/>
      <c r="AN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</row>
    <row r="407" spans="17:193" ht="12.75">
      <c r="Q407" s="5"/>
      <c r="R407" s="5"/>
      <c r="S407" s="5"/>
      <c r="T407" s="5"/>
      <c r="AK407" s="5"/>
      <c r="AL407" s="5"/>
      <c r="AM407" s="5"/>
      <c r="AN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</row>
    <row r="408" spans="17:193" ht="12.75">
      <c r="Q408" s="5"/>
      <c r="R408" s="5"/>
      <c r="S408" s="5"/>
      <c r="T408" s="5"/>
      <c r="AK408" s="5"/>
      <c r="AL408" s="5"/>
      <c r="AM408" s="5"/>
      <c r="AN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</row>
    <row r="409" spans="17:193" ht="12.75">
      <c r="Q409" s="5"/>
      <c r="R409" s="5"/>
      <c r="S409" s="5"/>
      <c r="T409" s="5"/>
      <c r="AK409" s="5"/>
      <c r="AL409" s="5"/>
      <c r="AM409" s="5"/>
      <c r="AN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</row>
    <row r="410" spans="17:193" ht="12.75">
      <c r="Q410" s="5"/>
      <c r="R410" s="5"/>
      <c r="S410" s="5"/>
      <c r="T410" s="5"/>
      <c r="AK410" s="5"/>
      <c r="AL410" s="5"/>
      <c r="AM410" s="5"/>
      <c r="AN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</row>
    <row r="411" spans="17:193" ht="12.75">
      <c r="Q411" s="5"/>
      <c r="R411" s="5"/>
      <c r="S411" s="5"/>
      <c r="T411" s="5"/>
      <c r="AK411" s="5"/>
      <c r="AL411" s="5"/>
      <c r="AM411" s="5"/>
      <c r="AN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</row>
    <row r="412" spans="17:193" ht="12.75">
      <c r="Q412" s="5"/>
      <c r="R412" s="5"/>
      <c r="S412" s="5"/>
      <c r="T412" s="5"/>
      <c r="AK412" s="5"/>
      <c r="AL412" s="5"/>
      <c r="AM412" s="5"/>
      <c r="AN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</row>
    <row r="413" spans="17:193" ht="12.75">
      <c r="Q413" s="5"/>
      <c r="R413" s="5"/>
      <c r="S413" s="5"/>
      <c r="T413" s="5"/>
      <c r="AK413" s="5"/>
      <c r="AL413" s="5"/>
      <c r="AM413" s="5"/>
      <c r="AN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</row>
    <row r="414" spans="17:193" ht="12.75">
      <c r="Q414" s="5"/>
      <c r="R414" s="5"/>
      <c r="S414" s="5"/>
      <c r="T414" s="5"/>
      <c r="AK414" s="5"/>
      <c r="AL414" s="5"/>
      <c r="AM414" s="5"/>
      <c r="AN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</row>
    <row r="415" spans="17:193" ht="12.75">
      <c r="Q415" s="5"/>
      <c r="R415" s="5"/>
      <c r="S415" s="5"/>
      <c r="T415" s="5"/>
      <c r="AK415" s="5"/>
      <c r="AL415" s="5"/>
      <c r="AM415" s="5"/>
      <c r="AN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</row>
    <row r="416" spans="17:193" ht="12.75">
      <c r="Q416" s="5"/>
      <c r="R416" s="5"/>
      <c r="S416" s="5"/>
      <c r="T416" s="5"/>
      <c r="AK416" s="5"/>
      <c r="AL416" s="5"/>
      <c r="AM416" s="5"/>
      <c r="AN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</row>
    <row r="417" spans="17:193" ht="12.75">
      <c r="Q417" s="5"/>
      <c r="R417" s="5"/>
      <c r="S417" s="5"/>
      <c r="T417" s="5"/>
      <c r="AK417" s="5"/>
      <c r="AL417" s="5"/>
      <c r="AM417" s="5"/>
      <c r="AN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</row>
    <row r="418" spans="17:193" ht="12.75">
      <c r="Q418" s="5"/>
      <c r="R418" s="5"/>
      <c r="S418" s="5"/>
      <c r="T418" s="5"/>
      <c r="AK418" s="5"/>
      <c r="AL418" s="5"/>
      <c r="AM418" s="5"/>
      <c r="AN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</row>
    <row r="419" spans="17:193" ht="12.75">
      <c r="Q419" s="5"/>
      <c r="R419" s="5"/>
      <c r="S419" s="5"/>
      <c r="T419" s="5"/>
      <c r="AK419" s="5"/>
      <c r="AL419" s="5"/>
      <c r="AM419" s="5"/>
      <c r="AN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</row>
    <row r="420" spans="17:193" ht="12.75">
      <c r="Q420" s="5"/>
      <c r="R420" s="5"/>
      <c r="S420" s="5"/>
      <c r="T420" s="5"/>
      <c r="AK420" s="5"/>
      <c r="AL420" s="5"/>
      <c r="AM420" s="5"/>
      <c r="AN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</row>
    <row r="421" spans="17:193" ht="12.75">
      <c r="Q421" s="5"/>
      <c r="R421" s="5"/>
      <c r="S421" s="5"/>
      <c r="T421" s="5"/>
      <c r="AK421" s="5"/>
      <c r="AL421" s="5"/>
      <c r="AM421" s="5"/>
      <c r="AN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</row>
    <row r="422" spans="17:193" ht="12.75">
      <c r="Q422" s="5"/>
      <c r="R422" s="5"/>
      <c r="S422" s="5"/>
      <c r="T422" s="5"/>
      <c r="AK422" s="5"/>
      <c r="AL422" s="5"/>
      <c r="AM422" s="5"/>
      <c r="AN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</row>
    <row r="423" spans="17:193" ht="12.75">
      <c r="Q423" s="5"/>
      <c r="R423" s="5"/>
      <c r="S423" s="5"/>
      <c r="T423" s="5"/>
      <c r="AK423" s="5"/>
      <c r="AL423" s="5"/>
      <c r="AM423" s="5"/>
      <c r="AN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</row>
    <row r="424" spans="17:193" ht="12.75">
      <c r="Q424" s="5"/>
      <c r="R424" s="5"/>
      <c r="S424" s="5"/>
      <c r="T424" s="5"/>
      <c r="AK424" s="5"/>
      <c r="AL424" s="5"/>
      <c r="AM424" s="5"/>
      <c r="AN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</row>
    <row r="425" spans="17:193" ht="12.75">
      <c r="Q425" s="5"/>
      <c r="R425" s="5"/>
      <c r="S425" s="5"/>
      <c r="T425" s="5"/>
      <c r="AK425" s="5"/>
      <c r="AL425" s="5"/>
      <c r="AM425" s="5"/>
      <c r="AN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</row>
    <row r="426" spans="17:193" ht="12.75">
      <c r="Q426" s="5"/>
      <c r="R426" s="5"/>
      <c r="S426" s="5"/>
      <c r="T426" s="5"/>
      <c r="AK426" s="5"/>
      <c r="AL426" s="5"/>
      <c r="AM426" s="5"/>
      <c r="AN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</row>
    <row r="427" spans="17:193" ht="12.75">
      <c r="Q427" s="5"/>
      <c r="R427" s="5"/>
      <c r="S427" s="5"/>
      <c r="T427" s="5"/>
      <c r="AK427" s="5"/>
      <c r="AL427" s="5"/>
      <c r="AM427" s="5"/>
      <c r="AN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</row>
    <row r="428" spans="17:193" ht="12.75">
      <c r="Q428" s="5"/>
      <c r="R428" s="5"/>
      <c r="S428" s="5"/>
      <c r="T428" s="5"/>
      <c r="AK428" s="5"/>
      <c r="AL428" s="5"/>
      <c r="AM428" s="5"/>
      <c r="AN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</row>
    <row r="429" spans="17:193" ht="12.75">
      <c r="Q429" s="5"/>
      <c r="R429" s="5"/>
      <c r="S429" s="5"/>
      <c r="T429" s="5"/>
      <c r="AK429" s="5"/>
      <c r="AL429" s="5"/>
      <c r="AM429" s="5"/>
      <c r="AN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</row>
    <row r="430" spans="17:193" ht="12.75">
      <c r="Q430" s="5"/>
      <c r="R430" s="5"/>
      <c r="S430" s="5"/>
      <c r="T430" s="5"/>
      <c r="AK430" s="5"/>
      <c r="AL430" s="5"/>
      <c r="AM430" s="5"/>
      <c r="AN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</row>
    <row r="431" spans="17:193" ht="12.75">
      <c r="Q431" s="5"/>
      <c r="R431" s="5"/>
      <c r="S431" s="5"/>
      <c r="T431" s="5"/>
      <c r="AK431" s="5"/>
      <c r="AL431" s="5"/>
      <c r="AM431" s="5"/>
      <c r="AN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</row>
    <row r="432" spans="17:193" ht="12.75">
      <c r="Q432" s="5"/>
      <c r="R432" s="5"/>
      <c r="S432" s="5"/>
      <c r="T432" s="5"/>
      <c r="AK432" s="5"/>
      <c r="AL432" s="5"/>
      <c r="AM432" s="5"/>
      <c r="AN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</row>
    <row r="433" spans="17:193" ht="12.75">
      <c r="Q433" s="5"/>
      <c r="R433" s="5"/>
      <c r="S433" s="5"/>
      <c r="T433" s="5"/>
      <c r="AK433" s="5"/>
      <c r="AL433" s="5"/>
      <c r="AM433" s="5"/>
      <c r="AN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</row>
    <row r="434" spans="17:193" ht="12.75">
      <c r="Q434" s="5"/>
      <c r="R434" s="5"/>
      <c r="S434" s="5"/>
      <c r="T434" s="5"/>
      <c r="AK434" s="5"/>
      <c r="AL434" s="5"/>
      <c r="AM434" s="5"/>
      <c r="AN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</row>
    <row r="435" spans="17:193" ht="12.75">
      <c r="Q435" s="5"/>
      <c r="R435" s="5"/>
      <c r="S435" s="5"/>
      <c r="T435" s="5"/>
      <c r="AK435" s="5"/>
      <c r="AL435" s="5"/>
      <c r="AM435" s="5"/>
      <c r="AN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</row>
    <row r="436" spans="17:193" ht="12.75">
      <c r="Q436" s="5"/>
      <c r="R436" s="5"/>
      <c r="S436" s="5"/>
      <c r="T436" s="5"/>
      <c r="AK436" s="5"/>
      <c r="AL436" s="5"/>
      <c r="AM436" s="5"/>
      <c r="AN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</row>
    <row r="437" spans="17:193" ht="12.75">
      <c r="Q437" s="5"/>
      <c r="R437" s="5"/>
      <c r="S437" s="5"/>
      <c r="T437" s="5"/>
      <c r="AK437" s="5"/>
      <c r="AL437" s="5"/>
      <c r="AM437" s="5"/>
      <c r="AN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</row>
    <row r="438" spans="17:193" ht="12.75">
      <c r="Q438" s="5"/>
      <c r="R438" s="5"/>
      <c r="S438" s="5"/>
      <c r="T438" s="5"/>
      <c r="AK438" s="5"/>
      <c r="AL438" s="5"/>
      <c r="AM438" s="5"/>
      <c r="AN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</row>
    <row r="439" spans="17:193" ht="12.75">
      <c r="Q439" s="5"/>
      <c r="R439" s="5"/>
      <c r="S439" s="5"/>
      <c r="T439" s="5"/>
      <c r="AK439" s="5"/>
      <c r="AL439" s="5"/>
      <c r="AM439" s="5"/>
      <c r="AN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</row>
    <row r="440" spans="17:193" ht="12.75">
      <c r="Q440" s="5"/>
      <c r="R440" s="5"/>
      <c r="S440" s="5"/>
      <c r="T440" s="5"/>
      <c r="AK440" s="5"/>
      <c r="AL440" s="5"/>
      <c r="AM440" s="5"/>
      <c r="AN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</row>
    <row r="441" spans="17:193" ht="12.75">
      <c r="Q441" s="5"/>
      <c r="R441" s="5"/>
      <c r="S441" s="5"/>
      <c r="T441" s="5"/>
      <c r="AK441" s="5"/>
      <c r="AL441" s="5"/>
      <c r="AM441" s="5"/>
      <c r="AN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</row>
    <row r="442" spans="17:193" ht="12.75">
      <c r="Q442" s="5"/>
      <c r="R442" s="5"/>
      <c r="S442" s="5"/>
      <c r="T442" s="5"/>
      <c r="AK442" s="5"/>
      <c r="AL442" s="5"/>
      <c r="AM442" s="5"/>
      <c r="AN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</row>
    <row r="443" spans="17:193" ht="12.75">
      <c r="Q443" s="5"/>
      <c r="R443" s="5"/>
      <c r="S443" s="5"/>
      <c r="T443" s="5"/>
      <c r="AK443" s="5"/>
      <c r="AL443" s="5"/>
      <c r="AM443" s="5"/>
      <c r="AN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</row>
    <row r="444" spans="17:193" ht="12.75">
      <c r="Q444" s="5"/>
      <c r="R444" s="5"/>
      <c r="S444" s="5"/>
      <c r="T444" s="5"/>
      <c r="AK444" s="5"/>
      <c r="AL444" s="5"/>
      <c r="AM444" s="5"/>
      <c r="AN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</row>
    <row r="445" spans="17:193" ht="12.75">
      <c r="Q445" s="5"/>
      <c r="R445" s="5"/>
      <c r="S445" s="5"/>
      <c r="T445" s="5"/>
      <c r="AK445" s="5"/>
      <c r="AL445" s="5"/>
      <c r="AM445" s="5"/>
      <c r="AN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</row>
    <row r="446" spans="17:193" ht="12.75">
      <c r="Q446" s="5"/>
      <c r="R446" s="5"/>
      <c r="S446" s="5"/>
      <c r="T446" s="5"/>
      <c r="AK446" s="5"/>
      <c r="AL446" s="5"/>
      <c r="AM446" s="5"/>
      <c r="AN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</row>
    <row r="447" spans="17:193" ht="12.75">
      <c r="Q447" s="5"/>
      <c r="R447" s="5"/>
      <c r="S447" s="5"/>
      <c r="T447" s="5"/>
      <c r="AK447" s="5"/>
      <c r="AL447" s="5"/>
      <c r="AM447" s="5"/>
      <c r="AN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</row>
    <row r="448" spans="17:193" ht="12.75">
      <c r="Q448" s="5"/>
      <c r="R448" s="5"/>
      <c r="S448" s="5"/>
      <c r="T448" s="5"/>
      <c r="AK448" s="5"/>
      <c r="AL448" s="5"/>
      <c r="AM448" s="5"/>
      <c r="AN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</row>
    <row r="449" spans="17:193" ht="12.75">
      <c r="Q449" s="5"/>
      <c r="R449" s="5"/>
      <c r="S449" s="5"/>
      <c r="T449" s="5"/>
      <c r="AK449" s="5"/>
      <c r="AL449" s="5"/>
      <c r="AM449" s="5"/>
      <c r="AN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</row>
    <row r="450" spans="17:193" ht="12.75">
      <c r="Q450" s="5"/>
      <c r="R450" s="5"/>
      <c r="S450" s="5"/>
      <c r="T450" s="5"/>
      <c r="AK450" s="5"/>
      <c r="AL450" s="5"/>
      <c r="AM450" s="5"/>
      <c r="AN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</row>
    <row r="451" spans="17:193" ht="12.75">
      <c r="Q451" s="5"/>
      <c r="R451" s="5"/>
      <c r="S451" s="5"/>
      <c r="T451" s="5"/>
      <c r="AK451" s="5"/>
      <c r="AL451" s="5"/>
      <c r="AM451" s="5"/>
      <c r="AN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</row>
    <row r="452" spans="17:193" ht="12.75">
      <c r="Q452" s="5"/>
      <c r="R452" s="5"/>
      <c r="S452" s="5"/>
      <c r="T452" s="5"/>
      <c r="AK452" s="5"/>
      <c r="AL452" s="5"/>
      <c r="AM452" s="5"/>
      <c r="AN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</row>
    <row r="453" spans="17:193" ht="12.75">
      <c r="Q453" s="5"/>
      <c r="R453" s="5"/>
      <c r="S453" s="5"/>
      <c r="T453" s="5"/>
      <c r="AK453" s="5"/>
      <c r="AL453" s="5"/>
      <c r="AM453" s="5"/>
      <c r="AN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</row>
    <row r="454" spans="17:193" ht="12.75">
      <c r="Q454" s="5"/>
      <c r="R454" s="5"/>
      <c r="S454" s="5"/>
      <c r="T454" s="5"/>
      <c r="AK454" s="5"/>
      <c r="AL454" s="5"/>
      <c r="AM454" s="5"/>
      <c r="AN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</row>
    <row r="455" spans="17:193" ht="12.75">
      <c r="Q455" s="5"/>
      <c r="R455" s="5"/>
      <c r="S455" s="5"/>
      <c r="T455" s="5"/>
      <c r="AK455" s="5"/>
      <c r="AL455" s="5"/>
      <c r="AM455" s="5"/>
      <c r="AN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</row>
    <row r="456" spans="17:193" ht="12.75">
      <c r="Q456" s="5"/>
      <c r="R456" s="5"/>
      <c r="S456" s="5"/>
      <c r="T456" s="5"/>
      <c r="AK456" s="5"/>
      <c r="AL456" s="5"/>
      <c r="AM456" s="5"/>
      <c r="AN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</row>
    <row r="457" spans="17:193" ht="12.75">
      <c r="Q457" s="5"/>
      <c r="R457" s="5"/>
      <c r="S457" s="5"/>
      <c r="T457" s="5"/>
      <c r="AK457" s="5"/>
      <c r="AL457" s="5"/>
      <c r="AM457" s="5"/>
      <c r="AN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</row>
    <row r="458" spans="17:193" ht="12.75">
      <c r="Q458" s="5"/>
      <c r="R458" s="5"/>
      <c r="S458" s="5"/>
      <c r="T458" s="5"/>
      <c r="AK458" s="5"/>
      <c r="AL458" s="5"/>
      <c r="AM458" s="5"/>
      <c r="AN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</row>
    <row r="459" spans="17:193" ht="12.75">
      <c r="Q459" s="5"/>
      <c r="R459" s="5"/>
      <c r="S459" s="5"/>
      <c r="T459" s="5"/>
      <c r="AK459" s="5"/>
      <c r="AL459" s="5"/>
      <c r="AM459" s="5"/>
      <c r="AN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</row>
    <row r="460" spans="17:193" ht="12.75">
      <c r="Q460" s="5"/>
      <c r="R460" s="5"/>
      <c r="S460" s="5"/>
      <c r="T460" s="5"/>
      <c r="AK460" s="5"/>
      <c r="AL460" s="5"/>
      <c r="AM460" s="5"/>
      <c r="AN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</row>
    <row r="461" spans="17:193" ht="12.75">
      <c r="Q461" s="5"/>
      <c r="R461" s="5"/>
      <c r="S461" s="5"/>
      <c r="T461" s="5"/>
      <c r="AK461" s="5"/>
      <c r="AL461" s="5"/>
      <c r="AM461" s="5"/>
      <c r="AN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</row>
    <row r="462" spans="17:193" ht="12.75">
      <c r="Q462" s="5"/>
      <c r="R462" s="5"/>
      <c r="S462" s="5"/>
      <c r="T462" s="5"/>
      <c r="AK462" s="5"/>
      <c r="AL462" s="5"/>
      <c r="AM462" s="5"/>
      <c r="AN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</row>
    <row r="463" spans="17:193" ht="12.75">
      <c r="Q463" s="5"/>
      <c r="R463" s="5"/>
      <c r="S463" s="5"/>
      <c r="T463" s="5"/>
      <c r="AK463" s="5"/>
      <c r="AL463" s="5"/>
      <c r="AM463" s="5"/>
      <c r="AN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</row>
    <row r="464" spans="17:193" ht="12.75">
      <c r="Q464" s="5"/>
      <c r="R464" s="5"/>
      <c r="S464" s="5"/>
      <c r="T464" s="5"/>
      <c r="AK464" s="5"/>
      <c r="AL464" s="5"/>
      <c r="AM464" s="5"/>
      <c r="AN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</row>
    <row r="465" spans="17:193" ht="12.75">
      <c r="Q465" s="5"/>
      <c r="R465" s="5"/>
      <c r="S465" s="5"/>
      <c r="T465" s="5"/>
      <c r="AK465" s="5"/>
      <c r="AL465" s="5"/>
      <c r="AM465" s="5"/>
      <c r="AN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</row>
    <row r="466" spans="17:193" ht="12.75">
      <c r="Q466" s="5"/>
      <c r="R466" s="5"/>
      <c r="S466" s="5"/>
      <c r="T466" s="5"/>
      <c r="AK466" s="5"/>
      <c r="AL466" s="5"/>
      <c r="AM466" s="5"/>
      <c r="AN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</row>
    <row r="467" spans="17:193" ht="12.75">
      <c r="Q467" s="5"/>
      <c r="R467" s="5"/>
      <c r="S467" s="5"/>
      <c r="T467" s="5"/>
      <c r="AK467" s="5"/>
      <c r="AL467" s="5"/>
      <c r="AM467" s="5"/>
      <c r="AN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</row>
    <row r="468" spans="17:193" ht="12.75">
      <c r="Q468" s="5"/>
      <c r="R468" s="5"/>
      <c r="S468" s="5"/>
      <c r="T468" s="5"/>
      <c r="AK468" s="5"/>
      <c r="AL468" s="5"/>
      <c r="AM468" s="5"/>
      <c r="AN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</row>
    <row r="469" spans="17:193" ht="12.75">
      <c r="Q469" s="5"/>
      <c r="R469" s="5"/>
      <c r="S469" s="5"/>
      <c r="T469" s="5"/>
      <c r="AK469" s="5"/>
      <c r="AL469" s="5"/>
      <c r="AM469" s="5"/>
      <c r="AN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</row>
    <row r="470" spans="17:193" ht="12.75">
      <c r="Q470" s="5"/>
      <c r="R470" s="5"/>
      <c r="S470" s="5"/>
      <c r="T470" s="5"/>
      <c r="AK470" s="5"/>
      <c r="AL470" s="5"/>
      <c r="AM470" s="5"/>
      <c r="AN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</row>
    <row r="471" spans="17:193" ht="12.75">
      <c r="Q471" s="5"/>
      <c r="R471" s="5"/>
      <c r="S471" s="5"/>
      <c r="T471" s="5"/>
      <c r="AK471" s="5"/>
      <c r="AL471" s="5"/>
      <c r="AM471" s="5"/>
      <c r="AN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</row>
    <row r="472" spans="17:193" ht="12.75">
      <c r="Q472" s="5"/>
      <c r="R472" s="5"/>
      <c r="S472" s="5"/>
      <c r="T472" s="5"/>
      <c r="AK472" s="5"/>
      <c r="AL472" s="5"/>
      <c r="AM472" s="5"/>
      <c r="AN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</row>
    <row r="473" spans="17:193" ht="12.75">
      <c r="Q473" s="5"/>
      <c r="R473" s="5"/>
      <c r="S473" s="5"/>
      <c r="T473" s="5"/>
      <c r="AK473" s="5"/>
      <c r="AL473" s="5"/>
      <c r="AM473" s="5"/>
      <c r="AN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</row>
    <row r="474" spans="17:193" ht="12.75">
      <c r="Q474" s="5"/>
      <c r="R474" s="5"/>
      <c r="S474" s="5"/>
      <c r="T474" s="5"/>
      <c r="AK474" s="5"/>
      <c r="AL474" s="5"/>
      <c r="AM474" s="5"/>
      <c r="AN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</row>
    <row r="475" spans="17:193" ht="12.75">
      <c r="Q475" s="5"/>
      <c r="R475" s="5"/>
      <c r="S475" s="5"/>
      <c r="T475" s="5"/>
      <c r="AK475" s="5"/>
      <c r="AL475" s="5"/>
      <c r="AM475" s="5"/>
      <c r="AN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</row>
    <row r="476" spans="17:193" ht="12.75">
      <c r="Q476" s="5"/>
      <c r="R476" s="5"/>
      <c r="S476" s="5"/>
      <c r="T476" s="5"/>
      <c r="AK476" s="5"/>
      <c r="AL476" s="5"/>
      <c r="AM476" s="5"/>
      <c r="AN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</row>
    <row r="477" spans="17:193" ht="12.75">
      <c r="Q477" s="5"/>
      <c r="R477" s="5"/>
      <c r="S477" s="5"/>
      <c r="T477" s="5"/>
      <c r="AK477" s="5"/>
      <c r="AL477" s="5"/>
      <c r="AM477" s="5"/>
      <c r="AN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</row>
    <row r="478" spans="17:193" ht="12.75">
      <c r="Q478" s="5"/>
      <c r="R478" s="5"/>
      <c r="S478" s="5"/>
      <c r="T478" s="5"/>
      <c r="AK478" s="5"/>
      <c r="AL478" s="5"/>
      <c r="AM478" s="5"/>
      <c r="AN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</row>
    <row r="479" spans="17:193" ht="12.75">
      <c r="Q479" s="5"/>
      <c r="R479" s="5"/>
      <c r="S479" s="5"/>
      <c r="T479" s="5"/>
      <c r="AK479" s="5"/>
      <c r="AL479" s="5"/>
      <c r="AM479" s="5"/>
      <c r="AN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</row>
    <row r="480" spans="17:193" ht="12.75">
      <c r="Q480" s="5"/>
      <c r="R480" s="5"/>
      <c r="S480" s="5"/>
      <c r="T480" s="5"/>
      <c r="AK480" s="5"/>
      <c r="AL480" s="5"/>
      <c r="AM480" s="5"/>
      <c r="AN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</row>
    <row r="481" spans="17:193" ht="12.75">
      <c r="Q481" s="5"/>
      <c r="R481" s="5"/>
      <c r="S481" s="5"/>
      <c r="T481" s="5"/>
      <c r="AK481" s="5"/>
      <c r="AL481" s="5"/>
      <c r="AM481" s="5"/>
      <c r="AN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</row>
    <row r="482" spans="17:193" ht="12.75">
      <c r="Q482" s="5"/>
      <c r="R482" s="5"/>
      <c r="S482" s="5"/>
      <c r="T482" s="5"/>
      <c r="AK482" s="5"/>
      <c r="AL482" s="5"/>
      <c r="AM482" s="5"/>
      <c r="AN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</row>
    <row r="483" spans="17:193" ht="12.75">
      <c r="Q483" s="5"/>
      <c r="R483" s="5"/>
      <c r="S483" s="5"/>
      <c r="T483" s="5"/>
      <c r="AK483" s="5"/>
      <c r="AL483" s="5"/>
      <c r="AM483" s="5"/>
      <c r="AN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</row>
    <row r="484" spans="17:193" ht="12.75">
      <c r="Q484" s="5"/>
      <c r="R484" s="5"/>
      <c r="S484" s="5"/>
      <c r="T484" s="5"/>
      <c r="AK484" s="5"/>
      <c r="AL484" s="5"/>
      <c r="AM484" s="5"/>
      <c r="AN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</row>
    <row r="485" spans="17:193" ht="12.75">
      <c r="Q485" s="5"/>
      <c r="R485" s="5"/>
      <c r="S485" s="5"/>
      <c r="T485" s="5"/>
      <c r="AK485" s="5"/>
      <c r="AL485" s="5"/>
      <c r="AM485" s="5"/>
      <c r="AN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</row>
    <row r="486" spans="17:193" ht="12.75">
      <c r="Q486" s="5"/>
      <c r="R486" s="5"/>
      <c r="S486" s="5"/>
      <c r="T486" s="5"/>
      <c r="AK486" s="5"/>
      <c r="AL486" s="5"/>
      <c r="AM486" s="5"/>
      <c r="AN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</row>
    <row r="487" spans="17:193" ht="12.75">
      <c r="Q487" s="5"/>
      <c r="R487" s="5"/>
      <c r="S487" s="5"/>
      <c r="T487" s="5"/>
      <c r="AK487" s="5"/>
      <c r="AL487" s="5"/>
      <c r="AM487" s="5"/>
      <c r="AN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</row>
    <row r="488" spans="17:193" ht="12.75">
      <c r="Q488" s="5"/>
      <c r="R488" s="5"/>
      <c r="S488" s="5"/>
      <c r="T488" s="5"/>
      <c r="AK488" s="5"/>
      <c r="AL488" s="5"/>
      <c r="AM488" s="5"/>
      <c r="AN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</row>
    <row r="489" spans="17:193" ht="12.75">
      <c r="Q489" s="5"/>
      <c r="R489" s="5"/>
      <c r="S489" s="5"/>
      <c r="T489" s="5"/>
      <c r="AK489" s="5"/>
      <c r="AL489" s="5"/>
      <c r="AM489" s="5"/>
      <c r="AN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</row>
    <row r="490" spans="17:193" ht="12.75">
      <c r="Q490" s="5"/>
      <c r="R490" s="5"/>
      <c r="S490" s="5"/>
      <c r="T490" s="5"/>
      <c r="AK490" s="5"/>
      <c r="AL490" s="5"/>
      <c r="AM490" s="5"/>
      <c r="AN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</row>
    <row r="491" spans="17:193" ht="12.75">
      <c r="Q491" s="5"/>
      <c r="R491" s="5"/>
      <c r="S491" s="5"/>
      <c r="T491" s="5"/>
      <c r="AK491" s="5"/>
      <c r="AL491" s="5"/>
      <c r="AM491" s="5"/>
      <c r="AN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</row>
    <row r="492" spans="17:193" ht="12.75">
      <c r="Q492" s="5"/>
      <c r="R492" s="5"/>
      <c r="S492" s="5"/>
      <c r="T492" s="5"/>
      <c r="AK492" s="5"/>
      <c r="AL492" s="5"/>
      <c r="AM492" s="5"/>
      <c r="AN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</row>
    <row r="493" spans="17:193" ht="12.75">
      <c r="Q493" s="5"/>
      <c r="R493" s="5"/>
      <c r="S493" s="5"/>
      <c r="T493" s="5"/>
      <c r="AK493" s="5"/>
      <c r="AL493" s="5"/>
      <c r="AM493" s="5"/>
      <c r="AN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</row>
    <row r="494" spans="17:193" ht="12.75">
      <c r="Q494" s="5"/>
      <c r="R494" s="5"/>
      <c r="S494" s="5"/>
      <c r="T494" s="5"/>
      <c r="AK494" s="5"/>
      <c r="AL494" s="5"/>
      <c r="AM494" s="5"/>
      <c r="AN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</row>
    <row r="495" spans="17:193" ht="12.75">
      <c r="Q495" s="5"/>
      <c r="R495" s="5"/>
      <c r="S495" s="5"/>
      <c r="T495" s="5"/>
      <c r="AK495" s="5"/>
      <c r="AL495" s="5"/>
      <c r="AM495" s="5"/>
      <c r="AN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</row>
    <row r="496" spans="17:193" ht="12.75">
      <c r="Q496" s="5"/>
      <c r="R496" s="5"/>
      <c r="S496" s="5"/>
      <c r="T496" s="5"/>
      <c r="AK496" s="5"/>
      <c r="AL496" s="5"/>
      <c r="AM496" s="5"/>
      <c r="AN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</row>
    <row r="497" spans="17:193" ht="12.75">
      <c r="Q497" s="5"/>
      <c r="R497" s="5"/>
      <c r="S497" s="5"/>
      <c r="T497" s="5"/>
      <c r="AK497" s="5"/>
      <c r="AL497" s="5"/>
      <c r="AM497" s="5"/>
      <c r="AN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</row>
    <row r="498" spans="17:193" ht="12.75">
      <c r="Q498" s="5"/>
      <c r="R498" s="5"/>
      <c r="S498" s="5"/>
      <c r="T498" s="5"/>
      <c r="AK498" s="5"/>
      <c r="AL498" s="5"/>
      <c r="AM498" s="5"/>
      <c r="AN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</row>
    <row r="499" spans="17:193" ht="12.75">
      <c r="Q499" s="5"/>
      <c r="R499" s="5"/>
      <c r="S499" s="5"/>
      <c r="T499" s="5"/>
      <c r="AK499" s="5"/>
      <c r="AL499" s="5"/>
      <c r="AM499" s="5"/>
      <c r="AN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</row>
    <row r="500" spans="17:193" ht="12.75">
      <c r="Q500" s="5"/>
      <c r="R500" s="5"/>
      <c r="S500" s="5"/>
      <c r="T500" s="5"/>
      <c r="AK500" s="5"/>
      <c r="AL500" s="5"/>
      <c r="AM500" s="5"/>
      <c r="AN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</row>
    <row r="501" spans="17:193" ht="12.75">
      <c r="Q501" s="5"/>
      <c r="R501" s="5"/>
      <c r="S501" s="5"/>
      <c r="T501" s="5"/>
      <c r="AK501" s="5"/>
      <c r="AL501" s="5"/>
      <c r="AM501" s="5"/>
      <c r="AN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</row>
    <row r="502" spans="17:193" ht="12.75">
      <c r="Q502" s="5"/>
      <c r="R502" s="5"/>
      <c r="S502" s="5"/>
      <c r="T502" s="5"/>
      <c r="AK502" s="5"/>
      <c r="AL502" s="5"/>
      <c r="AM502" s="5"/>
      <c r="AN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</row>
    <row r="503" spans="17:193" ht="12.75">
      <c r="Q503" s="5"/>
      <c r="R503" s="5"/>
      <c r="S503" s="5"/>
      <c r="T503" s="5"/>
      <c r="AK503" s="5"/>
      <c r="AL503" s="5"/>
      <c r="AM503" s="5"/>
      <c r="AN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</row>
    <row r="504" spans="17:193" ht="12.75">
      <c r="Q504" s="5"/>
      <c r="R504" s="5"/>
      <c r="S504" s="5"/>
      <c r="T504" s="5"/>
      <c r="AK504" s="5"/>
      <c r="AL504" s="5"/>
      <c r="AM504" s="5"/>
      <c r="AN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</row>
    <row r="505" spans="17:193" ht="12.75">
      <c r="Q505" s="5"/>
      <c r="R505" s="5"/>
      <c r="S505" s="5"/>
      <c r="T505" s="5"/>
      <c r="AK505" s="5"/>
      <c r="AL505" s="5"/>
      <c r="AM505" s="5"/>
      <c r="AN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</row>
    <row r="506" spans="17:193" ht="12.75">
      <c r="Q506" s="5"/>
      <c r="R506" s="5"/>
      <c r="S506" s="5"/>
      <c r="T506" s="5"/>
      <c r="AK506" s="5"/>
      <c r="AL506" s="5"/>
      <c r="AM506" s="5"/>
      <c r="AN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</row>
    <row r="507" spans="17:193" ht="12.75">
      <c r="Q507" s="5"/>
      <c r="R507" s="5"/>
      <c r="S507" s="5"/>
      <c r="T507" s="5"/>
      <c r="AK507" s="5"/>
      <c r="AL507" s="5"/>
      <c r="AM507" s="5"/>
      <c r="AN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</row>
    <row r="508" spans="17:193" ht="12.75">
      <c r="Q508" s="5"/>
      <c r="R508" s="5"/>
      <c r="S508" s="5"/>
      <c r="T508" s="5"/>
      <c r="AK508" s="5"/>
      <c r="AL508" s="5"/>
      <c r="AM508" s="5"/>
      <c r="AN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</row>
    <row r="509" spans="17:193" ht="12.75">
      <c r="Q509" s="5"/>
      <c r="R509" s="5"/>
      <c r="S509" s="5"/>
      <c r="T509" s="5"/>
      <c r="AK509" s="5"/>
      <c r="AL509" s="5"/>
      <c r="AM509" s="5"/>
      <c r="AN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</row>
    <row r="510" spans="17:193" ht="12.75">
      <c r="Q510" s="5"/>
      <c r="R510" s="5"/>
      <c r="S510" s="5"/>
      <c r="T510" s="5"/>
      <c r="AK510" s="5"/>
      <c r="AL510" s="5"/>
      <c r="AM510" s="5"/>
      <c r="AN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</row>
    <row r="511" spans="17:193" ht="12.75">
      <c r="Q511" s="5"/>
      <c r="R511" s="5"/>
      <c r="S511" s="5"/>
      <c r="T511" s="5"/>
      <c r="AK511" s="5"/>
      <c r="AL511" s="5"/>
      <c r="AM511" s="5"/>
      <c r="AN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</row>
    <row r="512" spans="17:193" ht="12.75">
      <c r="Q512" s="5"/>
      <c r="R512" s="5"/>
      <c r="S512" s="5"/>
      <c r="T512" s="5"/>
      <c r="AK512" s="5"/>
      <c r="AL512" s="5"/>
      <c r="AM512" s="5"/>
      <c r="AN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</row>
    <row r="513" spans="17:193" ht="12.75">
      <c r="Q513" s="5"/>
      <c r="R513" s="5"/>
      <c r="S513" s="5"/>
      <c r="T513" s="5"/>
      <c r="AK513" s="5"/>
      <c r="AL513" s="5"/>
      <c r="AM513" s="5"/>
      <c r="AN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</row>
    <row r="514" spans="17:193" ht="12.75">
      <c r="Q514" s="5"/>
      <c r="R514" s="5"/>
      <c r="S514" s="5"/>
      <c r="T514" s="5"/>
      <c r="AK514" s="5"/>
      <c r="AL514" s="5"/>
      <c r="AM514" s="5"/>
      <c r="AN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</row>
    <row r="515" spans="17:193" ht="12.75">
      <c r="Q515" s="5"/>
      <c r="R515" s="5"/>
      <c r="S515" s="5"/>
      <c r="T515" s="5"/>
      <c r="AK515" s="5"/>
      <c r="AL515" s="5"/>
      <c r="AM515" s="5"/>
      <c r="AN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</row>
    <row r="516" spans="17:193" ht="12.75">
      <c r="Q516" s="5"/>
      <c r="R516" s="5"/>
      <c r="S516" s="5"/>
      <c r="T516" s="5"/>
      <c r="AK516" s="5"/>
      <c r="AL516" s="5"/>
      <c r="AM516" s="5"/>
      <c r="AN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</row>
    <row r="517" spans="17:193" ht="12.75">
      <c r="Q517" s="5"/>
      <c r="R517" s="5"/>
      <c r="S517" s="5"/>
      <c r="T517" s="5"/>
      <c r="AK517" s="5"/>
      <c r="AL517" s="5"/>
      <c r="AM517" s="5"/>
      <c r="AN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</row>
    <row r="518" spans="17:193" ht="12.75">
      <c r="Q518" s="5"/>
      <c r="R518" s="5"/>
      <c r="S518" s="5"/>
      <c r="T518" s="5"/>
      <c r="AK518" s="5"/>
      <c r="AL518" s="5"/>
      <c r="AM518" s="5"/>
      <c r="AN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</row>
    <row r="519" spans="17:193" ht="12.75">
      <c r="Q519" s="5"/>
      <c r="R519" s="5"/>
      <c r="S519" s="5"/>
      <c r="T519" s="5"/>
      <c r="AK519" s="5"/>
      <c r="AL519" s="5"/>
      <c r="AM519" s="5"/>
      <c r="AN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</row>
    <row r="520" spans="17:193" ht="12.75">
      <c r="Q520" s="5"/>
      <c r="R520" s="5"/>
      <c r="S520" s="5"/>
      <c r="T520" s="5"/>
      <c r="AK520" s="5"/>
      <c r="AL520" s="5"/>
      <c r="AM520" s="5"/>
      <c r="AN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</row>
    <row r="521" spans="17:193" ht="12.75">
      <c r="Q521" s="5"/>
      <c r="R521" s="5"/>
      <c r="S521" s="5"/>
      <c r="T521" s="5"/>
      <c r="AK521" s="5"/>
      <c r="AL521" s="5"/>
      <c r="AM521" s="5"/>
      <c r="AN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</row>
    <row r="522" spans="17:193" ht="12.75">
      <c r="Q522" s="5"/>
      <c r="R522" s="5"/>
      <c r="S522" s="5"/>
      <c r="T522" s="5"/>
      <c r="AK522" s="5"/>
      <c r="AL522" s="5"/>
      <c r="AM522" s="5"/>
      <c r="AN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</row>
    <row r="523" spans="17:193" ht="12.75">
      <c r="Q523" s="5"/>
      <c r="R523" s="5"/>
      <c r="S523" s="5"/>
      <c r="T523" s="5"/>
      <c r="AK523" s="5"/>
      <c r="AL523" s="5"/>
      <c r="AM523" s="5"/>
      <c r="AN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</row>
    <row r="524" spans="17:193" ht="12.75">
      <c r="Q524" s="5"/>
      <c r="R524" s="5"/>
      <c r="S524" s="5"/>
      <c r="T524" s="5"/>
      <c r="AK524" s="5"/>
      <c r="AL524" s="5"/>
      <c r="AM524" s="5"/>
      <c r="AN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</row>
    <row r="525" spans="17:193" ht="12.75">
      <c r="Q525" s="5"/>
      <c r="R525" s="5"/>
      <c r="S525" s="5"/>
      <c r="T525" s="5"/>
      <c r="AK525" s="5"/>
      <c r="AL525" s="5"/>
      <c r="AM525" s="5"/>
      <c r="AN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</row>
    <row r="526" spans="17:193" ht="12.75">
      <c r="Q526" s="5"/>
      <c r="R526" s="5"/>
      <c r="S526" s="5"/>
      <c r="T526" s="5"/>
      <c r="AK526" s="5"/>
      <c r="AL526" s="5"/>
      <c r="AM526" s="5"/>
      <c r="AN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</row>
    <row r="527" spans="17:193" ht="12.75">
      <c r="Q527" s="5"/>
      <c r="R527" s="5"/>
      <c r="S527" s="5"/>
      <c r="T527" s="5"/>
      <c r="AK527" s="5"/>
      <c r="AL527" s="5"/>
      <c r="AM527" s="5"/>
      <c r="AN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</row>
    <row r="528" spans="17:193" ht="12.75">
      <c r="Q528" s="5"/>
      <c r="R528" s="5"/>
      <c r="S528" s="5"/>
      <c r="T528" s="5"/>
      <c r="AK528" s="5"/>
      <c r="AL528" s="5"/>
      <c r="AM528" s="5"/>
      <c r="AN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</row>
    <row r="529" spans="17:193" ht="12.75">
      <c r="Q529" s="5"/>
      <c r="R529" s="5"/>
      <c r="S529" s="5"/>
      <c r="T529" s="5"/>
      <c r="AK529" s="5"/>
      <c r="AL529" s="5"/>
      <c r="AM529" s="5"/>
      <c r="AN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</row>
    <row r="530" spans="17:193" ht="12.75">
      <c r="Q530" s="5"/>
      <c r="R530" s="5"/>
      <c r="S530" s="5"/>
      <c r="T530" s="5"/>
      <c r="AK530" s="5"/>
      <c r="AL530" s="5"/>
      <c r="AM530" s="5"/>
      <c r="AN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</row>
    <row r="531" spans="17:193" ht="12.75">
      <c r="Q531" s="5"/>
      <c r="R531" s="5"/>
      <c r="S531" s="5"/>
      <c r="T531" s="5"/>
      <c r="AK531" s="5"/>
      <c r="AL531" s="5"/>
      <c r="AM531" s="5"/>
      <c r="AN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</row>
    <row r="532" spans="17:193" ht="12.75">
      <c r="Q532" s="5"/>
      <c r="R532" s="5"/>
      <c r="S532" s="5"/>
      <c r="T532" s="5"/>
      <c r="AK532" s="5"/>
      <c r="AL532" s="5"/>
      <c r="AM532" s="5"/>
      <c r="AN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</row>
    <row r="533" spans="17:193" ht="12.75">
      <c r="Q533" s="5"/>
      <c r="R533" s="5"/>
      <c r="S533" s="5"/>
      <c r="T533" s="5"/>
      <c r="AK533" s="5"/>
      <c r="AL533" s="5"/>
      <c r="AM533" s="5"/>
      <c r="AN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</row>
    <row r="534" spans="17:193" ht="12.75">
      <c r="Q534" s="5"/>
      <c r="R534" s="5"/>
      <c r="S534" s="5"/>
      <c r="T534" s="5"/>
      <c r="AK534" s="5"/>
      <c r="AL534" s="5"/>
      <c r="AM534" s="5"/>
      <c r="AN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</row>
    <row r="535" spans="17:193" ht="12.75">
      <c r="Q535" s="5"/>
      <c r="R535" s="5"/>
      <c r="S535" s="5"/>
      <c r="T535" s="5"/>
      <c r="AK535" s="5"/>
      <c r="AL535" s="5"/>
      <c r="AM535" s="5"/>
      <c r="AN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</row>
    <row r="536" spans="17:193" ht="12.75">
      <c r="Q536" s="5"/>
      <c r="R536" s="5"/>
      <c r="S536" s="5"/>
      <c r="T536" s="5"/>
      <c r="AK536" s="5"/>
      <c r="AL536" s="5"/>
      <c r="AM536" s="5"/>
      <c r="AN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</row>
    <row r="537" spans="17:193" ht="12.75">
      <c r="Q537" s="5"/>
      <c r="R537" s="5"/>
      <c r="S537" s="5"/>
      <c r="T537" s="5"/>
      <c r="AK537" s="5"/>
      <c r="AL537" s="5"/>
      <c r="AM537" s="5"/>
      <c r="AN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</row>
    <row r="538" spans="17:193" ht="12.75">
      <c r="Q538" s="5"/>
      <c r="R538" s="5"/>
      <c r="S538" s="5"/>
      <c r="T538" s="5"/>
      <c r="AK538" s="5"/>
      <c r="AL538" s="5"/>
      <c r="AM538" s="5"/>
      <c r="AN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</row>
    <row r="539" spans="17:193" ht="12.75">
      <c r="Q539" s="5"/>
      <c r="R539" s="5"/>
      <c r="S539" s="5"/>
      <c r="T539" s="5"/>
      <c r="AK539" s="5"/>
      <c r="AL539" s="5"/>
      <c r="AM539" s="5"/>
      <c r="AN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</row>
    <row r="540" spans="17:193" ht="12.75">
      <c r="Q540" s="5"/>
      <c r="R540" s="5"/>
      <c r="S540" s="5"/>
      <c r="T540" s="5"/>
      <c r="AK540" s="5"/>
      <c r="AL540" s="5"/>
      <c r="AM540" s="5"/>
      <c r="AN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</row>
    <row r="541" spans="17:193" ht="12.75">
      <c r="Q541" s="5"/>
      <c r="R541" s="5"/>
      <c r="S541" s="5"/>
      <c r="T541" s="5"/>
      <c r="AK541" s="5"/>
      <c r="AL541" s="5"/>
      <c r="AM541" s="5"/>
      <c r="AN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</row>
    <row r="542" spans="17:193" ht="12.75">
      <c r="Q542" s="5"/>
      <c r="R542" s="5"/>
      <c r="S542" s="5"/>
      <c r="T542" s="5"/>
      <c r="AK542" s="5"/>
      <c r="AL542" s="5"/>
      <c r="AM542" s="5"/>
      <c r="AN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</row>
    <row r="543" spans="17:193" ht="12.75">
      <c r="Q543" s="5"/>
      <c r="R543" s="5"/>
      <c r="S543" s="5"/>
      <c r="T543" s="5"/>
      <c r="AK543" s="5"/>
      <c r="AL543" s="5"/>
      <c r="AM543" s="5"/>
      <c r="AN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</row>
    <row r="544" spans="17:193" ht="12.75">
      <c r="Q544" s="5"/>
      <c r="R544" s="5"/>
      <c r="S544" s="5"/>
      <c r="T544" s="5"/>
      <c r="AK544" s="5"/>
      <c r="AL544" s="5"/>
      <c r="AM544" s="5"/>
      <c r="AN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</row>
    <row r="545" spans="17:193" ht="12.75">
      <c r="Q545" s="5"/>
      <c r="R545" s="5"/>
      <c r="S545" s="5"/>
      <c r="T545" s="5"/>
      <c r="AK545" s="5"/>
      <c r="AL545" s="5"/>
      <c r="AM545" s="5"/>
      <c r="AN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</row>
    <row r="546" spans="17:193" ht="12.75">
      <c r="Q546" s="5"/>
      <c r="R546" s="5"/>
      <c r="S546" s="5"/>
      <c r="T546" s="5"/>
      <c r="AK546" s="5"/>
      <c r="AL546" s="5"/>
      <c r="AM546" s="5"/>
      <c r="AN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</row>
    <row r="547" spans="17:193" ht="12.75">
      <c r="Q547" s="5"/>
      <c r="R547" s="5"/>
      <c r="S547" s="5"/>
      <c r="T547" s="5"/>
      <c r="AK547" s="5"/>
      <c r="AL547" s="5"/>
      <c r="AM547" s="5"/>
      <c r="AN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</row>
    <row r="548" spans="17:193" ht="12.75">
      <c r="Q548" s="5"/>
      <c r="R548" s="5"/>
      <c r="S548" s="5"/>
      <c r="T548" s="5"/>
      <c r="AK548" s="5"/>
      <c r="AL548" s="5"/>
      <c r="AM548" s="5"/>
      <c r="AN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</row>
    <row r="549" spans="17:193" ht="12.75">
      <c r="Q549" s="5"/>
      <c r="R549" s="5"/>
      <c r="S549" s="5"/>
      <c r="T549" s="5"/>
      <c r="AK549" s="5"/>
      <c r="AL549" s="5"/>
      <c r="AM549" s="5"/>
      <c r="AN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</row>
    <row r="550" spans="17:193" ht="12.75">
      <c r="Q550" s="5"/>
      <c r="R550" s="5"/>
      <c r="S550" s="5"/>
      <c r="T550" s="5"/>
      <c r="AK550" s="5"/>
      <c r="AL550" s="5"/>
      <c r="AM550" s="5"/>
      <c r="AN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</row>
    <row r="551" spans="17:193" ht="12.75">
      <c r="Q551" s="5"/>
      <c r="R551" s="5"/>
      <c r="S551" s="5"/>
      <c r="T551" s="5"/>
      <c r="AK551" s="5"/>
      <c r="AL551" s="5"/>
      <c r="AM551" s="5"/>
      <c r="AN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</row>
    <row r="552" spans="17:193" ht="12.75">
      <c r="Q552" s="5"/>
      <c r="R552" s="5"/>
      <c r="S552" s="5"/>
      <c r="T552" s="5"/>
      <c r="AK552" s="5"/>
      <c r="AL552" s="5"/>
      <c r="AM552" s="5"/>
      <c r="AN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</row>
    <row r="553" spans="17:193" ht="12.75">
      <c r="Q553" s="5"/>
      <c r="R553" s="5"/>
      <c r="S553" s="5"/>
      <c r="T553" s="5"/>
      <c r="AK553" s="5"/>
      <c r="AL553" s="5"/>
      <c r="AM553" s="5"/>
      <c r="AN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</row>
    <row r="554" spans="17:193" ht="12.75">
      <c r="Q554" s="5"/>
      <c r="R554" s="5"/>
      <c r="S554" s="5"/>
      <c r="T554" s="5"/>
      <c r="AK554" s="5"/>
      <c r="AL554" s="5"/>
      <c r="AM554" s="5"/>
      <c r="AN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</row>
    <row r="555" spans="17:193" ht="12.75">
      <c r="Q555" s="5"/>
      <c r="R555" s="5"/>
      <c r="S555" s="5"/>
      <c r="T555" s="5"/>
      <c r="AK555" s="5"/>
      <c r="AL555" s="5"/>
      <c r="AM555" s="5"/>
      <c r="AN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</row>
    <row r="556" spans="17:193" ht="12.75">
      <c r="Q556" s="5"/>
      <c r="R556" s="5"/>
      <c r="S556" s="5"/>
      <c r="T556" s="5"/>
      <c r="AK556" s="5"/>
      <c r="AL556" s="5"/>
      <c r="AM556" s="5"/>
      <c r="AN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</row>
    <row r="557" spans="17:193" ht="12.75">
      <c r="Q557" s="5"/>
      <c r="R557" s="5"/>
      <c r="S557" s="5"/>
      <c r="T557" s="5"/>
      <c r="AK557" s="5"/>
      <c r="AL557" s="5"/>
      <c r="AM557" s="5"/>
      <c r="AN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</row>
    <row r="558" spans="17:193" ht="12.75">
      <c r="Q558" s="5"/>
      <c r="R558" s="5"/>
      <c r="S558" s="5"/>
      <c r="T558" s="5"/>
      <c r="AK558" s="5"/>
      <c r="AL558" s="5"/>
      <c r="AM558" s="5"/>
      <c r="AN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</row>
    <row r="559" spans="17:193" ht="12.75">
      <c r="Q559" s="5"/>
      <c r="R559" s="5"/>
      <c r="S559" s="5"/>
      <c r="T559" s="5"/>
      <c r="AK559" s="5"/>
      <c r="AL559" s="5"/>
      <c r="AM559" s="5"/>
      <c r="AN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</row>
  </sheetData>
  <sheetProtection/>
  <printOptions/>
  <pageMargins left="0.5" right="0" top="0.25" bottom="0.5" header="0.5" footer="0.25"/>
  <pageSetup horizontalDpi="600" verticalDpi="600" orientation="landscape" scale="90" r:id="rId1"/>
  <headerFooter alignWithMargins="0">
    <oddFooter>&amp;CPage &amp;P of &amp;N&amp;R&amp;D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Z69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1" sqref="M11"/>
    </sheetView>
  </sheetViews>
  <sheetFormatPr defaultColWidth="8.7109375" defaultRowHeight="12.75"/>
  <cols>
    <col min="1" max="1" width="9.7109375" style="40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hidden="1" customWidth="1"/>
    <col min="12" max="12" width="3.7109375" style="5" hidden="1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2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2.7109375" style="5" customWidth="1"/>
    <col min="132" max="132" width="3.7109375" style="5" customWidth="1"/>
    <col min="133" max="136" width="13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0" customWidth="1"/>
    <col min="147" max="147" width="3.7109375" style="0" customWidth="1"/>
    <col min="148" max="150" width="13.7109375" style="0" customWidth="1"/>
    <col min="151" max="151" width="13.140625" style="0" customWidth="1"/>
  </cols>
  <sheetData>
    <row r="1" spans="1:148" ht="12.75">
      <c r="A1" s="1"/>
      <c r="B1" s="2"/>
      <c r="C1" s="4"/>
      <c r="D1" s="4"/>
      <c r="H1" s="4" t="s">
        <v>136</v>
      </c>
      <c r="R1" s="4"/>
      <c r="W1" s="4" t="s">
        <v>0</v>
      </c>
      <c r="AQ1" s="4" t="s">
        <v>0</v>
      </c>
      <c r="BU1" s="4" t="s">
        <v>0</v>
      </c>
      <c r="CE1" s="4"/>
      <c r="CT1" s="4" t="s">
        <v>0</v>
      </c>
      <c r="DI1" s="4" t="s">
        <v>0</v>
      </c>
      <c r="EC1" s="4" t="s">
        <v>0</v>
      </c>
      <c r="EM1" s="4"/>
      <c r="ER1" s="4"/>
    </row>
    <row r="2" spans="1:148" ht="12.75">
      <c r="A2" s="1"/>
      <c r="B2" s="2"/>
      <c r="C2" s="4"/>
      <c r="D2" s="4"/>
      <c r="H2" s="4" t="s">
        <v>135</v>
      </c>
      <c r="R2" s="4"/>
      <c r="W2" s="4" t="s">
        <v>1</v>
      </c>
      <c r="AQ2" s="4" t="s">
        <v>1</v>
      </c>
      <c r="BU2" s="4" t="s">
        <v>1</v>
      </c>
      <c r="CE2" s="4"/>
      <c r="CT2" s="4" t="s">
        <v>1</v>
      </c>
      <c r="DI2" s="4" t="s">
        <v>1</v>
      </c>
      <c r="EC2" s="4" t="s">
        <v>1</v>
      </c>
      <c r="EM2" s="4"/>
      <c r="ER2" s="4"/>
    </row>
    <row r="3" spans="1:148" ht="12.75">
      <c r="A3" s="1"/>
      <c r="B3" s="2"/>
      <c r="C3" s="7"/>
      <c r="D3" s="7"/>
      <c r="H3" s="4" t="s">
        <v>134</v>
      </c>
      <c r="R3" s="4"/>
      <c r="W3" s="4" t="s">
        <v>2</v>
      </c>
      <c r="AQ3" s="4" t="s">
        <v>2</v>
      </c>
      <c r="BU3" s="4" t="s">
        <v>2</v>
      </c>
      <c r="CE3" s="4"/>
      <c r="CT3" s="4" t="s">
        <v>2</v>
      </c>
      <c r="DI3" s="4" t="s">
        <v>2</v>
      </c>
      <c r="EC3" s="4" t="s">
        <v>2</v>
      </c>
      <c r="EM3" s="4"/>
      <c r="ER3" s="4"/>
    </row>
    <row r="4" spans="1:4" ht="12.75">
      <c r="A4" s="1"/>
      <c r="B4" s="2"/>
      <c r="C4" s="4"/>
      <c r="D4" s="4"/>
    </row>
    <row r="5" spans="1:151" ht="12.75">
      <c r="A5" s="9" t="s">
        <v>3</v>
      </c>
      <c r="C5" s="10" t="str">
        <f>'2010(A&amp;B)'!B5</f>
        <v>      Total Debt Service - 2010 Series A &amp; B</v>
      </c>
      <c r="D5" s="11"/>
      <c r="E5" s="12"/>
      <c r="F5" s="12"/>
      <c r="H5" s="13" t="s">
        <v>133</v>
      </c>
      <c r="I5" s="16"/>
      <c r="J5" s="15"/>
      <c r="K5" s="12"/>
      <c r="M5" s="43" t="s">
        <v>32</v>
      </c>
      <c r="N5" s="14"/>
      <c r="O5" s="15"/>
      <c r="P5" s="12"/>
      <c r="R5" s="43" t="s">
        <v>33</v>
      </c>
      <c r="S5" s="14"/>
      <c r="T5" s="15"/>
      <c r="U5" s="12"/>
      <c r="W5" s="43" t="s">
        <v>34</v>
      </c>
      <c r="X5" s="14"/>
      <c r="Y5" s="15"/>
      <c r="Z5" s="12"/>
      <c r="AB5" s="78" t="s">
        <v>158</v>
      </c>
      <c r="AC5" s="14"/>
      <c r="AD5" s="15"/>
      <c r="AE5" s="79"/>
      <c r="AG5" s="43" t="s">
        <v>35</v>
      </c>
      <c r="AH5" s="14"/>
      <c r="AI5" s="15"/>
      <c r="AJ5" s="12"/>
      <c r="AL5" s="43" t="s">
        <v>36</v>
      </c>
      <c r="AM5" s="14"/>
      <c r="AN5" s="15"/>
      <c r="AO5" s="12"/>
      <c r="AQ5" s="43" t="s">
        <v>37</v>
      </c>
      <c r="AR5" s="14"/>
      <c r="AS5" s="15"/>
      <c r="AT5" s="12"/>
      <c r="AV5" s="43" t="s">
        <v>137</v>
      </c>
      <c r="AW5" s="14"/>
      <c r="AX5" s="15"/>
      <c r="AY5" s="12"/>
      <c r="BA5" s="43" t="s">
        <v>38</v>
      </c>
      <c r="BB5" s="14"/>
      <c r="BC5" s="15"/>
      <c r="BD5" s="12"/>
      <c r="BF5" s="43" t="s">
        <v>139</v>
      </c>
      <c r="BG5" s="14"/>
      <c r="BH5" s="15"/>
      <c r="BI5" s="12"/>
      <c r="BK5" s="13" t="s">
        <v>39</v>
      </c>
      <c r="BL5" s="14"/>
      <c r="BM5" s="15"/>
      <c r="BN5" s="12"/>
      <c r="BP5" s="78" t="s">
        <v>159</v>
      </c>
      <c r="BQ5" s="14"/>
      <c r="BR5" s="15"/>
      <c r="BS5" s="79"/>
      <c r="BU5" s="13" t="s">
        <v>140</v>
      </c>
      <c r="BV5" s="14"/>
      <c r="BW5" s="15"/>
      <c r="BX5" s="12"/>
      <c r="BZ5" s="13" t="s">
        <v>141</v>
      </c>
      <c r="CA5" s="14"/>
      <c r="CB5" s="15"/>
      <c r="CC5" s="12"/>
      <c r="CE5" s="43" t="s">
        <v>40</v>
      </c>
      <c r="CF5" s="14"/>
      <c r="CG5" s="15"/>
      <c r="CH5" s="12"/>
      <c r="CJ5" s="13" t="s">
        <v>41</v>
      </c>
      <c r="CK5" s="16"/>
      <c r="CL5" s="15"/>
      <c r="CM5" s="12"/>
      <c r="CO5" s="13" t="s">
        <v>142</v>
      </c>
      <c r="CP5" s="16"/>
      <c r="CQ5" s="15"/>
      <c r="CR5" s="12"/>
      <c r="CT5" s="43" t="s">
        <v>42</v>
      </c>
      <c r="CU5" s="16"/>
      <c r="CV5" s="15"/>
      <c r="CW5" s="12"/>
      <c r="CY5" s="43" t="s">
        <v>43</v>
      </c>
      <c r="CZ5" s="16"/>
      <c r="DA5" s="15"/>
      <c r="DB5" s="12"/>
      <c r="DD5" s="43" t="s">
        <v>44</v>
      </c>
      <c r="DE5" s="16"/>
      <c r="DF5" s="15"/>
      <c r="DG5" s="12"/>
      <c r="DH5" s="46"/>
      <c r="DI5" s="43" t="s">
        <v>45</v>
      </c>
      <c r="DJ5" s="16"/>
      <c r="DK5" s="15"/>
      <c r="DL5" s="12"/>
      <c r="DM5" s="47"/>
      <c r="DN5" s="43" t="s">
        <v>46</v>
      </c>
      <c r="DO5" s="16"/>
      <c r="DP5" s="15"/>
      <c r="DQ5" s="12"/>
      <c r="DR5" s="47"/>
      <c r="DS5" s="43" t="s">
        <v>143</v>
      </c>
      <c r="DT5" s="16"/>
      <c r="DU5" s="15"/>
      <c r="DV5" s="12"/>
      <c r="DW5" s="47"/>
      <c r="DX5" s="13" t="s">
        <v>47</v>
      </c>
      <c r="DY5" s="16"/>
      <c r="DZ5" s="15"/>
      <c r="EA5" s="12"/>
      <c r="EB5" s="47"/>
      <c r="EC5" s="13" t="s">
        <v>48</v>
      </c>
      <c r="ED5" s="16"/>
      <c r="EE5" s="15"/>
      <c r="EF5" s="12"/>
      <c r="EG5" s="47"/>
      <c r="EH5" s="13" t="s">
        <v>144</v>
      </c>
      <c r="EI5" s="16"/>
      <c r="EJ5" s="15"/>
      <c r="EK5" s="12"/>
      <c r="EL5" s="47"/>
      <c r="EM5" s="13" t="s">
        <v>49</v>
      </c>
      <c r="EN5" s="16"/>
      <c r="EO5" s="15"/>
      <c r="EP5" s="12"/>
      <c r="ER5" s="13" t="s">
        <v>145</v>
      </c>
      <c r="ES5" s="16"/>
      <c r="ET5" s="15"/>
      <c r="EU5" s="12"/>
    </row>
    <row r="6" spans="1:156" ht="12.75">
      <c r="A6" s="22" t="s">
        <v>28</v>
      </c>
      <c r="B6" s="8"/>
      <c r="C6" s="44"/>
      <c r="D6" s="45" t="str">
        <f>'2010(A&amp;B)'!C6</f>
        <v>After 2019 C 2010A &amp; 2010B Bonds</v>
      </c>
      <c r="E6" s="15"/>
      <c r="F6" s="77" t="s">
        <v>156</v>
      </c>
      <c r="H6" s="23"/>
      <c r="I6" s="24">
        <f>N6+S6+AC6+AH6+AW6+BB6+BL6+BV6+CK6+DE6+DY6+ED6+X6+AM6+AR6+CU6+CZ6+DJ6+DO6+EN6</f>
        <v>0.14414290000000002</v>
      </c>
      <c r="J6" s="25">
        <f>O6+T6+Y6+AD6+AI6+AX6+BC6+BH6+BM6+BW6+CL6+CQ6+DF6+DZ6+EE6+AN6+AS6+CB6+CV6+DA6+DK6+DP6+EO6+CG6+DU6+EJ6+ET6</f>
        <v>0.14317110300000002</v>
      </c>
      <c r="K6" s="77" t="s">
        <v>156</v>
      </c>
      <c r="M6" s="48"/>
      <c r="N6" s="8">
        <v>0.022072</v>
      </c>
      <c r="O6" s="25">
        <v>0.0331161</v>
      </c>
      <c r="P6" s="77" t="s">
        <v>156</v>
      </c>
      <c r="R6" s="48"/>
      <c r="S6" s="8">
        <v>0.003547</v>
      </c>
      <c r="T6" s="25">
        <v>0.0035188</v>
      </c>
      <c r="U6" s="77" t="s">
        <v>156</v>
      </c>
      <c r="W6" s="48"/>
      <c r="X6" s="8">
        <v>0.0003287</v>
      </c>
      <c r="Y6" s="25">
        <v>0.0012052</v>
      </c>
      <c r="Z6" s="77" t="s">
        <v>156</v>
      </c>
      <c r="AB6" s="48"/>
      <c r="AC6" s="8"/>
      <c r="AD6" s="25">
        <v>0.000692303</v>
      </c>
      <c r="AE6" s="77" t="s">
        <v>156</v>
      </c>
      <c r="AG6" s="48"/>
      <c r="AH6" s="8">
        <v>0.000666</v>
      </c>
      <c r="AI6" s="25">
        <v>0.0053396</v>
      </c>
      <c r="AJ6" s="77" t="s">
        <v>156</v>
      </c>
      <c r="AL6" s="48"/>
      <c r="AM6" s="8">
        <v>0.0555271</v>
      </c>
      <c r="AN6" s="25">
        <v>0.0326129</v>
      </c>
      <c r="AO6" s="77" t="s">
        <v>156</v>
      </c>
      <c r="AQ6" s="48"/>
      <c r="AR6" s="8">
        <v>0.0005499</v>
      </c>
      <c r="AS6" s="25">
        <v>0.0015564</v>
      </c>
      <c r="AT6" s="77" t="s">
        <v>156</v>
      </c>
      <c r="AV6" s="48"/>
      <c r="AW6" s="8">
        <v>0</v>
      </c>
      <c r="AX6" s="25">
        <v>0.0025266</v>
      </c>
      <c r="AY6" s="77" t="s">
        <v>156</v>
      </c>
      <c r="BA6" s="48"/>
      <c r="BB6" s="8">
        <v>0.0034184</v>
      </c>
      <c r="BC6" s="25">
        <v>0.0062159</v>
      </c>
      <c r="BD6" s="77" t="s">
        <v>156</v>
      </c>
      <c r="BF6" s="48"/>
      <c r="BG6" s="8">
        <v>0</v>
      </c>
      <c r="BH6" s="25">
        <v>0.0002986</v>
      </c>
      <c r="BI6" s="77" t="s">
        <v>156</v>
      </c>
      <c r="BK6" s="48"/>
      <c r="BL6" s="8">
        <v>0.0005986</v>
      </c>
      <c r="BM6" s="25">
        <v>0.0031881</v>
      </c>
      <c r="BN6" s="77" t="s">
        <v>156</v>
      </c>
      <c r="BP6" s="48"/>
      <c r="BQ6" s="8"/>
      <c r="BR6" s="25">
        <v>0.00014179700000000004</v>
      </c>
      <c r="BS6" s="77" t="s">
        <v>156</v>
      </c>
      <c r="BU6" s="48"/>
      <c r="BV6" s="8">
        <v>0.0002762</v>
      </c>
      <c r="BW6" s="25">
        <v>9.51E-05</v>
      </c>
      <c r="BX6" s="77" t="s">
        <v>156</v>
      </c>
      <c r="BZ6" s="48"/>
      <c r="CA6" s="8">
        <v>0</v>
      </c>
      <c r="CB6" s="25">
        <v>0.0001589</v>
      </c>
      <c r="CC6" s="77" t="s">
        <v>156</v>
      </c>
      <c r="CE6" s="48"/>
      <c r="CF6" s="8">
        <v>0</v>
      </c>
      <c r="CG6" s="25">
        <v>0.0030315</v>
      </c>
      <c r="CH6" s="77" t="s">
        <v>156</v>
      </c>
      <c r="CJ6" s="48"/>
      <c r="CK6" s="24">
        <v>0.0001864</v>
      </c>
      <c r="CL6" s="25">
        <v>0.0024469</v>
      </c>
      <c r="CM6" s="77" t="s">
        <v>156</v>
      </c>
      <c r="CO6" s="48"/>
      <c r="CP6" s="24">
        <v>0</v>
      </c>
      <c r="CQ6" s="25">
        <v>0.0004437</v>
      </c>
      <c r="CR6" s="77" t="s">
        <v>156</v>
      </c>
      <c r="CT6" s="48"/>
      <c r="CU6" s="24">
        <v>0.000159</v>
      </c>
      <c r="CV6" s="25">
        <v>0.0001785</v>
      </c>
      <c r="CW6" s="77" t="s">
        <v>156</v>
      </c>
      <c r="CY6" s="48"/>
      <c r="CZ6" s="24">
        <v>0.0010773</v>
      </c>
      <c r="DA6" s="25">
        <v>0.0014359</v>
      </c>
      <c r="DB6" s="77" t="s">
        <v>156</v>
      </c>
      <c r="DD6" s="48"/>
      <c r="DE6" s="24">
        <v>0.021679</v>
      </c>
      <c r="DF6" s="25">
        <v>0.0182286</v>
      </c>
      <c r="DG6" s="77" t="s">
        <v>156</v>
      </c>
      <c r="DH6" s="46"/>
      <c r="DI6" s="48"/>
      <c r="DJ6" s="24">
        <v>0.0009203</v>
      </c>
      <c r="DK6" s="25">
        <v>0.0015272</v>
      </c>
      <c r="DL6" s="77" t="s">
        <v>156</v>
      </c>
      <c r="DM6" s="47"/>
      <c r="DN6" s="48"/>
      <c r="DO6" s="24">
        <v>0.0015257</v>
      </c>
      <c r="DP6" s="25">
        <v>0.0005991</v>
      </c>
      <c r="DQ6" s="77" t="s">
        <v>156</v>
      </c>
      <c r="DR6" s="47"/>
      <c r="DS6" s="48"/>
      <c r="DT6" s="24">
        <v>0</v>
      </c>
      <c r="DU6" s="25">
        <v>0.0004914</v>
      </c>
      <c r="DV6" s="77" t="s">
        <v>156</v>
      </c>
      <c r="DW6" s="47"/>
      <c r="DX6" s="48"/>
      <c r="DY6" s="24">
        <v>0.0012825</v>
      </c>
      <c r="DZ6" s="25">
        <v>0.0044851</v>
      </c>
      <c r="EA6" s="77" t="s">
        <v>156</v>
      </c>
      <c r="EB6" s="47"/>
      <c r="EC6" s="48"/>
      <c r="ED6" s="24">
        <v>0.0268066</v>
      </c>
      <c r="EE6" s="25">
        <v>0.0129373</v>
      </c>
      <c r="EF6" s="77" t="s">
        <v>156</v>
      </c>
      <c r="EG6" s="37"/>
      <c r="EH6" s="48"/>
      <c r="EI6" s="24">
        <v>0</v>
      </c>
      <c r="EJ6" s="25">
        <v>0.0001326</v>
      </c>
      <c r="EK6" s="77" t="s">
        <v>156</v>
      </c>
      <c r="EL6" s="37"/>
      <c r="EM6" s="48"/>
      <c r="EN6" s="24">
        <v>0.0035222</v>
      </c>
      <c r="EO6" s="25">
        <v>0.0062666</v>
      </c>
      <c r="EP6" s="77" t="s">
        <v>156</v>
      </c>
      <c r="EQ6" s="8"/>
      <c r="ER6" s="48"/>
      <c r="ES6" s="24">
        <v>0</v>
      </c>
      <c r="ET6" s="25">
        <v>0.0004422</v>
      </c>
      <c r="EU6" s="77" t="s">
        <v>156</v>
      </c>
      <c r="EV6" s="8"/>
      <c r="EW6" s="8"/>
      <c r="EX6" s="8"/>
      <c r="EY6" s="8"/>
      <c r="EZ6" s="8"/>
    </row>
    <row r="7" spans="1:151" ht="12.75">
      <c r="A7" s="31"/>
      <c r="C7" s="32" t="s">
        <v>29</v>
      </c>
      <c r="D7" s="32" t="s">
        <v>30</v>
      </c>
      <c r="E7" s="32" t="s">
        <v>31</v>
      </c>
      <c r="F7" s="32" t="s">
        <v>157</v>
      </c>
      <c r="H7" s="32" t="s">
        <v>29</v>
      </c>
      <c r="I7" s="32" t="s">
        <v>30</v>
      </c>
      <c r="J7" s="32" t="s">
        <v>31</v>
      </c>
      <c r="K7" s="32" t="s">
        <v>157</v>
      </c>
      <c r="M7" s="32" t="s">
        <v>29</v>
      </c>
      <c r="N7" s="32" t="s">
        <v>30</v>
      </c>
      <c r="O7" s="32" t="s">
        <v>31</v>
      </c>
      <c r="P7" s="32" t="s">
        <v>157</v>
      </c>
      <c r="R7" s="32" t="s">
        <v>29</v>
      </c>
      <c r="S7" s="32" t="s">
        <v>30</v>
      </c>
      <c r="T7" s="32" t="s">
        <v>31</v>
      </c>
      <c r="U7" s="32" t="s">
        <v>157</v>
      </c>
      <c r="W7" s="32" t="s">
        <v>29</v>
      </c>
      <c r="X7" s="32" t="s">
        <v>30</v>
      </c>
      <c r="Y7" s="32" t="s">
        <v>31</v>
      </c>
      <c r="Z7" s="32" t="s">
        <v>157</v>
      </c>
      <c r="AB7" s="32" t="s">
        <v>29</v>
      </c>
      <c r="AC7" s="32" t="s">
        <v>30</v>
      </c>
      <c r="AD7" s="32" t="s">
        <v>31</v>
      </c>
      <c r="AE7" s="32" t="s">
        <v>157</v>
      </c>
      <c r="AG7" s="32" t="s">
        <v>29</v>
      </c>
      <c r="AH7" s="32" t="s">
        <v>30</v>
      </c>
      <c r="AI7" s="32" t="s">
        <v>31</v>
      </c>
      <c r="AJ7" s="32" t="s">
        <v>157</v>
      </c>
      <c r="AL7" s="32" t="s">
        <v>29</v>
      </c>
      <c r="AM7" s="32" t="s">
        <v>30</v>
      </c>
      <c r="AN7" s="32" t="s">
        <v>31</v>
      </c>
      <c r="AO7" s="32" t="s">
        <v>157</v>
      </c>
      <c r="AQ7" s="32" t="s">
        <v>29</v>
      </c>
      <c r="AR7" s="32" t="s">
        <v>30</v>
      </c>
      <c r="AS7" s="32" t="s">
        <v>31</v>
      </c>
      <c r="AT7" s="32" t="s">
        <v>157</v>
      </c>
      <c r="AV7" s="32" t="s">
        <v>29</v>
      </c>
      <c r="AW7" s="32" t="s">
        <v>30</v>
      </c>
      <c r="AX7" s="32" t="s">
        <v>31</v>
      </c>
      <c r="AY7" s="32" t="s">
        <v>157</v>
      </c>
      <c r="BA7" s="32" t="s">
        <v>29</v>
      </c>
      <c r="BB7" s="32" t="s">
        <v>30</v>
      </c>
      <c r="BC7" s="32" t="s">
        <v>31</v>
      </c>
      <c r="BD7" s="32" t="s">
        <v>157</v>
      </c>
      <c r="BF7" s="32" t="s">
        <v>29</v>
      </c>
      <c r="BG7" s="32" t="s">
        <v>30</v>
      </c>
      <c r="BH7" s="32" t="s">
        <v>31</v>
      </c>
      <c r="BI7" s="32" t="s">
        <v>157</v>
      </c>
      <c r="BK7" s="32" t="s">
        <v>29</v>
      </c>
      <c r="BL7" s="32" t="s">
        <v>30</v>
      </c>
      <c r="BM7" s="32" t="s">
        <v>31</v>
      </c>
      <c r="BN7" s="32" t="s">
        <v>157</v>
      </c>
      <c r="BP7" s="32" t="s">
        <v>29</v>
      </c>
      <c r="BQ7" s="32" t="s">
        <v>30</v>
      </c>
      <c r="BR7" s="32" t="s">
        <v>31</v>
      </c>
      <c r="BS7" s="32" t="s">
        <v>157</v>
      </c>
      <c r="BU7" s="32" t="s">
        <v>29</v>
      </c>
      <c r="BV7" s="32" t="s">
        <v>30</v>
      </c>
      <c r="BW7" s="32" t="s">
        <v>31</v>
      </c>
      <c r="BX7" s="32" t="s">
        <v>157</v>
      </c>
      <c r="BZ7" s="32" t="s">
        <v>29</v>
      </c>
      <c r="CA7" s="32" t="s">
        <v>30</v>
      </c>
      <c r="CB7" s="32" t="s">
        <v>31</v>
      </c>
      <c r="CC7" s="32" t="s">
        <v>157</v>
      </c>
      <c r="CE7" s="32" t="s">
        <v>29</v>
      </c>
      <c r="CF7" s="32" t="s">
        <v>30</v>
      </c>
      <c r="CG7" s="32" t="s">
        <v>31</v>
      </c>
      <c r="CH7" s="32" t="s">
        <v>157</v>
      </c>
      <c r="CJ7" s="32" t="s">
        <v>29</v>
      </c>
      <c r="CK7" s="32" t="s">
        <v>30</v>
      </c>
      <c r="CL7" s="32" t="s">
        <v>31</v>
      </c>
      <c r="CM7" s="32" t="s">
        <v>157</v>
      </c>
      <c r="CO7" s="32" t="s">
        <v>29</v>
      </c>
      <c r="CP7" s="32" t="s">
        <v>30</v>
      </c>
      <c r="CQ7" s="32" t="s">
        <v>31</v>
      </c>
      <c r="CR7" s="32" t="s">
        <v>157</v>
      </c>
      <c r="CT7" s="32" t="s">
        <v>29</v>
      </c>
      <c r="CU7" s="32" t="s">
        <v>30</v>
      </c>
      <c r="CV7" s="32" t="s">
        <v>31</v>
      </c>
      <c r="CW7" s="32" t="s">
        <v>157</v>
      </c>
      <c r="CY7" s="32" t="s">
        <v>29</v>
      </c>
      <c r="CZ7" s="32" t="s">
        <v>30</v>
      </c>
      <c r="DA7" s="32" t="s">
        <v>31</v>
      </c>
      <c r="DB7" s="32" t="s">
        <v>157</v>
      </c>
      <c r="DD7" s="32" t="s">
        <v>29</v>
      </c>
      <c r="DE7" s="32" t="s">
        <v>30</v>
      </c>
      <c r="DF7" s="32" t="s">
        <v>31</v>
      </c>
      <c r="DG7" s="32" t="s">
        <v>157</v>
      </c>
      <c r="DH7" s="49"/>
      <c r="DI7" s="32" t="s">
        <v>29</v>
      </c>
      <c r="DJ7" s="32" t="s">
        <v>30</v>
      </c>
      <c r="DK7" s="32" t="s">
        <v>31</v>
      </c>
      <c r="DL7" s="32" t="s">
        <v>157</v>
      </c>
      <c r="DM7" s="49"/>
      <c r="DN7" s="32" t="s">
        <v>29</v>
      </c>
      <c r="DO7" s="32" t="s">
        <v>30</v>
      </c>
      <c r="DP7" s="32" t="s">
        <v>31</v>
      </c>
      <c r="DQ7" s="32" t="s">
        <v>157</v>
      </c>
      <c r="DR7" s="49"/>
      <c r="DS7" s="32" t="s">
        <v>29</v>
      </c>
      <c r="DT7" s="32" t="s">
        <v>30</v>
      </c>
      <c r="DU7" s="32" t="s">
        <v>31</v>
      </c>
      <c r="DV7" s="32" t="s">
        <v>157</v>
      </c>
      <c r="DW7" s="49"/>
      <c r="DX7" s="32" t="s">
        <v>29</v>
      </c>
      <c r="DY7" s="32" t="s">
        <v>30</v>
      </c>
      <c r="DZ7" s="32" t="s">
        <v>31</v>
      </c>
      <c r="EA7" s="32" t="s">
        <v>157</v>
      </c>
      <c r="EB7" s="49"/>
      <c r="EC7" s="32" t="s">
        <v>29</v>
      </c>
      <c r="ED7" s="32" t="s">
        <v>30</v>
      </c>
      <c r="EE7" s="32" t="s">
        <v>31</v>
      </c>
      <c r="EF7" s="32" t="s">
        <v>157</v>
      </c>
      <c r="EG7" s="49"/>
      <c r="EH7" s="32" t="s">
        <v>29</v>
      </c>
      <c r="EI7" s="32" t="s">
        <v>30</v>
      </c>
      <c r="EJ7" s="32" t="s">
        <v>31</v>
      </c>
      <c r="EK7" s="32" t="s">
        <v>157</v>
      </c>
      <c r="EL7" s="49"/>
      <c r="EM7" s="32" t="s">
        <v>29</v>
      </c>
      <c r="EN7" s="32" t="s">
        <v>30</v>
      </c>
      <c r="EO7" s="32" t="s">
        <v>31</v>
      </c>
      <c r="EP7" s="32" t="s">
        <v>157</v>
      </c>
      <c r="ER7" s="32" t="s">
        <v>29</v>
      </c>
      <c r="ES7" s="32" t="s">
        <v>30</v>
      </c>
      <c r="ET7" s="32" t="s">
        <v>31</v>
      </c>
      <c r="EU7" s="32" t="s">
        <v>157</v>
      </c>
    </row>
    <row r="8" spans="1:151" ht="12.75">
      <c r="A8" s="40">
        <v>44105</v>
      </c>
      <c r="C8" s="76">
        <f>'2010(A&amp;B)'!B8</f>
        <v>0</v>
      </c>
      <c r="D8" s="76">
        <f>'2010(A&amp;B)'!C8</f>
        <v>88335</v>
      </c>
      <c r="E8" s="37">
        <f aca="true" t="shared" si="0" ref="E8:E27">C8+D8</f>
        <v>88335</v>
      </c>
      <c r="F8" s="76">
        <f>'2010(A&amp;B)'!E8</f>
        <v>78632</v>
      </c>
      <c r="H8" s="50"/>
      <c r="I8" s="38">
        <f aca="true" t="shared" si="1" ref="I8:I27">N8+S8+AC8+AH8+AW8+BB8+BG8+BL8+BV8+CA8+CK8+CP8+DE8+DY8+ED8+X8+AM8+AR8+CU8+CZ8+DJ8+DO8+EN8+CF8+DT8+EI8+ES8+BQ8</f>
        <v>12659.5450215</v>
      </c>
      <c r="J8" s="38">
        <f aca="true" t="shared" si="2" ref="J8:J27">H8+I8</f>
        <v>12659.5450215</v>
      </c>
      <c r="K8" s="38">
        <f aca="true" t="shared" si="3" ref="K8:K27">P8+U8+AE8+AJ8+AY8+BD8+BI8+BN8+BX8+CC8+CM8+CR8+DG8+EA8+EF8+Z8+AO8+AT8+CW8+DB8+DL8+DQ8+EP8+CH8+DV8+EK8+EU8+BS8</f>
        <v>11268.979952799999</v>
      </c>
      <c r="N8" s="5">
        <f aca="true" t="shared" si="4" ref="N8:N27">D8*$O$6</f>
        <v>2925.3106935</v>
      </c>
      <c r="O8" s="5">
        <f aca="true" t="shared" si="5" ref="O8:O27">M8+N8</f>
        <v>2925.3106935</v>
      </c>
      <c r="P8" s="38">
        <f aca="true" t="shared" si="6" ref="P8:P27">O$6*$F8</f>
        <v>2603.9851752000004</v>
      </c>
      <c r="S8" s="38">
        <f aca="true" t="shared" si="7" ref="S8:S27">D8*$T$6</f>
        <v>310.833198</v>
      </c>
      <c r="T8" s="38">
        <f aca="true" t="shared" si="8" ref="T8:T27">R8+S8</f>
        <v>310.833198</v>
      </c>
      <c r="U8" s="38">
        <f aca="true" t="shared" si="9" ref="U8:U27">T$6*$F8</f>
        <v>276.6902816</v>
      </c>
      <c r="X8" s="5">
        <f aca="true" t="shared" si="10" ref="X8:X27">D8*$Y$6</f>
        <v>106.461342</v>
      </c>
      <c r="Y8" s="5">
        <f aca="true" t="shared" si="11" ref="Y8:Y27">W8+X8</f>
        <v>106.461342</v>
      </c>
      <c r="Z8" s="38">
        <f aca="true" t="shared" si="12" ref="Z8:Z27">Y$6*$F8</f>
        <v>94.7672864</v>
      </c>
      <c r="AC8" s="5">
        <f aca="true" t="shared" si="13" ref="AC8:AC27">D8*$AD$6</f>
        <v>61.154585505</v>
      </c>
      <c r="AD8" s="5">
        <f aca="true" t="shared" si="14" ref="AD8:AD27">AB8+AC8</f>
        <v>61.154585505</v>
      </c>
      <c r="AE8" s="38">
        <f aca="true" t="shared" si="15" ref="AE8:AE27">AD$6*$F8</f>
        <v>54.437169496</v>
      </c>
      <c r="AH8" s="5">
        <f aca="true" t="shared" si="16" ref="AH8:AH27">D8*$AI$6</f>
        <v>471.673566</v>
      </c>
      <c r="AI8" s="5">
        <f aca="true" t="shared" si="17" ref="AI8:AI27">AG8+AH8</f>
        <v>471.673566</v>
      </c>
      <c r="AJ8" s="38">
        <f aca="true" t="shared" si="18" ref="AJ8:AJ27">AI$6*$F8</f>
        <v>419.8634272</v>
      </c>
      <c r="AM8" s="5">
        <f aca="true" t="shared" si="19" ref="AM8:AM27">D8*$AN$6</f>
        <v>2880.8605215000002</v>
      </c>
      <c r="AN8" s="5">
        <f aca="true" t="shared" si="20" ref="AN8:AN27">AL8+AM8</f>
        <v>2880.8605215000002</v>
      </c>
      <c r="AO8" s="38">
        <f aca="true" t="shared" si="21" ref="AO8:AO27">AN$6*$F8</f>
        <v>2564.4175528</v>
      </c>
      <c r="AR8" s="5">
        <f aca="true" t="shared" si="22" ref="AR8:AR27">D8*$AS$6</f>
        <v>137.48459400000002</v>
      </c>
      <c r="AS8" s="5">
        <f aca="true" t="shared" si="23" ref="AS8:AS27">AQ8+AR8</f>
        <v>137.48459400000002</v>
      </c>
      <c r="AT8" s="38">
        <f aca="true" t="shared" si="24" ref="AT8:AT27">AS$6*$F8</f>
        <v>122.3828448</v>
      </c>
      <c r="AW8" s="5">
        <f aca="true" t="shared" si="25" ref="AW8:AW27">D8*$AX$6</f>
        <v>223.187211</v>
      </c>
      <c r="AX8" s="5">
        <f aca="true" t="shared" si="26" ref="AX8:AX27">AV8+AW8</f>
        <v>223.187211</v>
      </c>
      <c r="AY8" s="38">
        <f aca="true" t="shared" si="27" ref="AY8:AY27">AX$6*$F8</f>
        <v>198.6716112</v>
      </c>
      <c r="BA8" s="38"/>
      <c r="BB8" s="5">
        <f aca="true" t="shared" si="28" ref="BB8:BB27">D8*$BC$6</f>
        <v>549.0815265</v>
      </c>
      <c r="BC8" s="38">
        <f aca="true" t="shared" si="29" ref="BC8:BC27">BA8+BB8</f>
        <v>549.0815265</v>
      </c>
      <c r="BD8" s="38">
        <f aca="true" t="shared" si="30" ref="BD8:BD27">BC$6*$F8</f>
        <v>488.7686488</v>
      </c>
      <c r="BG8" s="5">
        <f aca="true" t="shared" si="31" ref="BG8:BG27">D8*$BH$6</f>
        <v>26.376831</v>
      </c>
      <c r="BH8" s="5">
        <f aca="true" t="shared" si="32" ref="BH8:BH27">BF8+BG8</f>
        <v>26.376831</v>
      </c>
      <c r="BI8" s="38">
        <f aca="true" t="shared" si="33" ref="BI8:BI27">BH$6*$F8</f>
        <v>23.479515199999998</v>
      </c>
      <c r="BL8" s="5">
        <f aca="true" t="shared" si="34" ref="BL8:BL27">D8*$BM$6</f>
        <v>281.6208135</v>
      </c>
      <c r="BM8" s="5">
        <f aca="true" t="shared" si="35" ref="BM8:BM27">BK8+BL8</f>
        <v>281.6208135</v>
      </c>
      <c r="BN8" s="38">
        <f aca="true" t="shared" si="36" ref="BN8:BN27">BM$6*$F8</f>
        <v>250.68667920000001</v>
      </c>
      <c r="BQ8" s="5">
        <f aca="true" t="shared" si="37" ref="BQ8:BQ27">$D8*BR$6</f>
        <v>12.525637995000004</v>
      </c>
      <c r="BR8" s="5">
        <f aca="true" t="shared" si="38" ref="BR8:BR27">SUM(BP8:BQ8)</f>
        <v>12.525637995000004</v>
      </c>
      <c r="BS8" s="38">
        <f aca="true" t="shared" si="39" ref="BS8:BS27">BR$6*$F8</f>
        <v>11.149781704000002</v>
      </c>
      <c r="BV8" s="5">
        <f aca="true" t="shared" si="40" ref="BV8:BV27">D8*$BW$6</f>
        <v>8.400658499999999</v>
      </c>
      <c r="BW8" s="5">
        <f aca="true" t="shared" si="41" ref="BW8:BW27">BU8+BV8</f>
        <v>8.400658499999999</v>
      </c>
      <c r="BX8" s="38">
        <f aca="true" t="shared" si="42" ref="BX8:BX27">BW$6*$F8</f>
        <v>7.477903199999999</v>
      </c>
      <c r="CA8" s="5">
        <f aca="true" t="shared" si="43" ref="CA8:CA27">D8*$CB$6</f>
        <v>14.0364315</v>
      </c>
      <c r="CB8" s="5">
        <f aca="true" t="shared" si="44" ref="CB8:CB27">BZ8+CA8</f>
        <v>14.0364315</v>
      </c>
      <c r="CC8" s="38">
        <f aca="true" t="shared" si="45" ref="CC8:CC27">CB$6*$F8</f>
        <v>12.4946248</v>
      </c>
      <c r="CF8" s="5">
        <f aca="true" t="shared" si="46" ref="CF8:CF27">D8*$CG$6</f>
        <v>267.7875525</v>
      </c>
      <c r="CG8" s="5">
        <f aca="true" t="shared" si="47" ref="CG8:CG27">CE8+CF8</f>
        <v>267.7875525</v>
      </c>
      <c r="CH8" s="38">
        <f aca="true" t="shared" si="48" ref="CH8:CH27">CG$6*$F8</f>
        <v>238.372908</v>
      </c>
      <c r="CK8" s="5">
        <f aca="true" t="shared" si="49" ref="CK8:CK27">D8*$CL$6</f>
        <v>216.14691150000002</v>
      </c>
      <c r="CL8" s="38">
        <f aca="true" t="shared" si="50" ref="CL8:CL27">CJ8+CK8</f>
        <v>216.14691150000002</v>
      </c>
      <c r="CM8" s="38">
        <f aca="true" t="shared" si="51" ref="CM8:CM27">CL$6*$F8</f>
        <v>192.4046408</v>
      </c>
      <c r="CP8" s="5">
        <f aca="true" t="shared" si="52" ref="CP8:CP27">D8*$CQ$6</f>
        <v>39.1942395</v>
      </c>
      <c r="CQ8" s="5">
        <f aca="true" t="shared" si="53" ref="CQ8:CQ27">CO8+CP8</f>
        <v>39.1942395</v>
      </c>
      <c r="CR8" s="38">
        <f aca="true" t="shared" si="54" ref="CR8:CR27">CQ$6*$F8</f>
        <v>34.8890184</v>
      </c>
      <c r="CU8" s="5">
        <f aca="true" t="shared" si="55" ref="CU8:CU27">D8*$CV$6</f>
        <v>15.7677975</v>
      </c>
      <c r="CV8" s="5">
        <f aca="true" t="shared" si="56" ref="CV8:CV27">CT8+CU8</f>
        <v>15.7677975</v>
      </c>
      <c r="CW8" s="38">
        <f aca="true" t="shared" si="57" ref="CW8:CW27">CV$6*$F8</f>
        <v>14.035812</v>
      </c>
      <c r="CZ8" s="5">
        <f aca="true" t="shared" si="58" ref="CZ8:CZ27">D8*$DA$6</f>
        <v>126.8402265</v>
      </c>
      <c r="DA8" s="5">
        <f aca="true" t="shared" si="59" ref="DA8:DA27">CY8+CZ8</f>
        <v>126.8402265</v>
      </c>
      <c r="DB8" s="38">
        <f aca="true" t="shared" si="60" ref="DB8:DB27">DA$6*$F8</f>
        <v>112.90768879999999</v>
      </c>
      <c r="DE8" s="5">
        <f aca="true" t="shared" si="61" ref="DE8:DE27">D8*$DF$6</f>
        <v>1610.223381</v>
      </c>
      <c r="DF8" s="38">
        <f aca="true" t="shared" si="62" ref="DF8:DF27">DD8+DE8</f>
        <v>1610.223381</v>
      </c>
      <c r="DG8" s="38">
        <f aca="true" t="shared" si="63" ref="DG8:DG27">DF$6*$F8</f>
        <v>1433.3512752000001</v>
      </c>
      <c r="DJ8" s="38">
        <f aca="true" t="shared" si="64" ref="DJ8:DJ27">D8*$DK$6</f>
        <v>134.905212</v>
      </c>
      <c r="DK8" s="38">
        <f aca="true" t="shared" si="65" ref="DK8:DK27">DI8+DJ8</f>
        <v>134.905212</v>
      </c>
      <c r="DL8" s="38">
        <f aca="true" t="shared" si="66" ref="DL8:DL27">DK$6*$F8</f>
        <v>120.0867904</v>
      </c>
      <c r="DO8" s="38">
        <f aca="true" t="shared" si="67" ref="DO8:DO27">D8*$DP$6</f>
        <v>52.9214985</v>
      </c>
      <c r="DP8" s="38">
        <f aca="true" t="shared" si="68" ref="DP8:DP27">DN8+DO8</f>
        <v>52.9214985</v>
      </c>
      <c r="DQ8" s="38">
        <f aca="true" t="shared" si="69" ref="DQ8:DQ27">DP$6*$F8</f>
        <v>47.1084312</v>
      </c>
      <c r="DT8" s="5">
        <f aca="true" t="shared" si="70" ref="DT8:DT27">D8*$DU$6</f>
        <v>43.407819</v>
      </c>
      <c r="DU8" s="5">
        <f aca="true" t="shared" si="71" ref="DU8:DU27">DS8+DT8</f>
        <v>43.407819</v>
      </c>
      <c r="DV8" s="38">
        <f aca="true" t="shared" si="72" ref="DV8:DV27">DU$6*$F8</f>
        <v>38.6397648</v>
      </c>
      <c r="DX8" s="38"/>
      <c r="DY8" s="38">
        <f aca="true" t="shared" si="73" ref="DY8:DY27">D8*$DZ$6</f>
        <v>396.1913085</v>
      </c>
      <c r="DZ8" s="5">
        <f aca="true" t="shared" si="74" ref="DZ8:DZ27">DX8+DY8</f>
        <v>396.1913085</v>
      </c>
      <c r="EA8" s="38">
        <f aca="true" t="shared" si="75" ref="EA8:EA27">DZ$6*$F8</f>
        <v>352.67238319999996</v>
      </c>
      <c r="EC8" s="38"/>
      <c r="ED8" s="38">
        <f aca="true" t="shared" si="76" ref="ED8:ED27">D8*$EE$6</f>
        <v>1142.8163955</v>
      </c>
      <c r="EE8" s="5">
        <f aca="true" t="shared" si="77" ref="EE8:EE27">EC8+ED8</f>
        <v>1142.8163955</v>
      </c>
      <c r="EF8" s="38">
        <f aca="true" t="shared" si="78" ref="EF8:EF27">EE$6*$F8</f>
        <v>1017.2857736000001</v>
      </c>
      <c r="EI8" s="5">
        <f aca="true" t="shared" si="79" ref="EI8:EI27">D8*$EJ$6</f>
        <v>11.713220999999999</v>
      </c>
      <c r="EJ8" s="5">
        <f aca="true" t="shared" si="80" ref="EJ8:EJ27">EH8+EI8</f>
        <v>11.713220999999999</v>
      </c>
      <c r="EK8" s="38">
        <f aca="true" t="shared" si="81" ref="EK8:EK27">EJ$6*$F8</f>
        <v>10.4266032</v>
      </c>
      <c r="EM8" s="5"/>
      <c r="EN8" s="5">
        <f aca="true" t="shared" si="82" ref="EN8:EN27">D8*$EO$6</f>
        <v>553.560111</v>
      </c>
      <c r="EO8" s="5">
        <f aca="true" t="shared" si="83" ref="EO8:EO27">EM8+EN8</f>
        <v>553.560111</v>
      </c>
      <c r="EP8" s="38">
        <f aca="true" t="shared" si="84" ref="EP8:EP27">EO$6*$F8</f>
        <v>492.7552912</v>
      </c>
      <c r="ER8" s="5"/>
      <c r="ES8" s="5">
        <f aca="true" t="shared" si="85" ref="ES8:ES27">D8*$ET$6</f>
        <v>39.061737</v>
      </c>
      <c r="ET8" s="5">
        <f aca="true" t="shared" si="86" ref="ET8:ET27">ER8+ES8</f>
        <v>39.061737</v>
      </c>
      <c r="EU8" s="38">
        <f aca="true" t="shared" si="87" ref="EU8:EU27">ET$6*$F8</f>
        <v>34.7710704</v>
      </c>
    </row>
    <row r="9" spans="1:151" ht="12.75">
      <c r="A9" s="40">
        <v>44287</v>
      </c>
      <c r="C9" s="76">
        <f>'2010(A&amp;B)'!B9</f>
        <v>6040000</v>
      </c>
      <c r="D9" s="76">
        <f>'2010(A&amp;B)'!C9</f>
        <v>88335</v>
      </c>
      <c r="E9" s="37">
        <f t="shared" si="0"/>
        <v>6128335</v>
      </c>
      <c r="F9" s="76">
        <f>'2010(A&amp;B)'!E9</f>
        <v>78632</v>
      </c>
      <c r="H9" s="50">
        <f aca="true" t="shared" si="88" ref="H9:H27">M9+R9+W9+AB9+AG9+AV9+BA9+BF9+BK9+BU9+CJ9+DD9+DX9+EC9+AL9+AQ9+BZ9+CO9+CT9+CY9+DI9+DN9+EM9+CE9+DS9+EH9+ER9+BP9</f>
        <v>865609.9160000001</v>
      </c>
      <c r="I9" s="38">
        <f t="shared" si="1"/>
        <v>12659.5450215</v>
      </c>
      <c r="J9" s="38">
        <f t="shared" si="2"/>
        <v>878269.4610215</v>
      </c>
      <c r="K9" s="38">
        <f t="shared" si="3"/>
        <v>11268.979952799999</v>
      </c>
      <c r="M9" s="5">
        <f aca="true" t="shared" si="89" ref="M9:M27">C9*$O$6</f>
        <v>200021.244</v>
      </c>
      <c r="N9" s="5">
        <f t="shared" si="4"/>
        <v>2925.3106935</v>
      </c>
      <c r="O9" s="5">
        <f t="shared" si="5"/>
        <v>202946.55469350002</v>
      </c>
      <c r="P9" s="38">
        <f t="shared" si="6"/>
        <v>2603.9851752000004</v>
      </c>
      <c r="R9" s="5">
        <f aca="true" t="shared" si="90" ref="R9:R27">C9*$T$6</f>
        <v>21253.552</v>
      </c>
      <c r="S9" s="38">
        <f t="shared" si="7"/>
        <v>310.833198</v>
      </c>
      <c r="T9" s="38">
        <f t="shared" si="8"/>
        <v>21564.385198</v>
      </c>
      <c r="U9" s="38">
        <f t="shared" si="9"/>
        <v>276.6902816</v>
      </c>
      <c r="W9" s="5">
        <f aca="true" t="shared" si="91" ref="W9:W27">C9*$Y$6</f>
        <v>7279.408</v>
      </c>
      <c r="X9" s="5">
        <f t="shared" si="10"/>
        <v>106.461342</v>
      </c>
      <c r="Y9" s="5">
        <f t="shared" si="11"/>
        <v>7385.869342</v>
      </c>
      <c r="Z9" s="38">
        <f t="shared" si="12"/>
        <v>94.7672864</v>
      </c>
      <c r="AB9" s="5">
        <f aca="true" t="shared" si="92" ref="AB9:AB27">C9*$AD$6</f>
        <v>4181.51012</v>
      </c>
      <c r="AC9" s="5">
        <f t="shared" si="13"/>
        <v>61.154585505</v>
      </c>
      <c r="AD9" s="5">
        <f t="shared" si="14"/>
        <v>4242.664705505</v>
      </c>
      <c r="AE9" s="38">
        <f t="shared" si="15"/>
        <v>54.437169496</v>
      </c>
      <c r="AG9" s="5">
        <f aca="true" t="shared" si="93" ref="AG9:AG27">C9*$AI$6</f>
        <v>32251.184</v>
      </c>
      <c r="AH9" s="5">
        <f t="shared" si="16"/>
        <v>471.673566</v>
      </c>
      <c r="AI9" s="5">
        <f t="shared" si="17"/>
        <v>32722.857566000002</v>
      </c>
      <c r="AJ9" s="38">
        <f t="shared" si="18"/>
        <v>419.8634272</v>
      </c>
      <c r="AL9" s="5">
        <f aca="true" t="shared" si="94" ref="AL9:AL27">C9*$AN$6</f>
        <v>196981.916</v>
      </c>
      <c r="AM9" s="5">
        <f t="shared" si="19"/>
        <v>2880.8605215000002</v>
      </c>
      <c r="AN9" s="5">
        <f t="shared" si="20"/>
        <v>199862.7765215</v>
      </c>
      <c r="AO9" s="38">
        <f t="shared" si="21"/>
        <v>2564.4175528</v>
      </c>
      <c r="AQ9" s="5">
        <f aca="true" t="shared" si="95" ref="AQ9:AQ27">C9*$AS$6</f>
        <v>9400.656</v>
      </c>
      <c r="AR9" s="5">
        <f t="shared" si="22"/>
        <v>137.48459400000002</v>
      </c>
      <c r="AS9" s="5">
        <f t="shared" si="23"/>
        <v>9538.140594</v>
      </c>
      <c r="AT9" s="38">
        <f t="shared" si="24"/>
        <v>122.3828448</v>
      </c>
      <c r="AV9" s="5">
        <f>C9*$AX$6</f>
        <v>15260.663999999999</v>
      </c>
      <c r="AW9" s="5">
        <f t="shared" si="25"/>
        <v>223.187211</v>
      </c>
      <c r="AX9" s="5">
        <f t="shared" si="26"/>
        <v>15483.851211</v>
      </c>
      <c r="AY9" s="38">
        <f t="shared" si="27"/>
        <v>198.6716112</v>
      </c>
      <c r="BA9" s="38">
        <f aca="true" t="shared" si="96" ref="BA9:BA27">C9*$BC$6</f>
        <v>37544.036</v>
      </c>
      <c r="BB9" s="5">
        <f t="shared" si="28"/>
        <v>549.0815265</v>
      </c>
      <c r="BC9" s="38">
        <f t="shared" si="29"/>
        <v>38093.1175265</v>
      </c>
      <c r="BD9" s="38">
        <f t="shared" si="30"/>
        <v>488.7686488</v>
      </c>
      <c r="BF9" s="5">
        <f aca="true" t="shared" si="97" ref="BF9:BF27">C9*$BH$6</f>
        <v>1803.5439999999999</v>
      </c>
      <c r="BG9" s="5">
        <f t="shared" si="31"/>
        <v>26.376831</v>
      </c>
      <c r="BH9" s="5">
        <f t="shared" si="32"/>
        <v>1829.920831</v>
      </c>
      <c r="BI9" s="38">
        <f t="shared" si="33"/>
        <v>23.479515199999998</v>
      </c>
      <c r="BK9" s="5">
        <f aca="true" t="shared" si="98" ref="BK9:BK27">C9*$BM$6</f>
        <v>19256.124</v>
      </c>
      <c r="BL9" s="5">
        <f t="shared" si="34"/>
        <v>281.6208135</v>
      </c>
      <c r="BM9" s="5">
        <f t="shared" si="35"/>
        <v>19537.7448135</v>
      </c>
      <c r="BN9" s="38">
        <f t="shared" si="36"/>
        <v>250.68667920000001</v>
      </c>
      <c r="BP9" s="5">
        <f aca="true" t="shared" si="99" ref="BP9:BP27">$C9*BR$6</f>
        <v>856.4538800000003</v>
      </c>
      <c r="BQ9" s="5">
        <f t="shared" si="37"/>
        <v>12.525637995000004</v>
      </c>
      <c r="BR9" s="5">
        <f t="shared" si="38"/>
        <v>868.9795179950003</v>
      </c>
      <c r="BS9" s="38">
        <f t="shared" si="39"/>
        <v>11.149781704000002</v>
      </c>
      <c r="BU9" s="5">
        <f aca="true" t="shared" si="100" ref="BU9:BU27">C9*$BW$6</f>
        <v>574.404</v>
      </c>
      <c r="BV9" s="5">
        <f t="shared" si="40"/>
        <v>8.400658499999999</v>
      </c>
      <c r="BW9" s="5">
        <f t="shared" si="41"/>
        <v>582.8046585</v>
      </c>
      <c r="BX9" s="38">
        <f t="shared" si="42"/>
        <v>7.477903199999999</v>
      </c>
      <c r="BZ9" s="5">
        <f aca="true" t="shared" si="101" ref="BZ9:BZ27">C9*$CB$6</f>
        <v>959.7560000000001</v>
      </c>
      <c r="CA9" s="5">
        <f t="shared" si="43"/>
        <v>14.0364315</v>
      </c>
      <c r="CB9" s="5">
        <f t="shared" si="44"/>
        <v>973.7924315000001</v>
      </c>
      <c r="CC9" s="38">
        <f t="shared" si="45"/>
        <v>12.4946248</v>
      </c>
      <c r="CE9" s="5">
        <f aca="true" t="shared" si="102" ref="CE9:CE27">C9*$CG$6</f>
        <v>18310.26</v>
      </c>
      <c r="CF9" s="5">
        <f t="shared" si="46"/>
        <v>267.7875525</v>
      </c>
      <c r="CG9" s="5">
        <f t="shared" si="47"/>
        <v>18578.0475525</v>
      </c>
      <c r="CH9" s="38">
        <f t="shared" si="48"/>
        <v>238.372908</v>
      </c>
      <c r="CJ9" s="5">
        <f aca="true" t="shared" si="103" ref="CJ9:CJ27">C9*$CL$6</f>
        <v>14779.276</v>
      </c>
      <c r="CK9" s="5">
        <f t="shared" si="49"/>
        <v>216.14691150000002</v>
      </c>
      <c r="CL9" s="38">
        <f t="shared" si="50"/>
        <v>14995.4229115</v>
      </c>
      <c r="CM9" s="38">
        <f t="shared" si="51"/>
        <v>192.4046408</v>
      </c>
      <c r="CO9" s="5">
        <f aca="true" t="shared" si="104" ref="CO9:CO27">C9*$CQ$6</f>
        <v>2679.948</v>
      </c>
      <c r="CP9" s="5">
        <f t="shared" si="52"/>
        <v>39.1942395</v>
      </c>
      <c r="CQ9" s="5">
        <f t="shared" si="53"/>
        <v>2719.1422395</v>
      </c>
      <c r="CR9" s="38">
        <f t="shared" si="54"/>
        <v>34.8890184</v>
      </c>
      <c r="CT9" s="5">
        <f aca="true" t="shared" si="105" ref="CT9:CT27">C9*$CV$6</f>
        <v>1078.14</v>
      </c>
      <c r="CU9" s="5">
        <f t="shared" si="55"/>
        <v>15.7677975</v>
      </c>
      <c r="CV9" s="5">
        <f t="shared" si="56"/>
        <v>1093.9077975</v>
      </c>
      <c r="CW9" s="38">
        <f t="shared" si="57"/>
        <v>14.035812</v>
      </c>
      <c r="CY9" s="5">
        <f aca="true" t="shared" si="106" ref="CY9:CY27">C9*$DA$6</f>
        <v>8672.836</v>
      </c>
      <c r="CZ9" s="5">
        <f t="shared" si="58"/>
        <v>126.8402265</v>
      </c>
      <c r="DA9" s="5">
        <f t="shared" si="59"/>
        <v>8799.6762265</v>
      </c>
      <c r="DB9" s="38">
        <f t="shared" si="60"/>
        <v>112.90768879999999</v>
      </c>
      <c r="DD9" s="5">
        <f aca="true" t="shared" si="107" ref="DD9:DD27">C9*$DF$6</f>
        <v>110100.744</v>
      </c>
      <c r="DE9" s="5">
        <f t="shared" si="61"/>
        <v>1610.223381</v>
      </c>
      <c r="DF9" s="38">
        <f t="shared" si="62"/>
        <v>111710.96738100001</v>
      </c>
      <c r="DG9" s="38">
        <f t="shared" si="63"/>
        <v>1433.3512752000001</v>
      </c>
      <c r="DI9" s="5">
        <f aca="true" t="shared" si="108" ref="DI9:DI27">C9*$DK$6</f>
        <v>9224.288</v>
      </c>
      <c r="DJ9" s="38">
        <f t="shared" si="64"/>
        <v>134.905212</v>
      </c>
      <c r="DK9" s="38">
        <f t="shared" si="65"/>
        <v>9359.193212</v>
      </c>
      <c r="DL9" s="38">
        <f t="shared" si="66"/>
        <v>120.0867904</v>
      </c>
      <c r="DN9" s="5">
        <f aca="true" t="shared" si="109" ref="DN9:DN27">C9*$DP$6</f>
        <v>3618.564</v>
      </c>
      <c r="DO9" s="38">
        <f t="shared" si="67"/>
        <v>52.9214985</v>
      </c>
      <c r="DP9" s="38">
        <f t="shared" si="68"/>
        <v>3671.4854984999997</v>
      </c>
      <c r="DQ9" s="38">
        <f t="shared" si="69"/>
        <v>47.1084312</v>
      </c>
      <c r="DS9" s="5">
        <f aca="true" t="shared" si="110" ref="DS9:DS27">C9*$DU$6</f>
        <v>2968.056</v>
      </c>
      <c r="DT9" s="5">
        <f t="shared" si="70"/>
        <v>43.407819</v>
      </c>
      <c r="DU9" s="5">
        <f t="shared" si="71"/>
        <v>3011.463819</v>
      </c>
      <c r="DV9" s="38">
        <f t="shared" si="72"/>
        <v>38.6397648</v>
      </c>
      <c r="DX9" s="38">
        <f aca="true" t="shared" si="111" ref="DX9:DX27">C9*$DZ$6</f>
        <v>27090.003999999997</v>
      </c>
      <c r="DY9" s="38">
        <f t="shared" si="73"/>
        <v>396.1913085</v>
      </c>
      <c r="DZ9" s="5">
        <f t="shared" si="74"/>
        <v>27486.1953085</v>
      </c>
      <c r="EA9" s="38">
        <f t="shared" si="75"/>
        <v>352.67238319999996</v>
      </c>
      <c r="EC9" s="38">
        <f aca="true" t="shared" si="112" ref="EC9:EC27">C9*$EE$6</f>
        <v>78141.292</v>
      </c>
      <c r="ED9" s="38">
        <f t="shared" si="76"/>
        <v>1142.8163955</v>
      </c>
      <c r="EE9" s="5">
        <f t="shared" si="77"/>
        <v>79284.1083955</v>
      </c>
      <c r="EF9" s="38">
        <f t="shared" si="78"/>
        <v>1017.2857736000001</v>
      </c>
      <c r="EH9" s="5">
        <f aca="true" t="shared" si="113" ref="EH9:EH27">C9*$EJ$6</f>
        <v>800.904</v>
      </c>
      <c r="EI9" s="5">
        <f t="shared" si="79"/>
        <v>11.713220999999999</v>
      </c>
      <c r="EJ9" s="5">
        <f t="shared" si="80"/>
        <v>812.617221</v>
      </c>
      <c r="EK9" s="38">
        <f t="shared" si="81"/>
        <v>10.4266032</v>
      </c>
      <c r="EM9" s="5">
        <f aca="true" t="shared" si="114" ref="EM9:EM27">C9*$EO$6</f>
        <v>37850.263999999996</v>
      </c>
      <c r="EN9" s="5">
        <f t="shared" si="82"/>
        <v>553.560111</v>
      </c>
      <c r="EO9" s="5">
        <f t="shared" si="83"/>
        <v>38403.824110999994</v>
      </c>
      <c r="EP9" s="38">
        <f t="shared" si="84"/>
        <v>492.7552912</v>
      </c>
      <c r="ER9" s="5">
        <f aca="true" t="shared" si="115" ref="ER9:ER27">C9*$ET$6</f>
        <v>2670.888</v>
      </c>
      <c r="ES9" s="5">
        <f t="shared" si="85"/>
        <v>39.061737</v>
      </c>
      <c r="ET9" s="5">
        <f t="shared" si="86"/>
        <v>2709.949737</v>
      </c>
      <c r="EU9" s="38">
        <f t="shared" si="87"/>
        <v>34.7710704</v>
      </c>
    </row>
    <row r="10" spans="1:151" ht="12.75">
      <c r="A10" s="40">
        <v>44470</v>
      </c>
      <c r="C10" s="76">
        <f>'2010(A&amp;B)'!B10</f>
        <v>0</v>
      </c>
      <c r="D10" s="76">
        <f>'2010(A&amp;B)'!C10</f>
        <v>0</v>
      </c>
      <c r="E10" s="37">
        <f t="shared" si="0"/>
        <v>0</v>
      </c>
      <c r="F10" s="76">
        <f>'2010(A&amp;B)'!E10</f>
        <v>0</v>
      </c>
      <c r="H10" s="50"/>
      <c r="I10" s="38">
        <f t="shared" si="1"/>
        <v>0</v>
      </c>
      <c r="J10" s="38">
        <f t="shared" si="2"/>
        <v>0</v>
      </c>
      <c r="K10" s="38">
        <f t="shared" si="3"/>
        <v>0</v>
      </c>
      <c r="N10" s="5">
        <f t="shared" si="4"/>
        <v>0</v>
      </c>
      <c r="O10" s="5">
        <f t="shared" si="5"/>
        <v>0</v>
      </c>
      <c r="P10" s="38">
        <f t="shared" si="6"/>
        <v>0</v>
      </c>
      <c r="S10" s="38">
        <f t="shared" si="7"/>
        <v>0</v>
      </c>
      <c r="T10" s="38">
        <f t="shared" si="8"/>
        <v>0</v>
      </c>
      <c r="U10" s="38">
        <f t="shared" si="9"/>
        <v>0</v>
      </c>
      <c r="X10" s="5">
        <f t="shared" si="10"/>
        <v>0</v>
      </c>
      <c r="Y10" s="5">
        <f t="shared" si="11"/>
        <v>0</v>
      </c>
      <c r="Z10" s="38">
        <f t="shared" si="12"/>
        <v>0</v>
      </c>
      <c r="AC10" s="5">
        <f t="shared" si="13"/>
        <v>0</v>
      </c>
      <c r="AD10" s="5">
        <f t="shared" si="14"/>
        <v>0</v>
      </c>
      <c r="AE10" s="38">
        <f t="shared" si="15"/>
        <v>0</v>
      </c>
      <c r="AH10" s="5">
        <f t="shared" si="16"/>
        <v>0</v>
      </c>
      <c r="AI10" s="5">
        <f t="shared" si="17"/>
        <v>0</v>
      </c>
      <c r="AJ10" s="38">
        <f t="shared" si="18"/>
        <v>0</v>
      </c>
      <c r="AM10" s="5">
        <f t="shared" si="19"/>
        <v>0</v>
      </c>
      <c r="AN10" s="5">
        <f t="shared" si="20"/>
        <v>0</v>
      </c>
      <c r="AO10" s="38">
        <f t="shared" si="21"/>
        <v>0</v>
      </c>
      <c r="AR10" s="5">
        <f t="shared" si="22"/>
        <v>0</v>
      </c>
      <c r="AS10" s="5">
        <f t="shared" si="23"/>
        <v>0</v>
      </c>
      <c r="AT10" s="38">
        <f t="shared" si="24"/>
        <v>0</v>
      </c>
      <c r="AW10" s="5">
        <f t="shared" si="25"/>
        <v>0</v>
      </c>
      <c r="AX10" s="5">
        <f t="shared" si="26"/>
        <v>0</v>
      </c>
      <c r="AY10" s="38">
        <f t="shared" si="27"/>
        <v>0</v>
      </c>
      <c r="BA10" s="38"/>
      <c r="BB10" s="5">
        <f t="shared" si="28"/>
        <v>0</v>
      </c>
      <c r="BC10" s="38">
        <f t="shared" si="29"/>
        <v>0</v>
      </c>
      <c r="BD10" s="38">
        <f t="shared" si="30"/>
        <v>0</v>
      </c>
      <c r="BG10" s="5">
        <f t="shared" si="31"/>
        <v>0</v>
      </c>
      <c r="BH10" s="5">
        <f t="shared" si="32"/>
        <v>0</v>
      </c>
      <c r="BI10" s="38">
        <f t="shared" si="33"/>
        <v>0</v>
      </c>
      <c r="BL10" s="5">
        <f t="shared" si="34"/>
        <v>0</v>
      </c>
      <c r="BM10" s="5">
        <f t="shared" si="35"/>
        <v>0</v>
      </c>
      <c r="BN10" s="38">
        <f t="shared" si="36"/>
        <v>0</v>
      </c>
      <c r="BQ10" s="5">
        <f t="shared" si="37"/>
        <v>0</v>
      </c>
      <c r="BR10" s="5">
        <f t="shared" si="38"/>
        <v>0</v>
      </c>
      <c r="BS10" s="38">
        <f t="shared" si="39"/>
        <v>0</v>
      </c>
      <c r="BV10" s="5">
        <f t="shared" si="40"/>
        <v>0</v>
      </c>
      <c r="BW10" s="5">
        <f t="shared" si="41"/>
        <v>0</v>
      </c>
      <c r="BX10" s="38">
        <f t="shared" si="42"/>
        <v>0</v>
      </c>
      <c r="CA10" s="5">
        <f t="shared" si="43"/>
        <v>0</v>
      </c>
      <c r="CB10" s="5">
        <f t="shared" si="44"/>
        <v>0</v>
      </c>
      <c r="CC10" s="38">
        <f t="shared" si="45"/>
        <v>0</v>
      </c>
      <c r="CF10" s="5">
        <f t="shared" si="46"/>
        <v>0</v>
      </c>
      <c r="CG10" s="5">
        <f t="shared" si="47"/>
        <v>0</v>
      </c>
      <c r="CH10" s="38">
        <f t="shared" si="48"/>
        <v>0</v>
      </c>
      <c r="CK10" s="5">
        <f t="shared" si="49"/>
        <v>0</v>
      </c>
      <c r="CL10" s="38">
        <f t="shared" si="50"/>
        <v>0</v>
      </c>
      <c r="CM10" s="38">
        <f t="shared" si="51"/>
        <v>0</v>
      </c>
      <c r="CP10" s="5">
        <f t="shared" si="52"/>
        <v>0</v>
      </c>
      <c r="CQ10" s="5">
        <f t="shared" si="53"/>
        <v>0</v>
      </c>
      <c r="CR10" s="38">
        <f t="shared" si="54"/>
        <v>0</v>
      </c>
      <c r="CU10" s="5">
        <f t="shared" si="55"/>
        <v>0</v>
      </c>
      <c r="CV10" s="5">
        <f t="shared" si="56"/>
        <v>0</v>
      </c>
      <c r="CW10" s="38">
        <f t="shared" si="57"/>
        <v>0</v>
      </c>
      <c r="CZ10" s="5">
        <f t="shared" si="58"/>
        <v>0</v>
      </c>
      <c r="DA10" s="5">
        <f t="shared" si="59"/>
        <v>0</v>
      </c>
      <c r="DB10" s="38">
        <f t="shared" si="60"/>
        <v>0</v>
      </c>
      <c r="DE10" s="5">
        <f t="shared" si="61"/>
        <v>0</v>
      </c>
      <c r="DF10" s="38">
        <f t="shared" si="62"/>
        <v>0</v>
      </c>
      <c r="DG10" s="38">
        <f t="shared" si="63"/>
        <v>0</v>
      </c>
      <c r="DJ10" s="38">
        <f t="shared" si="64"/>
        <v>0</v>
      </c>
      <c r="DK10" s="38">
        <f t="shared" si="65"/>
        <v>0</v>
      </c>
      <c r="DL10" s="38">
        <f t="shared" si="66"/>
        <v>0</v>
      </c>
      <c r="DO10" s="38">
        <f t="shared" si="67"/>
        <v>0</v>
      </c>
      <c r="DP10" s="38">
        <f t="shared" si="68"/>
        <v>0</v>
      </c>
      <c r="DQ10" s="38">
        <f t="shared" si="69"/>
        <v>0</v>
      </c>
      <c r="DT10" s="5">
        <f t="shared" si="70"/>
        <v>0</v>
      </c>
      <c r="DU10" s="5">
        <f t="shared" si="71"/>
        <v>0</v>
      </c>
      <c r="DV10" s="38">
        <f t="shared" si="72"/>
        <v>0</v>
      </c>
      <c r="DX10" s="38"/>
      <c r="DY10" s="38">
        <f t="shared" si="73"/>
        <v>0</v>
      </c>
      <c r="DZ10" s="5">
        <f t="shared" si="74"/>
        <v>0</v>
      </c>
      <c r="EA10" s="38">
        <f t="shared" si="75"/>
        <v>0</v>
      </c>
      <c r="EC10" s="38"/>
      <c r="ED10" s="38">
        <f t="shared" si="76"/>
        <v>0</v>
      </c>
      <c r="EE10" s="5">
        <f t="shared" si="77"/>
        <v>0</v>
      </c>
      <c r="EF10" s="38">
        <f t="shared" si="78"/>
        <v>0</v>
      </c>
      <c r="EI10" s="5">
        <f t="shared" si="79"/>
        <v>0</v>
      </c>
      <c r="EJ10" s="5">
        <f t="shared" si="80"/>
        <v>0</v>
      </c>
      <c r="EK10" s="38">
        <f t="shared" si="81"/>
        <v>0</v>
      </c>
      <c r="EM10" s="5"/>
      <c r="EN10" s="5">
        <f t="shared" si="82"/>
        <v>0</v>
      </c>
      <c r="EO10" s="5">
        <f t="shared" si="83"/>
        <v>0</v>
      </c>
      <c r="EP10" s="38">
        <f t="shared" si="84"/>
        <v>0</v>
      </c>
      <c r="ER10" s="5"/>
      <c r="ES10" s="5">
        <f t="shared" si="85"/>
        <v>0</v>
      </c>
      <c r="ET10" s="5">
        <f t="shared" si="86"/>
        <v>0</v>
      </c>
      <c r="EU10" s="38">
        <f t="shared" si="87"/>
        <v>0</v>
      </c>
    </row>
    <row r="11" spans="1:151" ht="12.75">
      <c r="A11" s="40">
        <v>44652</v>
      </c>
      <c r="C11" s="76">
        <f>'2010(A&amp;B)'!B11</f>
        <v>0</v>
      </c>
      <c r="D11" s="76">
        <f>'2010(A&amp;B)'!C11</f>
        <v>0</v>
      </c>
      <c r="E11" s="37">
        <f t="shared" si="0"/>
        <v>0</v>
      </c>
      <c r="F11" s="76">
        <f>'2010(A&amp;B)'!E11</f>
        <v>0</v>
      </c>
      <c r="H11" s="50">
        <f t="shared" si="88"/>
        <v>0</v>
      </c>
      <c r="I11" s="38">
        <f t="shared" si="1"/>
        <v>0</v>
      </c>
      <c r="J11" s="38">
        <f t="shared" si="2"/>
        <v>0</v>
      </c>
      <c r="K11" s="38">
        <f t="shared" si="3"/>
        <v>0</v>
      </c>
      <c r="M11" s="5">
        <f t="shared" si="89"/>
        <v>0</v>
      </c>
      <c r="N11" s="5">
        <f t="shared" si="4"/>
        <v>0</v>
      </c>
      <c r="O11" s="5">
        <f t="shared" si="5"/>
        <v>0</v>
      </c>
      <c r="P11" s="38">
        <f t="shared" si="6"/>
        <v>0</v>
      </c>
      <c r="R11" s="5">
        <f t="shared" si="90"/>
        <v>0</v>
      </c>
      <c r="S11" s="38">
        <f t="shared" si="7"/>
        <v>0</v>
      </c>
      <c r="T11" s="38">
        <f t="shared" si="8"/>
        <v>0</v>
      </c>
      <c r="U11" s="38">
        <f t="shared" si="9"/>
        <v>0</v>
      </c>
      <c r="W11" s="5">
        <f t="shared" si="91"/>
        <v>0</v>
      </c>
      <c r="X11" s="5">
        <f t="shared" si="10"/>
        <v>0</v>
      </c>
      <c r="Y11" s="5">
        <f t="shared" si="11"/>
        <v>0</v>
      </c>
      <c r="Z11" s="38">
        <f t="shared" si="12"/>
        <v>0</v>
      </c>
      <c r="AB11" s="5">
        <f t="shared" si="92"/>
        <v>0</v>
      </c>
      <c r="AC11" s="5">
        <f t="shared" si="13"/>
        <v>0</v>
      </c>
      <c r="AD11" s="5">
        <f t="shared" si="14"/>
        <v>0</v>
      </c>
      <c r="AE11" s="38">
        <f t="shared" si="15"/>
        <v>0</v>
      </c>
      <c r="AG11" s="5">
        <f t="shared" si="93"/>
        <v>0</v>
      </c>
      <c r="AH11" s="5">
        <f t="shared" si="16"/>
        <v>0</v>
      </c>
      <c r="AI11" s="5">
        <f t="shared" si="17"/>
        <v>0</v>
      </c>
      <c r="AJ11" s="38">
        <f t="shared" si="18"/>
        <v>0</v>
      </c>
      <c r="AL11" s="5">
        <f t="shared" si="94"/>
        <v>0</v>
      </c>
      <c r="AM11" s="5">
        <f t="shared" si="19"/>
        <v>0</v>
      </c>
      <c r="AN11" s="5">
        <f t="shared" si="20"/>
        <v>0</v>
      </c>
      <c r="AO11" s="38">
        <f t="shared" si="21"/>
        <v>0</v>
      </c>
      <c r="AQ11" s="5">
        <f t="shared" si="95"/>
        <v>0</v>
      </c>
      <c r="AR11" s="5">
        <f t="shared" si="22"/>
        <v>0</v>
      </c>
      <c r="AS11" s="5">
        <f t="shared" si="23"/>
        <v>0</v>
      </c>
      <c r="AT11" s="38">
        <f t="shared" si="24"/>
        <v>0</v>
      </c>
      <c r="AV11" s="5">
        <f>C11*$AX$6</f>
        <v>0</v>
      </c>
      <c r="AW11" s="5">
        <f t="shared" si="25"/>
        <v>0</v>
      </c>
      <c r="AX11" s="5">
        <f t="shared" si="26"/>
        <v>0</v>
      </c>
      <c r="AY11" s="38">
        <f t="shared" si="27"/>
        <v>0</v>
      </c>
      <c r="BA11" s="38">
        <f t="shared" si="96"/>
        <v>0</v>
      </c>
      <c r="BB11" s="5">
        <f t="shared" si="28"/>
        <v>0</v>
      </c>
      <c r="BC11" s="38">
        <f t="shared" si="29"/>
        <v>0</v>
      </c>
      <c r="BD11" s="38">
        <f t="shared" si="30"/>
        <v>0</v>
      </c>
      <c r="BF11" s="5">
        <f t="shared" si="97"/>
        <v>0</v>
      </c>
      <c r="BG11" s="5">
        <f t="shared" si="31"/>
        <v>0</v>
      </c>
      <c r="BH11" s="5">
        <f t="shared" si="32"/>
        <v>0</v>
      </c>
      <c r="BI11" s="38">
        <f t="shared" si="33"/>
        <v>0</v>
      </c>
      <c r="BK11" s="5">
        <f t="shared" si="98"/>
        <v>0</v>
      </c>
      <c r="BL11" s="5">
        <f t="shared" si="34"/>
        <v>0</v>
      </c>
      <c r="BM11" s="5">
        <f t="shared" si="35"/>
        <v>0</v>
      </c>
      <c r="BN11" s="38">
        <f t="shared" si="36"/>
        <v>0</v>
      </c>
      <c r="BP11" s="5">
        <f t="shared" si="99"/>
        <v>0</v>
      </c>
      <c r="BQ11" s="5">
        <f t="shared" si="37"/>
        <v>0</v>
      </c>
      <c r="BR11" s="5">
        <f t="shared" si="38"/>
        <v>0</v>
      </c>
      <c r="BS11" s="38">
        <f t="shared" si="39"/>
        <v>0</v>
      </c>
      <c r="BU11" s="5">
        <f t="shared" si="100"/>
        <v>0</v>
      </c>
      <c r="BV11" s="5">
        <f t="shared" si="40"/>
        <v>0</v>
      </c>
      <c r="BW11" s="5">
        <f t="shared" si="41"/>
        <v>0</v>
      </c>
      <c r="BX11" s="38">
        <f t="shared" si="42"/>
        <v>0</v>
      </c>
      <c r="BZ11" s="5">
        <f t="shared" si="101"/>
        <v>0</v>
      </c>
      <c r="CA11" s="5">
        <f t="shared" si="43"/>
        <v>0</v>
      </c>
      <c r="CB11" s="5">
        <f t="shared" si="44"/>
        <v>0</v>
      </c>
      <c r="CC11" s="38">
        <f t="shared" si="45"/>
        <v>0</v>
      </c>
      <c r="CE11" s="5">
        <f t="shared" si="102"/>
        <v>0</v>
      </c>
      <c r="CF11" s="5">
        <f t="shared" si="46"/>
        <v>0</v>
      </c>
      <c r="CG11" s="5">
        <f t="shared" si="47"/>
        <v>0</v>
      </c>
      <c r="CH11" s="38">
        <f t="shared" si="48"/>
        <v>0</v>
      </c>
      <c r="CJ11" s="5">
        <f t="shared" si="103"/>
        <v>0</v>
      </c>
      <c r="CK11" s="5">
        <f t="shared" si="49"/>
        <v>0</v>
      </c>
      <c r="CL11" s="38">
        <f t="shared" si="50"/>
        <v>0</v>
      </c>
      <c r="CM11" s="38">
        <f t="shared" si="51"/>
        <v>0</v>
      </c>
      <c r="CO11" s="5">
        <f t="shared" si="104"/>
        <v>0</v>
      </c>
      <c r="CP11" s="5">
        <f t="shared" si="52"/>
        <v>0</v>
      </c>
      <c r="CQ11" s="5">
        <f t="shared" si="53"/>
        <v>0</v>
      </c>
      <c r="CR11" s="38">
        <f t="shared" si="54"/>
        <v>0</v>
      </c>
      <c r="CT11" s="5">
        <f t="shared" si="105"/>
        <v>0</v>
      </c>
      <c r="CU11" s="5">
        <f t="shared" si="55"/>
        <v>0</v>
      </c>
      <c r="CV11" s="5">
        <f t="shared" si="56"/>
        <v>0</v>
      </c>
      <c r="CW11" s="38">
        <f t="shared" si="57"/>
        <v>0</v>
      </c>
      <c r="CY11" s="5">
        <f t="shared" si="106"/>
        <v>0</v>
      </c>
      <c r="CZ11" s="5">
        <f t="shared" si="58"/>
        <v>0</v>
      </c>
      <c r="DA11" s="5">
        <f t="shared" si="59"/>
        <v>0</v>
      </c>
      <c r="DB11" s="38">
        <f t="shared" si="60"/>
        <v>0</v>
      </c>
      <c r="DD11" s="5">
        <f t="shared" si="107"/>
        <v>0</v>
      </c>
      <c r="DE11" s="5">
        <f t="shared" si="61"/>
        <v>0</v>
      </c>
      <c r="DF11" s="38">
        <f t="shared" si="62"/>
        <v>0</v>
      </c>
      <c r="DG11" s="38">
        <f t="shared" si="63"/>
        <v>0</v>
      </c>
      <c r="DI11" s="5">
        <f t="shared" si="108"/>
        <v>0</v>
      </c>
      <c r="DJ11" s="38">
        <f t="shared" si="64"/>
        <v>0</v>
      </c>
      <c r="DK11" s="38">
        <f t="shared" si="65"/>
        <v>0</v>
      </c>
      <c r="DL11" s="38">
        <f t="shared" si="66"/>
        <v>0</v>
      </c>
      <c r="DN11" s="5">
        <f t="shared" si="109"/>
        <v>0</v>
      </c>
      <c r="DO11" s="38">
        <f t="shared" si="67"/>
        <v>0</v>
      </c>
      <c r="DP11" s="38">
        <f t="shared" si="68"/>
        <v>0</v>
      </c>
      <c r="DQ11" s="38">
        <f t="shared" si="69"/>
        <v>0</v>
      </c>
      <c r="DS11" s="5">
        <f t="shared" si="110"/>
        <v>0</v>
      </c>
      <c r="DT11" s="5">
        <f t="shared" si="70"/>
        <v>0</v>
      </c>
      <c r="DU11" s="5">
        <f t="shared" si="71"/>
        <v>0</v>
      </c>
      <c r="DV11" s="38">
        <f t="shared" si="72"/>
        <v>0</v>
      </c>
      <c r="DX11" s="38">
        <f t="shared" si="111"/>
        <v>0</v>
      </c>
      <c r="DY11" s="38">
        <f t="shared" si="73"/>
        <v>0</v>
      </c>
      <c r="DZ11" s="5">
        <f t="shared" si="74"/>
        <v>0</v>
      </c>
      <c r="EA11" s="38">
        <f t="shared" si="75"/>
        <v>0</v>
      </c>
      <c r="EC11" s="38">
        <f t="shared" si="112"/>
        <v>0</v>
      </c>
      <c r="ED11" s="38">
        <f t="shared" si="76"/>
        <v>0</v>
      </c>
      <c r="EE11" s="5">
        <f t="shared" si="77"/>
        <v>0</v>
      </c>
      <c r="EF11" s="38">
        <f t="shared" si="78"/>
        <v>0</v>
      </c>
      <c r="EH11" s="5">
        <f t="shared" si="113"/>
        <v>0</v>
      </c>
      <c r="EI11" s="5">
        <f t="shared" si="79"/>
        <v>0</v>
      </c>
      <c r="EJ11" s="5">
        <f t="shared" si="80"/>
        <v>0</v>
      </c>
      <c r="EK11" s="38">
        <f t="shared" si="81"/>
        <v>0</v>
      </c>
      <c r="EM11" s="5">
        <f t="shared" si="114"/>
        <v>0</v>
      </c>
      <c r="EN11" s="5">
        <f t="shared" si="82"/>
        <v>0</v>
      </c>
      <c r="EO11" s="5">
        <f t="shared" si="83"/>
        <v>0</v>
      </c>
      <c r="EP11" s="38">
        <f t="shared" si="84"/>
        <v>0</v>
      </c>
      <c r="ER11" s="5">
        <f t="shared" si="115"/>
        <v>0</v>
      </c>
      <c r="ES11" s="5">
        <f t="shared" si="85"/>
        <v>0</v>
      </c>
      <c r="ET11" s="5">
        <f t="shared" si="86"/>
        <v>0</v>
      </c>
      <c r="EU11" s="38">
        <f t="shared" si="87"/>
        <v>0</v>
      </c>
    </row>
    <row r="12" spans="1:151" ht="12.75">
      <c r="A12" s="40">
        <v>44835</v>
      </c>
      <c r="C12" s="76">
        <f>'2010(A&amp;B)'!B12</f>
        <v>0</v>
      </c>
      <c r="D12" s="76">
        <f>'2010(A&amp;B)'!C12</f>
        <v>0</v>
      </c>
      <c r="E12" s="37">
        <f t="shared" si="0"/>
        <v>0</v>
      </c>
      <c r="F12" s="76">
        <f>'2010(A&amp;B)'!E12</f>
        <v>0</v>
      </c>
      <c r="H12" s="50"/>
      <c r="I12" s="38">
        <f t="shared" si="1"/>
        <v>0</v>
      </c>
      <c r="J12" s="38">
        <f t="shared" si="2"/>
        <v>0</v>
      </c>
      <c r="K12" s="38">
        <f t="shared" si="3"/>
        <v>0</v>
      </c>
      <c r="N12" s="5">
        <f t="shared" si="4"/>
        <v>0</v>
      </c>
      <c r="O12" s="5">
        <f t="shared" si="5"/>
        <v>0</v>
      </c>
      <c r="P12" s="38">
        <f t="shared" si="6"/>
        <v>0</v>
      </c>
      <c r="S12" s="38">
        <f t="shared" si="7"/>
        <v>0</v>
      </c>
      <c r="T12" s="38">
        <f t="shared" si="8"/>
        <v>0</v>
      </c>
      <c r="U12" s="38">
        <f t="shared" si="9"/>
        <v>0</v>
      </c>
      <c r="X12" s="5">
        <f t="shared" si="10"/>
        <v>0</v>
      </c>
      <c r="Y12" s="5">
        <f t="shared" si="11"/>
        <v>0</v>
      </c>
      <c r="Z12" s="38">
        <f t="shared" si="12"/>
        <v>0</v>
      </c>
      <c r="AC12" s="5">
        <f t="shared" si="13"/>
        <v>0</v>
      </c>
      <c r="AD12" s="5">
        <f t="shared" si="14"/>
        <v>0</v>
      </c>
      <c r="AE12" s="38">
        <f t="shared" si="15"/>
        <v>0</v>
      </c>
      <c r="AH12" s="5">
        <f t="shared" si="16"/>
        <v>0</v>
      </c>
      <c r="AI12" s="5">
        <f t="shared" si="17"/>
        <v>0</v>
      </c>
      <c r="AJ12" s="38">
        <f t="shared" si="18"/>
        <v>0</v>
      </c>
      <c r="AM12" s="5">
        <f t="shared" si="19"/>
        <v>0</v>
      </c>
      <c r="AN12" s="5">
        <f t="shared" si="20"/>
        <v>0</v>
      </c>
      <c r="AO12" s="38">
        <f t="shared" si="21"/>
        <v>0</v>
      </c>
      <c r="AR12" s="5">
        <f t="shared" si="22"/>
        <v>0</v>
      </c>
      <c r="AS12" s="5">
        <f t="shared" si="23"/>
        <v>0</v>
      </c>
      <c r="AT12" s="38">
        <f t="shared" si="24"/>
        <v>0</v>
      </c>
      <c r="AW12" s="5">
        <f t="shared" si="25"/>
        <v>0</v>
      </c>
      <c r="AX12" s="5">
        <f t="shared" si="26"/>
        <v>0</v>
      </c>
      <c r="AY12" s="38">
        <f t="shared" si="27"/>
        <v>0</v>
      </c>
      <c r="BA12" s="38"/>
      <c r="BB12" s="5">
        <f t="shared" si="28"/>
        <v>0</v>
      </c>
      <c r="BC12" s="38">
        <f t="shared" si="29"/>
        <v>0</v>
      </c>
      <c r="BD12" s="38">
        <f t="shared" si="30"/>
        <v>0</v>
      </c>
      <c r="BG12" s="5">
        <f t="shared" si="31"/>
        <v>0</v>
      </c>
      <c r="BH12" s="5">
        <f t="shared" si="32"/>
        <v>0</v>
      </c>
      <c r="BI12" s="38">
        <f t="shared" si="33"/>
        <v>0</v>
      </c>
      <c r="BL12" s="5">
        <f t="shared" si="34"/>
        <v>0</v>
      </c>
      <c r="BM12" s="5">
        <f t="shared" si="35"/>
        <v>0</v>
      </c>
      <c r="BN12" s="38">
        <f t="shared" si="36"/>
        <v>0</v>
      </c>
      <c r="BQ12" s="5">
        <f t="shared" si="37"/>
        <v>0</v>
      </c>
      <c r="BR12" s="5">
        <f t="shared" si="38"/>
        <v>0</v>
      </c>
      <c r="BS12" s="38">
        <f t="shared" si="39"/>
        <v>0</v>
      </c>
      <c r="BV12" s="5">
        <f t="shared" si="40"/>
        <v>0</v>
      </c>
      <c r="BW12" s="5">
        <f t="shared" si="41"/>
        <v>0</v>
      </c>
      <c r="BX12" s="38">
        <f t="shared" si="42"/>
        <v>0</v>
      </c>
      <c r="CA12" s="5">
        <f t="shared" si="43"/>
        <v>0</v>
      </c>
      <c r="CB12" s="5">
        <f t="shared" si="44"/>
        <v>0</v>
      </c>
      <c r="CC12" s="38">
        <f t="shared" si="45"/>
        <v>0</v>
      </c>
      <c r="CF12" s="5">
        <f t="shared" si="46"/>
        <v>0</v>
      </c>
      <c r="CG12" s="5">
        <f t="shared" si="47"/>
        <v>0</v>
      </c>
      <c r="CH12" s="38">
        <f t="shared" si="48"/>
        <v>0</v>
      </c>
      <c r="CK12" s="5">
        <f t="shared" si="49"/>
        <v>0</v>
      </c>
      <c r="CL12" s="38">
        <f t="shared" si="50"/>
        <v>0</v>
      </c>
      <c r="CM12" s="38">
        <f t="shared" si="51"/>
        <v>0</v>
      </c>
      <c r="CP12" s="5">
        <f t="shared" si="52"/>
        <v>0</v>
      </c>
      <c r="CQ12" s="5">
        <f t="shared" si="53"/>
        <v>0</v>
      </c>
      <c r="CR12" s="38">
        <f t="shared" si="54"/>
        <v>0</v>
      </c>
      <c r="CU12" s="5">
        <f t="shared" si="55"/>
        <v>0</v>
      </c>
      <c r="CV12" s="5">
        <f t="shared" si="56"/>
        <v>0</v>
      </c>
      <c r="CW12" s="38">
        <f t="shared" si="57"/>
        <v>0</v>
      </c>
      <c r="CZ12" s="5">
        <f t="shared" si="58"/>
        <v>0</v>
      </c>
      <c r="DA12" s="5">
        <f t="shared" si="59"/>
        <v>0</v>
      </c>
      <c r="DB12" s="38">
        <f t="shared" si="60"/>
        <v>0</v>
      </c>
      <c r="DE12" s="5">
        <f t="shared" si="61"/>
        <v>0</v>
      </c>
      <c r="DF12" s="38">
        <f t="shared" si="62"/>
        <v>0</v>
      </c>
      <c r="DG12" s="38">
        <f t="shared" si="63"/>
        <v>0</v>
      </c>
      <c r="DJ12" s="38">
        <f t="shared" si="64"/>
        <v>0</v>
      </c>
      <c r="DK12" s="38">
        <f t="shared" si="65"/>
        <v>0</v>
      </c>
      <c r="DL12" s="38">
        <f t="shared" si="66"/>
        <v>0</v>
      </c>
      <c r="DO12" s="38">
        <f t="shared" si="67"/>
        <v>0</v>
      </c>
      <c r="DP12" s="38">
        <f t="shared" si="68"/>
        <v>0</v>
      </c>
      <c r="DQ12" s="38">
        <f t="shared" si="69"/>
        <v>0</v>
      </c>
      <c r="DT12" s="5">
        <f t="shared" si="70"/>
        <v>0</v>
      </c>
      <c r="DU12" s="5">
        <f t="shared" si="71"/>
        <v>0</v>
      </c>
      <c r="DV12" s="38">
        <f t="shared" si="72"/>
        <v>0</v>
      </c>
      <c r="DX12" s="38"/>
      <c r="DY12" s="38">
        <f t="shared" si="73"/>
        <v>0</v>
      </c>
      <c r="DZ12" s="5">
        <f t="shared" si="74"/>
        <v>0</v>
      </c>
      <c r="EA12" s="38">
        <f t="shared" si="75"/>
        <v>0</v>
      </c>
      <c r="EC12" s="38"/>
      <c r="ED12" s="38">
        <f t="shared" si="76"/>
        <v>0</v>
      </c>
      <c r="EE12" s="5">
        <f t="shared" si="77"/>
        <v>0</v>
      </c>
      <c r="EF12" s="38">
        <f t="shared" si="78"/>
        <v>0</v>
      </c>
      <c r="EI12" s="5">
        <f t="shared" si="79"/>
        <v>0</v>
      </c>
      <c r="EJ12" s="5">
        <f t="shared" si="80"/>
        <v>0</v>
      </c>
      <c r="EK12" s="38">
        <f t="shared" si="81"/>
        <v>0</v>
      </c>
      <c r="EM12" s="5"/>
      <c r="EN12" s="5">
        <f t="shared" si="82"/>
        <v>0</v>
      </c>
      <c r="EO12" s="5">
        <f t="shared" si="83"/>
        <v>0</v>
      </c>
      <c r="EP12" s="38">
        <f t="shared" si="84"/>
        <v>0</v>
      </c>
      <c r="ER12" s="5"/>
      <c r="ES12" s="5">
        <f t="shared" si="85"/>
        <v>0</v>
      </c>
      <c r="ET12" s="5">
        <f t="shared" si="86"/>
        <v>0</v>
      </c>
      <c r="EU12" s="38">
        <f t="shared" si="87"/>
        <v>0</v>
      </c>
    </row>
    <row r="13" spans="1:151" ht="12.75">
      <c r="A13" s="40">
        <v>45017</v>
      </c>
      <c r="C13" s="76">
        <f>'2010(A&amp;B)'!B13</f>
        <v>0</v>
      </c>
      <c r="D13" s="76">
        <f>'2010(A&amp;B)'!C13</f>
        <v>0</v>
      </c>
      <c r="E13" s="37">
        <f t="shared" si="0"/>
        <v>0</v>
      </c>
      <c r="F13" s="76">
        <f>'2010(A&amp;B)'!E13</f>
        <v>0</v>
      </c>
      <c r="H13" s="50">
        <f t="shared" si="88"/>
        <v>0</v>
      </c>
      <c r="I13" s="38">
        <f t="shared" si="1"/>
        <v>0</v>
      </c>
      <c r="J13" s="38">
        <f t="shared" si="2"/>
        <v>0</v>
      </c>
      <c r="K13" s="38">
        <f t="shared" si="3"/>
        <v>0</v>
      </c>
      <c r="M13" s="5">
        <f t="shared" si="89"/>
        <v>0</v>
      </c>
      <c r="N13" s="5">
        <f t="shared" si="4"/>
        <v>0</v>
      </c>
      <c r="O13" s="5">
        <f t="shared" si="5"/>
        <v>0</v>
      </c>
      <c r="P13" s="38">
        <f t="shared" si="6"/>
        <v>0</v>
      </c>
      <c r="R13" s="5">
        <f t="shared" si="90"/>
        <v>0</v>
      </c>
      <c r="S13" s="38">
        <f t="shared" si="7"/>
        <v>0</v>
      </c>
      <c r="T13" s="38">
        <f t="shared" si="8"/>
        <v>0</v>
      </c>
      <c r="U13" s="38">
        <f t="shared" si="9"/>
        <v>0</v>
      </c>
      <c r="W13" s="5">
        <f t="shared" si="91"/>
        <v>0</v>
      </c>
      <c r="X13" s="5">
        <f t="shared" si="10"/>
        <v>0</v>
      </c>
      <c r="Y13" s="5">
        <f t="shared" si="11"/>
        <v>0</v>
      </c>
      <c r="Z13" s="38">
        <f t="shared" si="12"/>
        <v>0</v>
      </c>
      <c r="AB13" s="5">
        <f t="shared" si="92"/>
        <v>0</v>
      </c>
      <c r="AC13" s="5">
        <f t="shared" si="13"/>
        <v>0</v>
      </c>
      <c r="AD13" s="5">
        <f t="shared" si="14"/>
        <v>0</v>
      </c>
      <c r="AE13" s="38">
        <f t="shared" si="15"/>
        <v>0</v>
      </c>
      <c r="AG13" s="5">
        <f t="shared" si="93"/>
        <v>0</v>
      </c>
      <c r="AH13" s="5">
        <f t="shared" si="16"/>
        <v>0</v>
      </c>
      <c r="AI13" s="5">
        <f t="shared" si="17"/>
        <v>0</v>
      </c>
      <c r="AJ13" s="38">
        <f t="shared" si="18"/>
        <v>0</v>
      </c>
      <c r="AL13" s="5">
        <f t="shared" si="94"/>
        <v>0</v>
      </c>
      <c r="AM13" s="5">
        <f t="shared" si="19"/>
        <v>0</v>
      </c>
      <c r="AN13" s="5">
        <f t="shared" si="20"/>
        <v>0</v>
      </c>
      <c r="AO13" s="38">
        <f t="shared" si="21"/>
        <v>0</v>
      </c>
      <c r="AQ13" s="5">
        <f t="shared" si="95"/>
        <v>0</v>
      </c>
      <c r="AR13" s="5">
        <f t="shared" si="22"/>
        <v>0</v>
      </c>
      <c r="AS13" s="5">
        <f t="shared" si="23"/>
        <v>0</v>
      </c>
      <c r="AT13" s="38">
        <f t="shared" si="24"/>
        <v>0</v>
      </c>
      <c r="AV13" s="5">
        <f>C13*$AX$6</f>
        <v>0</v>
      </c>
      <c r="AW13" s="5">
        <f t="shared" si="25"/>
        <v>0</v>
      </c>
      <c r="AX13" s="5">
        <f t="shared" si="26"/>
        <v>0</v>
      </c>
      <c r="AY13" s="38">
        <f t="shared" si="27"/>
        <v>0</v>
      </c>
      <c r="BA13" s="38">
        <f t="shared" si="96"/>
        <v>0</v>
      </c>
      <c r="BB13" s="5">
        <f t="shared" si="28"/>
        <v>0</v>
      </c>
      <c r="BC13" s="38">
        <f t="shared" si="29"/>
        <v>0</v>
      </c>
      <c r="BD13" s="38">
        <f t="shared" si="30"/>
        <v>0</v>
      </c>
      <c r="BF13" s="5">
        <f t="shared" si="97"/>
        <v>0</v>
      </c>
      <c r="BG13" s="5">
        <f t="shared" si="31"/>
        <v>0</v>
      </c>
      <c r="BH13" s="5">
        <f t="shared" si="32"/>
        <v>0</v>
      </c>
      <c r="BI13" s="38">
        <f t="shared" si="33"/>
        <v>0</v>
      </c>
      <c r="BK13" s="5">
        <f t="shared" si="98"/>
        <v>0</v>
      </c>
      <c r="BL13" s="5">
        <f t="shared" si="34"/>
        <v>0</v>
      </c>
      <c r="BM13" s="5">
        <f t="shared" si="35"/>
        <v>0</v>
      </c>
      <c r="BN13" s="38">
        <f t="shared" si="36"/>
        <v>0</v>
      </c>
      <c r="BP13" s="5">
        <f t="shared" si="99"/>
        <v>0</v>
      </c>
      <c r="BQ13" s="5">
        <f t="shared" si="37"/>
        <v>0</v>
      </c>
      <c r="BR13" s="5">
        <f t="shared" si="38"/>
        <v>0</v>
      </c>
      <c r="BS13" s="38">
        <f t="shared" si="39"/>
        <v>0</v>
      </c>
      <c r="BU13" s="5">
        <f t="shared" si="100"/>
        <v>0</v>
      </c>
      <c r="BV13" s="5">
        <f t="shared" si="40"/>
        <v>0</v>
      </c>
      <c r="BW13" s="5">
        <f t="shared" si="41"/>
        <v>0</v>
      </c>
      <c r="BX13" s="38">
        <f t="shared" si="42"/>
        <v>0</v>
      </c>
      <c r="BZ13" s="5">
        <f t="shared" si="101"/>
        <v>0</v>
      </c>
      <c r="CA13" s="5">
        <f t="shared" si="43"/>
        <v>0</v>
      </c>
      <c r="CB13" s="5">
        <f t="shared" si="44"/>
        <v>0</v>
      </c>
      <c r="CC13" s="38">
        <f t="shared" si="45"/>
        <v>0</v>
      </c>
      <c r="CE13" s="5">
        <f t="shared" si="102"/>
        <v>0</v>
      </c>
      <c r="CF13" s="5">
        <f t="shared" si="46"/>
        <v>0</v>
      </c>
      <c r="CG13" s="5">
        <f t="shared" si="47"/>
        <v>0</v>
      </c>
      <c r="CH13" s="38">
        <f t="shared" si="48"/>
        <v>0</v>
      </c>
      <c r="CJ13" s="5">
        <f t="shared" si="103"/>
        <v>0</v>
      </c>
      <c r="CK13" s="5">
        <f t="shared" si="49"/>
        <v>0</v>
      </c>
      <c r="CL13" s="38">
        <f t="shared" si="50"/>
        <v>0</v>
      </c>
      <c r="CM13" s="38">
        <f t="shared" si="51"/>
        <v>0</v>
      </c>
      <c r="CO13" s="5">
        <f t="shared" si="104"/>
        <v>0</v>
      </c>
      <c r="CP13" s="5">
        <f t="shared" si="52"/>
        <v>0</v>
      </c>
      <c r="CQ13" s="5">
        <f t="shared" si="53"/>
        <v>0</v>
      </c>
      <c r="CR13" s="38">
        <f t="shared" si="54"/>
        <v>0</v>
      </c>
      <c r="CT13" s="5">
        <f t="shared" si="105"/>
        <v>0</v>
      </c>
      <c r="CU13" s="5">
        <f t="shared" si="55"/>
        <v>0</v>
      </c>
      <c r="CV13" s="5">
        <f t="shared" si="56"/>
        <v>0</v>
      </c>
      <c r="CW13" s="38">
        <f t="shared" si="57"/>
        <v>0</v>
      </c>
      <c r="CY13" s="5">
        <f t="shared" si="106"/>
        <v>0</v>
      </c>
      <c r="CZ13" s="5">
        <f t="shared" si="58"/>
        <v>0</v>
      </c>
      <c r="DA13" s="5">
        <f t="shared" si="59"/>
        <v>0</v>
      </c>
      <c r="DB13" s="38">
        <f t="shared" si="60"/>
        <v>0</v>
      </c>
      <c r="DD13" s="5">
        <f t="shared" si="107"/>
        <v>0</v>
      </c>
      <c r="DE13" s="5">
        <f t="shared" si="61"/>
        <v>0</v>
      </c>
      <c r="DF13" s="38">
        <f t="shared" si="62"/>
        <v>0</v>
      </c>
      <c r="DG13" s="38">
        <f t="shared" si="63"/>
        <v>0</v>
      </c>
      <c r="DI13" s="5">
        <f t="shared" si="108"/>
        <v>0</v>
      </c>
      <c r="DJ13" s="38">
        <f t="shared" si="64"/>
        <v>0</v>
      </c>
      <c r="DK13" s="38">
        <f t="shared" si="65"/>
        <v>0</v>
      </c>
      <c r="DL13" s="38">
        <f t="shared" si="66"/>
        <v>0</v>
      </c>
      <c r="DN13" s="5">
        <f t="shared" si="109"/>
        <v>0</v>
      </c>
      <c r="DO13" s="38">
        <f t="shared" si="67"/>
        <v>0</v>
      </c>
      <c r="DP13" s="38">
        <f t="shared" si="68"/>
        <v>0</v>
      </c>
      <c r="DQ13" s="38">
        <f t="shared" si="69"/>
        <v>0</v>
      </c>
      <c r="DS13" s="5">
        <f t="shared" si="110"/>
        <v>0</v>
      </c>
      <c r="DT13" s="5">
        <f t="shared" si="70"/>
        <v>0</v>
      </c>
      <c r="DU13" s="5">
        <f t="shared" si="71"/>
        <v>0</v>
      </c>
      <c r="DV13" s="38">
        <f t="shared" si="72"/>
        <v>0</v>
      </c>
      <c r="DX13" s="38">
        <f t="shared" si="111"/>
        <v>0</v>
      </c>
      <c r="DY13" s="38">
        <f t="shared" si="73"/>
        <v>0</v>
      </c>
      <c r="DZ13" s="5">
        <f t="shared" si="74"/>
        <v>0</v>
      </c>
      <c r="EA13" s="38">
        <f t="shared" si="75"/>
        <v>0</v>
      </c>
      <c r="EC13" s="38">
        <f t="shared" si="112"/>
        <v>0</v>
      </c>
      <c r="ED13" s="38">
        <f t="shared" si="76"/>
        <v>0</v>
      </c>
      <c r="EE13" s="5">
        <f t="shared" si="77"/>
        <v>0</v>
      </c>
      <c r="EF13" s="38">
        <f t="shared" si="78"/>
        <v>0</v>
      </c>
      <c r="EH13" s="5">
        <f t="shared" si="113"/>
        <v>0</v>
      </c>
      <c r="EI13" s="5">
        <f t="shared" si="79"/>
        <v>0</v>
      </c>
      <c r="EJ13" s="5">
        <f t="shared" si="80"/>
        <v>0</v>
      </c>
      <c r="EK13" s="38">
        <f t="shared" si="81"/>
        <v>0</v>
      </c>
      <c r="EM13" s="5">
        <f t="shared" si="114"/>
        <v>0</v>
      </c>
      <c r="EN13" s="5">
        <f t="shared" si="82"/>
        <v>0</v>
      </c>
      <c r="EO13" s="5">
        <f t="shared" si="83"/>
        <v>0</v>
      </c>
      <c r="EP13" s="38">
        <f t="shared" si="84"/>
        <v>0</v>
      </c>
      <c r="ER13" s="5">
        <f t="shared" si="115"/>
        <v>0</v>
      </c>
      <c r="ES13" s="5">
        <f t="shared" si="85"/>
        <v>0</v>
      </c>
      <c r="ET13" s="5">
        <f t="shared" si="86"/>
        <v>0</v>
      </c>
      <c r="EU13" s="38">
        <f t="shared" si="87"/>
        <v>0</v>
      </c>
    </row>
    <row r="14" spans="1:151" ht="12.75">
      <c r="A14" s="40">
        <v>45200</v>
      </c>
      <c r="C14" s="76">
        <f>'2010(A&amp;B)'!B14</f>
        <v>0</v>
      </c>
      <c r="D14" s="76">
        <f>'2010(A&amp;B)'!C14</f>
        <v>0</v>
      </c>
      <c r="E14" s="37">
        <f t="shared" si="0"/>
        <v>0</v>
      </c>
      <c r="F14" s="76">
        <f>'2010(A&amp;B)'!E14</f>
        <v>0</v>
      </c>
      <c r="H14" s="50"/>
      <c r="I14" s="38">
        <f t="shared" si="1"/>
        <v>0</v>
      </c>
      <c r="J14" s="38">
        <f t="shared" si="2"/>
        <v>0</v>
      </c>
      <c r="K14" s="38">
        <f t="shared" si="3"/>
        <v>0</v>
      </c>
      <c r="N14" s="5">
        <f t="shared" si="4"/>
        <v>0</v>
      </c>
      <c r="O14" s="5">
        <f t="shared" si="5"/>
        <v>0</v>
      </c>
      <c r="P14" s="38">
        <f t="shared" si="6"/>
        <v>0</v>
      </c>
      <c r="S14" s="38">
        <f t="shared" si="7"/>
        <v>0</v>
      </c>
      <c r="T14" s="38">
        <f t="shared" si="8"/>
        <v>0</v>
      </c>
      <c r="U14" s="38">
        <f t="shared" si="9"/>
        <v>0</v>
      </c>
      <c r="X14" s="5">
        <f t="shared" si="10"/>
        <v>0</v>
      </c>
      <c r="Y14" s="5">
        <f t="shared" si="11"/>
        <v>0</v>
      </c>
      <c r="Z14" s="38">
        <f t="shared" si="12"/>
        <v>0</v>
      </c>
      <c r="AC14" s="5">
        <f t="shared" si="13"/>
        <v>0</v>
      </c>
      <c r="AD14" s="5">
        <f t="shared" si="14"/>
        <v>0</v>
      </c>
      <c r="AE14" s="38">
        <f t="shared" si="15"/>
        <v>0</v>
      </c>
      <c r="AH14" s="5">
        <f t="shared" si="16"/>
        <v>0</v>
      </c>
      <c r="AI14" s="5">
        <f t="shared" si="17"/>
        <v>0</v>
      </c>
      <c r="AJ14" s="38">
        <f t="shared" si="18"/>
        <v>0</v>
      </c>
      <c r="AM14" s="5">
        <f t="shared" si="19"/>
        <v>0</v>
      </c>
      <c r="AN14" s="5">
        <f t="shared" si="20"/>
        <v>0</v>
      </c>
      <c r="AO14" s="38">
        <f t="shared" si="21"/>
        <v>0</v>
      </c>
      <c r="AR14" s="5">
        <f t="shared" si="22"/>
        <v>0</v>
      </c>
      <c r="AS14" s="5">
        <f t="shared" si="23"/>
        <v>0</v>
      </c>
      <c r="AT14" s="38">
        <f t="shared" si="24"/>
        <v>0</v>
      </c>
      <c r="AW14" s="5">
        <f t="shared" si="25"/>
        <v>0</v>
      </c>
      <c r="AX14" s="5">
        <f t="shared" si="26"/>
        <v>0</v>
      </c>
      <c r="AY14" s="38">
        <f t="shared" si="27"/>
        <v>0</v>
      </c>
      <c r="BA14" s="38"/>
      <c r="BB14" s="5">
        <f t="shared" si="28"/>
        <v>0</v>
      </c>
      <c r="BC14" s="38">
        <f t="shared" si="29"/>
        <v>0</v>
      </c>
      <c r="BD14" s="38">
        <f t="shared" si="30"/>
        <v>0</v>
      </c>
      <c r="BG14" s="5">
        <f t="shared" si="31"/>
        <v>0</v>
      </c>
      <c r="BH14" s="5">
        <f t="shared" si="32"/>
        <v>0</v>
      </c>
      <c r="BI14" s="38">
        <f t="shared" si="33"/>
        <v>0</v>
      </c>
      <c r="BL14" s="5">
        <f t="shared" si="34"/>
        <v>0</v>
      </c>
      <c r="BM14" s="5">
        <f t="shared" si="35"/>
        <v>0</v>
      </c>
      <c r="BN14" s="38">
        <f t="shared" si="36"/>
        <v>0</v>
      </c>
      <c r="BQ14" s="5">
        <f t="shared" si="37"/>
        <v>0</v>
      </c>
      <c r="BR14" s="5">
        <f t="shared" si="38"/>
        <v>0</v>
      </c>
      <c r="BS14" s="38">
        <f t="shared" si="39"/>
        <v>0</v>
      </c>
      <c r="BV14" s="5">
        <f t="shared" si="40"/>
        <v>0</v>
      </c>
      <c r="BW14" s="5">
        <f t="shared" si="41"/>
        <v>0</v>
      </c>
      <c r="BX14" s="38">
        <f t="shared" si="42"/>
        <v>0</v>
      </c>
      <c r="CA14" s="5">
        <f t="shared" si="43"/>
        <v>0</v>
      </c>
      <c r="CB14" s="5">
        <f t="shared" si="44"/>
        <v>0</v>
      </c>
      <c r="CC14" s="38">
        <f t="shared" si="45"/>
        <v>0</v>
      </c>
      <c r="CF14" s="5">
        <f t="shared" si="46"/>
        <v>0</v>
      </c>
      <c r="CG14" s="5">
        <f t="shared" si="47"/>
        <v>0</v>
      </c>
      <c r="CH14" s="38">
        <f t="shared" si="48"/>
        <v>0</v>
      </c>
      <c r="CK14" s="5">
        <f t="shared" si="49"/>
        <v>0</v>
      </c>
      <c r="CL14" s="38">
        <f t="shared" si="50"/>
        <v>0</v>
      </c>
      <c r="CM14" s="38">
        <f t="shared" si="51"/>
        <v>0</v>
      </c>
      <c r="CP14" s="5">
        <f t="shared" si="52"/>
        <v>0</v>
      </c>
      <c r="CQ14" s="5">
        <f t="shared" si="53"/>
        <v>0</v>
      </c>
      <c r="CR14" s="38">
        <f t="shared" si="54"/>
        <v>0</v>
      </c>
      <c r="CU14" s="5">
        <f t="shared" si="55"/>
        <v>0</v>
      </c>
      <c r="CV14" s="5">
        <f t="shared" si="56"/>
        <v>0</v>
      </c>
      <c r="CW14" s="38">
        <f t="shared" si="57"/>
        <v>0</v>
      </c>
      <c r="CZ14" s="5">
        <f t="shared" si="58"/>
        <v>0</v>
      </c>
      <c r="DA14" s="5">
        <f t="shared" si="59"/>
        <v>0</v>
      </c>
      <c r="DB14" s="38">
        <f t="shared" si="60"/>
        <v>0</v>
      </c>
      <c r="DE14" s="5">
        <f t="shared" si="61"/>
        <v>0</v>
      </c>
      <c r="DF14" s="38">
        <f t="shared" si="62"/>
        <v>0</v>
      </c>
      <c r="DG14" s="38">
        <f t="shared" si="63"/>
        <v>0</v>
      </c>
      <c r="DJ14" s="38">
        <f t="shared" si="64"/>
        <v>0</v>
      </c>
      <c r="DK14" s="38">
        <f t="shared" si="65"/>
        <v>0</v>
      </c>
      <c r="DL14" s="38">
        <f t="shared" si="66"/>
        <v>0</v>
      </c>
      <c r="DO14" s="38">
        <f t="shared" si="67"/>
        <v>0</v>
      </c>
      <c r="DP14" s="38">
        <f t="shared" si="68"/>
        <v>0</v>
      </c>
      <c r="DQ14" s="38">
        <f t="shared" si="69"/>
        <v>0</v>
      </c>
      <c r="DT14" s="5">
        <f t="shared" si="70"/>
        <v>0</v>
      </c>
      <c r="DU14" s="5">
        <f t="shared" si="71"/>
        <v>0</v>
      </c>
      <c r="DV14" s="38">
        <f t="shared" si="72"/>
        <v>0</v>
      </c>
      <c r="DX14" s="38"/>
      <c r="DY14" s="38">
        <f t="shared" si="73"/>
        <v>0</v>
      </c>
      <c r="DZ14" s="5">
        <f t="shared" si="74"/>
        <v>0</v>
      </c>
      <c r="EA14" s="38">
        <f t="shared" si="75"/>
        <v>0</v>
      </c>
      <c r="EC14" s="38"/>
      <c r="ED14" s="38">
        <f t="shared" si="76"/>
        <v>0</v>
      </c>
      <c r="EE14" s="5">
        <f t="shared" si="77"/>
        <v>0</v>
      </c>
      <c r="EF14" s="38">
        <f t="shared" si="78"/>
        <v>0</v>
      </c>
      <c r="EI14" s="5">
        <f t="shared" si="79"/>
        <v>0</v>
      </c>
      <c r="EJ14" s="5">
        <f t="shared" si="80"/>
        <v>0</v>
      </c>
      <c r="EK14" s="38">
        <f t="shared" si="81"/>
        <v>0</v>
      </c>
      <c r="EM14" s="5"/>
      <c r="EN14" s="5">
        <f t="shared" si="82"/>
        <v>0</v>
      </c>
      <c r="EO14" s="5">
        <f t="shared" si="83"/>
        <v>0</v>
      </c>
      <c r="EP14" s="38">
        <f t="shared" si="84"/>
        <v>0</v>
      </c>
      <c r="ER14" s="5"/>
      <c r="ES14" s="5">
        <f t="shared" si="85"/>
        <v>0</v>
      </c>
      <c r="ET14" s="5">
        <f t="shared" si="86"/>
        <v>0</v>
      </c>
      <c r="EU14" s="38">
        <f t="shared" si="87"/>
        <v>0</v>
      </c>
    </row>
    <row r="15" spans="1:151" ht="12.75">
      <c r="A15" s="40">
        <v>45383</v>
      </c>
      <c r="C15" s="76">
        <f>'2010(A&amp;B)'!B15</f>
        <v>0</v>
      </c>
      <c r="D15" s="76">
        <f>'2010(A&amp;B)'!C15</f>
        <v>0</v>
      </c>
      <c r="E15" s="37">
        <f t="shared" si="0"/>
        <v>0</v>
      </c>
      <c r="F15" s="76">
        <f>'2010(A&amp;B)'!E15</f>
        <v>0</v>
      </c>
      <c r="H15" s="50">
        <f t="shared" si="88"/>
        <v>0</v>
      </c>
      <c r="I15" s="38">
        <f t="shared" si="1"/>
        <v>0</v>
      </c>
      <c r="J15" s="38">
        <f t="shared" si="2"/>
        <v>0</v>
      </c>
      <c r="K15" s="38">
        <f t="shared" si="3"/>
        <v>0</v>
      </c>
      <c r="M15" s="5">
        <f t="shared" si="89"/>
        <v>0</v>
      </c>
      <c r="N15" s="5">
        <f t="shared" si="4"/>
        <v>0</v>
      </c>
      <c r="O15" s="5">
        <f t="shared" si="5"/>
        <v>0</v>
      </c>
      <c r="P15" s="38">
        <f t="shared" si="6"/>
        <v>0</v>
      </c>
      <c r="R15" s="5">
        <f t="shared" si="90"/>
        <v>0</v>
      </c>
      <c r="S15" s="38">
        <f t="shared" si="7"/>
        <v>0</v>
      </c>
      <c r="T15" s="38">
        <f t="shared" si="8"/>
        <v>0</v>
      </c>
      <c r="U15" s="38">
        <f t="shared" si="9"/>
        <v>0</v>
      </c>
      <c r="W15" s="5">
        <f t="shared" si="91"/>
        <v>0</v>
      </c>
      <c r="X15" s="5">
        <f t="shared" si="10"/>
        <v>0</v>
      </c>
      <c r="Y15" s="5">
        <f t="shared" si="11"/>
        <v>0</v>
      </c>
      <c r="Z15" s="38">
        <f t="shared" si="12"/>
        <v>0</v>
      </c>
      <c r="AB15" s="5">
        <f t="shared" si="92"/>
        <v>0</v>
      </c>
      <c r="AC15" s="5">
        <f t="shared" si="13"/>
        <v>0</v>
      </c>
      <c r="AD15" s="5">
        <f t="shared" si="14"/>
        <v>0</v>
      </c>
      <c r="AE15" s="38">
        <f t="shared" si="15"/>
        <v>0</v>
      </c>
      <c r="AG15" s="5">
        <f t="shared" si="93"/>
        <v>0</v>
      </c>
      <c r="AH15" s="5">
        <f t="shared" si="16"/>
        <v>0</v>
      </c>
      <c r="AI15" s="5">
        <f t="shared" si="17"/>
        <v>0</v>
      </c>
      <c r="AJ15" s="38">
        <f t="shared" si="18"/>
        <v>0</v>
      </c>
      <c r="AL15" s="5">
        <f t="shared" si="94"/>
        <v>0</v>
      </c>
      <c r="AM15" s="5">
        <f t="shared" si="19"/>
        <v>0</v>
      </c>
      <c r="AN15" s="5">
        <f t="shared" si="20"/>
        <v>0</v>
      </c>
      <c r="AO15" s="38">
        <f t="shared" si="21"/>
        <v>0</v>
      </c>
      <c r="AQ15" s="5">
        <f t="shared" si="95"/>
        <v>0</v>
      </c>
      <c r="AR15" s="5">
        <f t="shared" si="22"/>
        <v>0</v>
      </c>
      <c r="AS15" s="5">
        <f t="shared" si="23"/>
        <v>0</v>
      </c>
      <c r="AT15" s="38">
        <f t="shared" si="24"/>
        <v>0</v>
      </c>
      <c r="AV15" s="5">
        <f>C15*$AX$6</f>
        <v>0</v>
      </c>
      <c r="AW15" s="5">
        <f t="shared" si="25"/>
        <v>0</v>
      </c>
      <c r="AX15" s="5">
        <f t="shared" si="26"/>
        <v>0</v>
      </c>
      <c r="AY15" s="38">
        <f t="shared" si="27"/>
        <v>0</v>
      </c>
      <c r="BA15" s="38">
        <f t="shared" si="96"/>
        <v>0</v>
      </c>
      <c r="BB15" s="5">
        <f t="shared" si="28"/>
        <v>0</v>
      </c>
      <c r="BC15" s="38">
        <f t="shared" si="29"/>
        <v>0</v>
      </c>
      <c r="BD15" s="38">
        <f t="shared" si="30"/>
        <v>0</v>
      </c>
      <c r="BF15" s="5">
        <f t="shared" si="97"/>
        <v>0</v>
      </c>
      <c r="BG15" s="5">
        <f t="shared" si="31"/>
        <v>0</v>
      </c>
      <c r="BH15" s="5">
        <f t="shared" si="32"/>
        <v>0</v>
      </c>
      <c r="BI15" s="38">
        <f t="shared" si="33"/>
        <v>0</v>
      </c>
      <c r="BK15" s="5">
        <f t="shared" si="98"/>
        <v>0</v>
      </c>
      <c r="BL15" s="5">
        <f t="shared" si="34"/>
        <v>0</v>
      </c>
      <c r="BM15" s="5">
        <f t="shared" si="35"/>
        <v>0</v>
      </c>
      <c r="BN15" s="38">
        <f t="shared" si="36"/>
        <v>0</v>
      </c>
      <c r="BP15" s="5">
        <f t="shared" si="99"/>
        <v>0</v>
      </c>
      <c r="BQ15" s="5">
        <f t="shared" si="37"/>
        <v>0</v>
      </c>
      <c r="BR15" s="5">
        <f t="shared" si="38"/>
        <v>0</v>
      </c>
      <c r="BS15" s="38">
        <f t="shared" si="39"/>
        <v>0</v>
      </c>
      <c r="BU15" s="5">
        <f t="shared" si="100"/>
        <v>0</v>
      </c>
      <c r="BV15" s="5">
        <f t="shared" si="40"/>
        <v>0</v>
      </c>
      <c r="BW15" s="5">
        <f t="shared" si="41"/>
        <v>0</v>
      </c>
      <c r="BX15" s="38">
        <f t="shared" si="42"/>
        <v>0</v>
      </c>
      <c r="BZ15" s="5">
        <f t="shared" si="101"/>
        <v>0</v>
      </c>
      <c r="CA15" s="5">
        <f t="shared" si="43"/>
        <v>0</v>
      </c>
      <c r="CB15" s="5">
        <f t="shared" si="44"/>
        <v>0</v>
      </c>
      <c r="CC15" s="38">
        <f t="shared" si="45"/>
        <v>0</v>
      </c>
      <c r="CE15" s="5">
        <f t="shared" si="102"/>
        <v>0</v>
      </c>
      <c r="CF15" s="5">
        <f t="shared" si="46"/>
        <v>0</v>
      </c>
      <c r="CG15" s="5">
        <f t="shared" si="47"/>
        <v>0</v>
      </c>
      <c r="CH15" s="38">
        <f t="shared" si="48"/>
        <v>0</v>
      </c>
      <c r="CJ15" s="5">
        <f t="shared" si="103"/>
        <v>0</v>
      </c>
      <c r="CK15" s="5">
        <f t="shared" si="49"/>
        <v>0</v>
      </c>
      <c r="CL15" s="38">
        <f t="shared" si="50"/>
        <v>0</v>
      </c>
      <c r="CM15" s="38">
        <f t="shared" si="51"/>
        <v>0</v>
      </c>
      <c r="CO15" s="5">
        <f t="shared" si="104"/>
        <v>0</v>
      </c>
      <c r="CP15" s="5">
        <f t="shared" si="52"/>
        <v>0</v>
      </c>
      <c r="CQ15" s="5">
        <f t="shared" si="53"/>
        <v>0</v>
      </c>
      <c r="CR15" s="38">
        <f t="shared" si="54"/>
        <v>0</v>
      </c>
      <c r="CT15" s="5">
        <f t="shared" si="105"/>
        <v>0</v>
      </c>
      <c r="CU15" s="5">
        <f t="shared" si="55"/>
        <v>0</v>
      </c>
      <c r="CV15" s="5">
        <f t="shared" si="56"/>
        <v>0</v>
      </c>
      <c r="CW15" s="38">
        <f t="shared" si="57"/>
        <v>0</v>
      </c>
      <c r="CY15" s="5">
        <f t="shared" si="106"/>
        <v>0</v>
      </c>
      <c r="CZ15" s="5">
        <f t="shared" si="58"/>
        <v>0</v>
      </c>
      <c r="DA15" s="5">
        <f t="shared" si="59"/>
        <v>0</v>
      </c>
      <c r="DB15" s="38">
        <f t="shared" si="60"/>
        <v>0</v>
      </c>
      <c r="DD15" s="5">
        <f t="shared" si="107"/>
        <v>0</v>
      </c>
      <c r="DE15" s="5">
        <f t="shared" si="61"/>
        <v>0</v>
      </c>
      <c r="DF15" s="38">
        <f t="shared" si="62"/>
        <v>0</v>
      </c>
      <c r="DG15" s="38">
        <f t="shared" si="63"/>
        <v>0</v>
      </c>
      <c r="DI15" s="5">
        <f t="shared" si="108"/>
        <v>0</v>
      </c>
      <c r="DJ15" s="38">
        <f t="shared" si="64"/>
        <v>0</v>
      </c>
      <c r="DK15" s="38">
        <f t="shared" si="65"/>
        <v>0</v>
      </c>
      <c r="DL15" s="38">
        <f t="shared" si="66"/>
        <v>0</v>
      </c>
      <c r="DN15" s="5">
        <f t="shared" si="109"/>
        <v>0</v>
      </c>
      <c r="DO15" s="38">
        <f t="shared" si="67"/>
        <v>0</v>
      </c>
      <c r="DP15" s="38">
        <f t="shared" si="68"/>
        <v>0</v>
      </c>
      <c r="DQ15" s="38">
        <f t="shared" si="69"/>
        <v>0</v>
      </c>
      <c r="DS15" s="5">
        <f t="shared" si="110"/>
        <v>0</v>
      </c>
      <c r="DT15" s="5">
        <f t="shared" si="70"/>
        <v>0</v>
      </c>
      <c r="DU15" s="5">
        <f t="shared" si="71"/>
        <v>0</v>
      </c>
      <c r="DV15" s="38">
        <f t="shared" si="72"/>
        <v>0</v>
      </c>
      <c r="DX15" s="38">
        <f t="shared" si="111"/>
        <v>0</v>
      </c>
      <c r="DY15" s="38">
        <f t="shared" si="73"/>
        <v>0</v>
      </c>
      <c r="DZ15" s="5">
        <f t="shared" si="74"/>
        <v>0</v>
      </c>
      <c r="EA15" s="38">
        <f t="shared" si="75"/>
        <v>0</v>
      </c>
      <c r="EC15" s="38">
        <f t="shared" si="112"/>
        <v>0</v>
      </c>
      <c r="ED15" s="38">
        <f t="shared" si="76"/>
        <v>0</v>
      </c>
      <c r="EE15" s="5">
        <f t="shared" si="77"/>
        <v>0</v>
      </c>
      <c r="EF15" s="38">
        <f t="shared" si="78"/>
        <v>0</v>
      </c>
      <c r="EH15" s="5">
        <f t="shared" si="113"/>
        <v>0</v>
      </c>
      <c r="EI15" s="5">
        <f t="shared" si="79"/>
        <v>0</v>
      </c>
      <c r="EJ15" s="5">
        <f t="shared" si="80"/>
        <v>0</v>
      </c>
      <c r="EK15" s="38">
        <f t="shared" si="81"/>
        <v>0</v>
      </c>
      <c r="EM15" s="5">
        <f t="shared" si="114"/>
        <v>0</v>
      </c>
      <c r="EN15" s="5">
        <f t="shared" si="82"/>
        <v>0</v>
      </c>
      <c r="EO15" s="5">
        <f t="shared" si="83"/>
        <v>0</v>
      </c>
      <c r="EP15" s="38">
        <f t="shared" si="84"/>
        <v>0</v>
      </c>
      <c r="ER15" s="5">
        <f t="shared" si="115"/>
        <v>0</v>
      </c>
      <c r="ES15" s="5">
        <f t="shared" si="85"/>
        <v>0</v>
      </c>
      <c r="ET15" s="5">
        <f t="shared" si="86"/>
        <v>0</v>
      </c>
      <c r="EU15" s="38">
        <f t="shared" si="87"/>
        <v>0</v>
      </c>
    </row>
    <row r="16" spans="1:151" ht="12.75">
      <c r="A16" s="40">
        <v>45566</v>
      </c>
      <c r="C16" s="76">
        <f>'2010(A&amp;B)'!B16</f>
        <v>0</v>
      </c>
      <c r="D16" s="76">
        <f>'2010(A&amp;B)'!C16</f>
        <v>0</v>
      </c>
      <c r="E16" s="37">
        <f t="shared" si="0"/>
        <v>0</v>
      </c>
      <c r="F16" s="76">
        <f>'2010(A&amp;B)'!E16</f>
        <v>0</v>
      </c>
      <c r="H16" s="50"/>
      <c r="I16" s="38">
        <f t="shared" si="1"/>
        <v>0</v>
      </c>
      <c r="J16" s="38">
        <f t="shared" si="2"/>
        <v>0</v>
      </c>
      <c r="K16" s="38">
        <f t="shared" si="3"/>
        <v>0</v>
      </c>
      <c r="L16"/>
      <c r="N16" s="5">
        <f t="shared" si="4"/>
        <v>0</v>
      </c>
      <c r="O16" s="5">
        <f t="shared" si="5"/>
        <v>0</v>
      </c>
      <c r="P16" s="38">
        <f t="shared" si="6"/>
        <v>0</v>
      </c>
      <c r="Q16"/>
      <c r="S16" s="38">
        <f t="shared" si="7"/>
        <v>0</v>
      </c>
      <c r="T16" s="38">
        <f t="shared" si="8"/>
        <v>0</v>
      </c>
      <c r="U16" s="38">
        <f t="shared" si="9"/>
        <v>0</v>
      </c>
      <c r="V16"/>
      <c r="X16" s="5">
        <f t="shared" si="10"/>
        <v>0</v>
      </c>
      <c r="Y16" s="5">
        <f t="shared" si="11"/>
        <v>0</v>
      </c>
      <c r="Z16" s="38">
        <f t="shared" si="12"/>
        <v>0</v>
      </c>
      <c r="AA16"/>
      <c r="AC16" s="5">
        <f t="shared" si="13"/>
        <v>0</v>
      </c>
      <c r="AD16" s="5">
        <f t="shared" si="14"/>
        <v>0</v>
      </c>
      <c r="AE16" s="38">
        <f t="shared" si="15"/>
        <v>0</v>
      </c>
      <c r="AF16"/>
      <c r="AH16" s="5">
        <f t="shared" si="16"/>
        <v>0</v>
      </c>
      <c r="AI16" s="5">
        <f t="shared" si="17"/>
        <v>0</v>
      </c>
      <c r="AJ16" s="38">
        <f t="shared" si="18"/>
        <v>0</v>
      </c>
      <c r="AK16"/>
      <c r="AM16" s="5">
        <f t="shared" si="19"/>
        <v>0</v>
      </c>
      <c r="AN16" s="5">
        <f t="shared" si="20"/>
        <v>0</v>
      </c>
      <c r="AO16" s="38">
        <f t="shared" si="21"/>
        <v>0</v>
      </c>
      <c r="AP16"/>
      <c r="AR16" s="5">
        <f t="shared" si="22"/>
        <v>0</v>
      </c>
      <c r="AS16" s="5">
        <f t="shared" si="23"/>
        <v>0</v>
      </c>
      <c r="AT16" s="38">
        <f t="shared" si="24"/>
        <v>0</v>
      </c>
      <c r="AU16"/>
      <c r="AW16" s="5">
        <f t="shared" si="25"/>
        <v>0</v>
      </c>
      <c r="AX16" s="5">
        <f t="shared" si="26"/>
        <v>0</v>
      </c>
      <c r="AY16" s="38">
        <f t="shared" si="27"/>
        <v>0</v>
      </c>
      <c r="AZ16"/>
      <c r="BA16" s="38"/>
      <c r="BB16" s="5">
        <f t="shared" si="28"/>
        <v>0</v>
      </c>
      <c r="BC16" s="38">
        <f t="shared" si="29"/>
        <v>0</v>
      </c>
      <c r="BD16" s="38">
        <f t="shared" si="30"/>
        <v>0</v>
      </c>
      <c r="BE16"/>
      <c r="BG16" s="5">
        <f t="shared" si="31"/>
        <v>0</v>
      </c>
      <c r="BH16" s="5">
        <f t="shared" si="32"/>
        <v>0</v>
      </c>
      <c r="BI16" s="38">
        <f t="shared" si="33"/>
        <v>0</v>
      </c>
      <c r="BJ16"/>
      <c r="BL16" s="5">
        <f t="shared" si="34"/>
        <v>0</v>
      </c>
      <c r="BM16" s="5">
        <f t="shared" si="35"/>
        <v>0</v>
      </c>
      <c r="BN16" s="38">
        <f t="shared" si="36"/>
        <v>0</v>
      </c>
      <c r="BO16"/>
      <c r="BQ16" s="5">
        <f t="shared" si="37"/>
        <v>0</v>
      </c>
      <c r="BR16" s="5">
        <f t="shared" si="38"/>
        <v>0</v>
      </c>
      <c r="BS16" s="38">
        <f t="shared" si="39"/>
        <v>0</v>
      </c>
      <c r="BT16"/>
      <c r="BV16" s="5">
        <f t="shared" si="40"/>
        <v>0</v>
      </c>
      <c r="BW16" s="5">
        <f t="shared" si="41"/>
        <v>0</v>
      </c>
      <c r="BX16" s="38">
        <f t="shared" si="42"/>
        <v>0</v>
      </c>
      <c r="BY16"/>
      <c r="CA16" s="5">
        <f t="shared" si="43"/>
        <v>0</v>
      </c>
      <c r="CB16" s="5">
        <f t="shared" si="44"/>
        <v>0</v>
      </c>
      <c r="CC16" s="38">
        <f t="shared" si="45"/>
        <v>0</v>
      </c>
      <c r="CD16"/>
      <c r="CF16" s="5">
        <f t="shared" si="46"/>
        <v>0</v>
      </c>
      <c r="CG16" s="5">
        <f t="shared" si="47"/>
        <v>0</v>
      </c>
      <c r="CH16" s="38">
        <f t="shared" si="48"/>
        <v>0</v>
      </c>
      <c r="CI16"/>
      <c r="CK16" s="5">
        <f t="shared" si="49"/>
        <v>0</v>
      </c>
      <c r="CL16" s="38">
        <f t="shared" si="50"/>
        <v>0</v>
      </c>
      <c r="CM16" s="38">
        <f t="shared" si="51"/>
        <v>0</v>
      </c>
      <c r="CP16" s="5">
        <f t="shared" si="52"/>
        <v>0</v>
      </c>
      <c r="CQ16" s="5">
        <f t="shared" si="53"/>
        <v>0</v>
      </c>
      <c r="CR16" s="38">
        <f t="shared" si="54"/>
        <v>0</v>
      </c>
      <c r="CU16" s="5">
        <f t="shared" si="55"/>
        <v>0</v>
      </c>
      <c r="CV16" s="5">
        <f t="shared" si="56"/>
        <v>0</v>
      </c>
      <c r="CW16" s="38">
        <f t="shared" si="57"/>
        <v>0</v>
      </c>
      <c r="CZ16" s="5">
        <f t="shared" si="58"/>
        <v>0</v>
      </c>
      <c r="DA16" s="5">
        <f t="shared" si="59"/>
        <v>0</v>
      </c>
      <c r="DB16" s="38">
        <f t="shared" si="60"/>
        <v>0</v>
      </c>
      <c r="DE16" s="5">
        <f t="shared" si="61"/>
        <v>0</v>
      </c>
      <c r="DF16" s="38">
        <f t="shared" si="62"/>
        <v>0</v>
      </c>
      <c r="DG16" s="38">
        <f t="shared" si="63"/>
        <v>0</v>
      </c>
      <c r="DJ16" s="38">
        <f t="shared" si="64"/>
        <v>0</v>
      </c>
      <c r="DK16" s="38">
        <f t="shared" si="65"/>
        <v>0</v>
      </c>
      <c r="DL16" s="38">
        <f t="shared" si="66"/>
        <v>0</v>
      </c>
      <c r="DO16" s="38">
        <f t="shared" si="67"/>
        <v>0</v>
      </c>
      <c r="DP16" s="38">
        <f t="shared" si="68"/>
        <v>0</v>
      </c>
      <c r="DQ16" s="38">
        <f t="shared" si="69"/>
        <v>0</v>
      </c>
      <c r="DT16" s="5">
        <f t="shared" si="70"/>
        <v>0</v>
      </c>
      <c r="DU16" s="5">
        <f t="shared" si="71"/>
        <v>0</v>
      </c>
      <c r="DV16" s="38">
        <f t="shared" si="72"/>
        <v>0</v>
      </c>
      <c r="DX16" s="38"/>
      <c r="DY16" s="38">
        <f t="shared" si="73"/>
        <v>0</v>
      </c>
      <c r="DZ16" s="5">
        <f t="shared" si="74"/>
        <v>0</v>
      </c>
      <c r="EA16" s="38">
        <f t="shared" si="75"/>
        <v>0</v>
      </c>
      <c r="EC16" s="38"/>
      <c r="ED16" s="38">
        <f t="shared" si="76"/>
        <v>0</v>
      </c>
      <c r="EE16" s="5">
        <f t="shared" si="77"/>
        <v>0</v>
      </c>
      <c r="EF16" s="38">
        <f t="shared" si="78"/>
        <v>0</v>
      </c>
      <c r="EI16" s="5">
        <f t="shared" si="79"/>
        <v>0</v>
      </c>
      <c r="EJ16" s="5">
        <f t="shared" si="80"/>
        <v>0</v>
      </c>
      <c r="EK16" s="38">
        <f t="shared" si="81"/>
        <v>0</v>
      </c>
      <c r="EM16" s="5"/>
      <c r="EN16" s="5">
        <f t="shared" si="82"/>
        <v>0</v>
      </c>
      <c r="EO16" s="5">
        <f t="shared" si="83"/>
        <v>0</v>
      </c>
      <c r="EP16" s="38">
        <f t="shared" si="84"/>
        <v>0</v>
      </c>
      <c r="ER16" s="5"/>
      <c r="ES16" s="5">
        <f t="shared" si="85"/>
        <v>0</v>
      </c>
      <c r="ET16" s="5">
        <f t="shared" si="86"/>
        <v>0</v>
      </c>
      <c r="EU16" s="38">
        <f t="shared" si="87"/>
        <v>0</v>
      </c>
    </row>
    <row r="17" spans="1:151" ht="12.75">
      <c r="A17" s="40">
        <v>45748</v>
      </c>
      <c r="C17" s="76">
        <f>'2010(A&amp;B)'!B17</f>
        <v>0</v>
      </c>
      <c r="D17" s="76">
        <f>'2010(A&amp;B)'!C17</f>
        <v>0</v>
      </c>
      <c r="E17" s="37">
        <f t="shared" si="0"/>
        <v>0</v>
      </c>
      <c r="F17" s="76">
        <f>'2010(A&amp;B)'!E17</f>
        <v>0</v>
      </c>
      <c r="H17" s="50">
        <f t="shared" si="88"/>
        <v>0</v>
      </c>
      <c r="I17" s="38">
        <f t="shared" si="1"/>
        <v>0</v>
      </c>
      <c r="J17" s="38">
        <f t="shared" si="2"/>
        <v>0</v>
      </c>
      <c r="K17" s="38">
        <f t="shared" si="3"/>
        <v>0</v>
      </c>
      <c r="L17"/>
      <c r="M17" s="5">
        <f t="shared" si="89"/>
        <v>0</v>
      </c>
      <c r="N17" s="5">
        <f t="shared" si="4"/>
        <v>0</v>
      </c>
      <c r="O17" s="5">
        <f t="shared" si="5"/>
        <v>0</v>
      </c>
      <c r="P17" s="38">
        <f t="shared" si="6"/>
        <v>0</v>
      </c>
      <c r="Q17"/>
      <c r="R17" s="5">
        <f t="shared" si="90"/>
        <v>0</v>
      </c>
      <c r="S17" s="38">
        <f t="shared" si="7"/>
        <v>0</v>
      </c>
      <c r="T17" s="38">
        <f t="shared" si="8"/>
        <v>0</v>
      </c>
      <c r="U17" s="38">
        <f t="shared" si="9"/>
        <v>0</v>
      </c>
      <c r="V17"/>
      <c r="W17" s="5">
        <f t="shared" si="91"/>
        <v>0</v>
      </c>
      <c r="X17" s="5">
        <f t="shared" si="10"/>
        <v>0</v>
      </c>
      <c r="Y17" s="5">
        <f t="shared" si="11"/>
        <v>0</v>
      </c>
      <c r="Z17" s="38">
        <f t="shared" si="12"/>
        <v>0</v>
      </c>
      <c r="AA17"/>
      <c r="AB17" s="5">
        <f t="shared" si="92"/>
        <v>0</v>
      </c>
      <c r="AC17" s="5">
        <f t="shared" si="13"/>
        <v>0</v>
      </c>
      <c r="AD17" s="5">
        <f t="shared" si="14"/>
        <v>0</v>
      </c>
      <c r="AE17" s="38">
        <f t="shared" si="15"/>
        <v>0</v>
      </c>
      <c r="AF17"/>
      <c r="AG17" s="5">
        <f t="shared" si="93"/>
        <v>0</v>
      </c>
      <c r="AH17" s="5">
        <f t="shared" si="16"/>
        <v>0</v>
      </c>
      <c r="AI17" s="5">
        <f t="shared" si="17"/>
        <v>0</v>
      </c>
      <c r="AJ17" s="38">
        <f t="shared" si="18"/>
        <v>0</v>
      </c>
      <c r="AK17"/>
      <c r="AL17" s="5">
        <f t="shared" si="94"/>
        <v>0</v>
      </c>
      <c r="AM17" s="5">
        <f t="shared" si="19"/>
        <v>0</v>
      </c>
      <c r="AN17" s="5">
        <f t="shared" si="20"/>
        <v>0</v>
      </c>
      <c r="AO17" s="38">
        <f t="shared" si="21"/>
        <v>0</v>
      </c>
      <c r="AP17"/>
      <c r="AQ17" s="5">
        <f t="shared" si="95"/>
        <v>0</v>
      </c>
      <c r="AR17" s="5">
        <f t="shared" si="22"/>
        <v>0</v>
      </c>
      <c r="AS17" s="5">
        <f t="shared" si="23"/>
        <v>0</v>
      </c>
      <c r="AT17" s="38">
        <f t="shared" si="24"/>
        <v>0</v>
      </c>
      <c r="AU17"/>
      <c r="AV17" s="5">
        <f>C17*$AX$6</f>
        <v>0</v>
      </c>
      <c r="AW17" s="5">
        <f t="shared" si="25"/>
        <v>0</v>
      </c>
      <c r="AX17" s="5">
        <f t="shared" si="26"/>
        <v>0</v>
      </c>
      <c r="AY17" s="38">
        <f t="shared" si="27"/>
        <v>0</v>
      </c>
      <c r="AZ17"/>
      <c r="BA17" s="38">
        <f t="shared" si="96"/>
        <v>0</v>
      </c>
      <c r="BB17" s="5">
        <f t="shared" si="28"/>
        <v>0</v>
      </c>
      <c r="BC17" s="38">
        <f t="shared" si="29"/>
        <v>0</v>
      </c>
      <c r="BD17" s="38">
        <f t="shared" si="30"/>
        <v>0</v>
      </c>
      <c r="BE17"/>
      <c r="BF17" s="5">
        <f t="shared" si="97"/>
        <v>0</v>
      </c>
      <c r="BG17" s="5">
        <f t="shared" si="31"/>
        <v>0</v>
      </c>
      <c r="BH17" s="5">
        <f t="shared" si="32"/>
        <v>0</v>
      </c>
      <c r="BI17" s="38">
        <f t="shared" si="33"/>
        <v>0</v>
      </c>
      <c r="BJ17"/>
      <c r="BK17" s="5">
        <f t="shared" si="98"/>
        <v>0</v>
      </c>
      <c r="BL17" s="5">
        <f t="shared" si="34"/>
        <v>0</v>
      </c>
      <c r="BM17" s="5">
        <f t="shared" si="35"/>
        <v>0</v>
      </c>
      <c r="BN17" s="38">
        <f t="shared" si="36"/>
        <v>0</v>
      </c>
      <c r="BO17"/>
      <c r="BP17" s="5">
        <f t="shared" si="99"/>
        <v>0</v>
      </c>
      <c r="BQ17" s="5">
        <f t="shared" si="37"/>
        <v>0</v>
      </c>
      <c r="BR17" s="5">
        <f t="shared" si="38"/>
        <v>0</v>
      </c>
      <c r="BS17" s="38">
        <f t="shared" si="39"/>
        <v>0</v>
      </c>
      <c r="BT17"/>
      <c r="BU17" s="5">
        <f t="shared" si="100"/>
        <v>0</v>
      </c>
      <c r="BV17" s="5">
        <f t="shared" si="40"/>
        <v>0</v>
      </c>
      <c r="BW17" s="5">
        <f t="shared" si="41"/>
        <v>0</v>
      </c>
      <c r="BX17" s="38">
        <f t="shared" si="42"/>
        <v>0</v>
      </c>
      <c r="BY17"/>
      <c r="BZ17" s="5">
        <f t="shared" si="101"/>
        <v>0</v>
      </c>
      <c r="CA17" s="5">
        <f t="shared" si="43"/>
        <v>0</v>
      </c>
      <c r="CB17" s="5">
        <f t="shared" si="44"/>
        <v>0</v>
      </c>
      <c r="CC17" s="38">
        <f t="shared" si="45"/>
        <v>0</v>
      </c>
      <c r="CD17"/>
      <c r="CE17" s="5">
        <f t="shared" si="102"/>
        <v>0</v>
      </c>
      <c r="CF17" s="5">
        <f t="shared" si="46"/>
        <v>0</v>
      </c>
      <c r="CG17" s="5">
        <f t="shared" si="47"/>
        <v>0</v>
      </c>
      <c r="CH17" s="38">
        <f t="shared" si="48"/>
        <v>0</v>
      </c>
      <c r="CI17"/>
      <c r="CJ17" s="5">
        <f t="shared" si="103"/>
        <v>0</v>
      </c>
      <c r="CK17" s="5">
        <f t="shared" si="49"/>
        <v>0</v>
      </c>
      <c r="CL17" s="38">
        <f t="shared" si="50"/>
        <v>0</v>
      </c>
      <c r="CM17" s="38">
        <f t="shared" si="51"/>
        <v>0</v>
      </c>
      <c r="CO17" s="5">
        <f t="shared" si="104"/>
        <v>0</v>
      </c>
      <c r="CP17" s="5">
        <f t="shared" si="52"/>
        <v>0</v>
      </c>
      <c r="CQ17" s="5">
        <f t="shared" si="53"/>
        <v>0</v>
      </c>
      <c r="CR17" s="38">
        <f t="shared" si="54"/>
        <v>0</v>
      </c>
      <c r="CT17" s="5">
        <f t="shared" si="105"/>
        <v>0</v>
      </c>
      <c r="CU17" s="5">
        <f t="shared" si="55"/>
        <v>0</v>
      </c>
      <c r="CV17" s="5">
        <f t="shared" si="56"/>
        <v>0</v>
      </c>
      <c r="CW17" s="38">
        <f t="shared" si="57"/>
        <v>0</v>
      </c>
      <c r="CY17" s="5">
        <f t="shared" si="106"/>
        <v>0</v>
      </c>
      <c r="CZ17" s="5">
        <f t="shared" si="58"/>
        <v>0</v>
      </c>
      <c r="DA17" s="5">
        <f t="shared" si="59"/>
        <v>0</v>
      </c>
      <c r="DB17" s="38">
        <f t="shared" si="60"/>
        <v>0</v>
      </c>
      <c r="DD17" s="5">
        <f t="shared" si="107"/>
        <v>0</v>
      </c>
      <c r="DE17" s="5">
        <f t="shared" si="61"/>
        <v>0</v>
      </c>
      <c r="DF17" s="38">
        <f t="shared" si="62"/>
        <v>0</v>
      </c>
      <c r="DG17" s="38">
        <f t="shared" si="63"/>
        <v>0</v>
      </c>
      <c r="DI17" s="5">
        <f t="shared" si="108"/>
        <v>0</v>
      </c>
      <c r="DJ17" s="38">
        <f t="shared" si="64"/>
        <v>0</v>
      </c>
      <c r="DK17" s="38">
        <f t="shared" si="65"/>
        <v>0</v>
      </c>
      <c r="DL17" s="38">
        <f t="shared" si="66"/>
        <v>0</v>
      </c>
      <c r="DN17" s="5">
        <f t="shared" si="109"/>
        <v>0</v>
      </c>
      <c r="DO17" s="38">
        <f t="shared" si="67"/>
        <v>0</v>
      </c>
      <c r="DP17" s="38">
        <f t="shared" si="68"/>
        <v>0</v>
      </c>
      <c r="DQ17" s="38">
        <f t="shared" si="69"/>
        <v>0</v>
      </c>
      <c r="DS17" s="5">
        <f t="shared" si="110"/>
        <v>0</v>
      </c>
      <c r="DT17" s="5">
        <f t="shared" si="70"/>
        <v>0</v>
      </c>
      <c r="DU17" s="5">
        <f t="shared" si="71"/>
        <v>0</v>
      </c>
      <c r="DV17" s="38">
        <f t="shared" si="72"/>
        <v>0</v>
      </c>
      <c r="DX17" s="38">
        <f t="shared" si="111"/>
        <v>0</v>
      </c>
      <c r="DY17" s="38">
        <f t="shared" si="73"/>
        <v>0</v>
      </c>
      <c r="DZ17" s="5">
        <f t="shared" si="74"/>
        <v>0</v>
      </c>
      <c r="EA17" s="38">
        <f t="shared" si="75"/>
        <v>0</v>
      </c>
      <c r="EC17" s="38">
        <f t="shared" si="112"/>
        <v>0</v>
      </c>
      <c r="ED17" s="38">
        <f t="shared" si="76"/>
        <v>0</v>
      </c>
      <c r="EE17" s="5">
        <f t="shared" si="77"/>
        <v>0</v>
      </c>
      <c r="EF17" s="38">
        <f t="shared" si="78"/>
        <v>0</v>
      </c>
      <c r="EH17" s="5">
        <f t="shared" si="113"/>
        <v>0</v>
      </c>
      <c r="EI17" s="5">
        <f t="shared" si="79"/>
        <v>0</v>
      </c>
      <c r="EJ17" s="5">
        <f t="shared" si="80"/>
        <v>0</v>
      </c>
      <c r="EK17" s="38">
        <f t="shared" si="81"/>
        <v>0</v>
      </c>
      <c r="EM17" s="5">
        <f t="shared" si="114"/>
        <v>0</v>
      </c>
      <c r="EN17" s="5">
        <f t="shared" si="82"/>
        <v>0</v>
      </c>
      <c r="EO17" s="5">
        <f t="shared" si="83"/>
        <v>0</v>
      </c>
      <c r="EP17" s="38">
        <f t="shared" si="84"/>
        <v>0</v>
      </c>
      <c r="ER17" s="5">
        <f t="shared" si="115"/>
        <v>0</v>
      </c>
      <c r="ES17" s="5">
        <f t="shared" si="85"/>
        <v>0</v>
      </c>
      <c r="ET17" s="5">
        <f t="shared" si="86"/>
        <v>0</v>
      </c>
      <c r="EU17" s="38">
        <f t="shared" si="87"/>
        <v>0</v>
      </c>
    </row>
    <row r="18" spans="1:151" ht="12.75">
      <c r="A18" s="40">
        <v>45931</v>
      </c>
      <c r="C18" s="76">
        <f>'2010(A&amp;B)'!B18</f>
        <v>0</v>
      </c>
      <c r="D18" s="76">
        <f>'2010(A&amp;B)'!C18</f>
        <v>0</v>
      </c>
      <c r="E18" s="37">
        <f t="shared" si="0"/>
        <v>0</v>
      </c>
      <c r="F18" s="76">
        <f>'2010(A&amp;B)'!E18</f>
        <v>0</v>
      </c>
      <c r="H18" s="50"/>
      <c r="I18" s="38">
        <f t="shared" si="1"/>
        <v>0</v>
      </c>
      <c r="J18" s="38">
        <f t="shared" si="2"/>
        <v>0</v>
      </c>
      <c r="K18" s="38">
        <f t="shared" si="3"/>
        <v>0</v>
      </c>
      <c r="L18"/>
      <c r="N18" s="5">
        <f t="shared" si="4"/>
        <v>0</v>
      </c>
      <c r="O18" s="5">
        <f t="shared" si="5"/>
        <v>0</v>
      </c>
      <c r="P18" s="38">
        <f t="shared" si="6"/>
        <v>0</v>
      </c>
      <c r="Q18"/>
      <c r="S18" s="38">
        <f t="shared" si="7"/>
        <v>0</v>
      </c>
      <c r="T18" s="38">
        <f t="shared" si="8"/>
        <v>0</v>
      </c>
      <c r="U18" s="38">
        <f t="shared" si="9"/>
        <v>0</v>
      </c>
      <c r="V18"/>
      <c r="X18" s="5">
        <f t="shared" si="10"/>
        <v>0</v>
      </c>
      <c r="Y18" s="5">
        <f t="shared" si="11"/>
        <v>0</v>
      </c>
      <c r="Z18" s="38">
        <f t="shared" si="12"/>
        <v>0</v>
      </c>
      <c r="AA18"/>
      <c r="AC18" s="5">
        <f t="shared" si="13"/>
        <v>0</v>
      </c>
      <c r="AD18" s="5">
        <f t="shared" si="14"/>
        <v>0</v>
      </c>
      <c r="AE18" s="38">
        <f t="shared" si="15"/>
        <v>0</v>
      </c>
      <c r="AF18"/>
      <c r="AH18" s="5">
        <f t="shared" si="16"/>
        <v>0</v>
      </c>
      <c r="AI18" s="5">
        <f t="shared" si="17"/>
        <v>0</v>
      </c>
      <c r="AJ18" s="38">
        <f t="shared" si="18"/>
        <v>0</v>
      </c>
      <c r="AK18"/>
      <c r="AM18" s="5">
        <f t="shared" si="19"/>
        <v>0</v>
      </c>
      <c r="AN18" s="5">
        <f t="shared" si="20"/>
        <v>0</v>
      </c>
      <c r="AO18" s="38">
        <f t="shared" si="21"/>
        <v>0</v>
      </c>
      <c r="AP18"/>
      <c r="AR18" s="5">
        <f t="shared" si="22"/>
        <v>0</v>
      </c>
      <c r="AS18" s="5">
        <f t="shared" si="23"/>
        <v>0</v>
      </c>
      <c r="AT18" s="38">
        <f t="shared" si="24"/>
        <v>0</v>
      </c>
      <c r="AU18"/>
      <c r="AW18" s="5">
        <f t="shared" si="25"/>
        <v>0</v>
      </c>
      <c r="AX18" s="5">
        <f t="shared" si="26"/>
        <v>0</v>
      </c>
      <c r="AY18" s="38">
        <f t="shared" si="27"/>
        <v>0</v>
      </c>
      <c r="AZ18"/>
      <c r="BA18" s="38"/>
      <c r="BB18" s="5">
        <f t="shared" si="28"/>
        <v>0</v>
      </c>
      <c r="BC18" s="38">
        <f t="shared" si="29"/>
        <v>0</v>
      </c>
      <c r="BD18" s="38">
        <f t="shared" si="30"/>
        <v>0</v>
      </c>
      <c r="BE18"/>
      <c r="BG18" s="5">
        <f t="shared" si="31"/>
        <v>0</v>
      </c>
      <c r="BH18" s="5">
        <f t="shared" si="32"/>
        <v>0</v>
      </c>
      <c r="BI18" s="38">
        <f t="shared" si="33"/>
        <v>0</v>
      </c>
      <c r="BJ18"/>
      <c r="BL18" s="5">
        <f t="shared" si="34"/>
        <v>0</v>
      </c>
      <c r="BM18" s="5">
        <f t="shared" si="35"/>
        <v>0</v>
      </c>
      <c r="BN18" s="38">
        <f t="shared" si="36"/>
        <v>0</v>
      </c>
      <c r="BO18"/>
      <c r="BQ18" s="5">
        <f t="shared" si="37"/>
        <v>0</v>
      </c>
      <c r="BR18" s="5">
        <f t="shared" si="38"/>
        <v>0</v>
      </c>
      <c r="BS18" s="38">
        <f t="shared" si="39"/>
        <v>0</v>
      </c>
      <c r="BT18"/>
      <c r="BV18" s="5">
        <f t="shared" si="40"/>
        <v>0</v>
      </c>
      <c r="BW18" s="5">
        <f t="shared" si="41"/>
        <v>0</v>
      </c>
      <c r="BX18" s="38">
        <f t="shared" si="42"/>
        <v>0</v>
      </c>
      <c r="BY18"/>
      <c r="CA18" s="5">
        <f t="shared" si="43"/>
        <v>0</v>
      </c>
      <c r="CB18" s="5">
        <f t="shared" si="44"/>
        <v>0</v>
      </c>
      <c r="CC18" s="38">
        <f t="shared" si="45"/>
        <v>0</v>
      </c>
      <c r="CD18"/>
      <c r="CF18" s="5">
        <f t="shared" si="46"/>
        <v>0</v>
      </c>
      <c r="CG18" s="5">
        <f t="shared" si="47"/>
        <v>0</v>
      </c>
      <c r="CH18" s="38">
        <f t="shared" si="48"/>
        <v>0</v>
      </c>
      <c r="CI18"/>
      <c r="CK18" s="5">
        <f t="shared" si="49"/>
        <v>0</v>
      </c>
      <c r="CL18" s="38">
        <f t="shared" si="50"/>
        <v>0</v>
      </c>
      <c r="CM18" s="38">
        <f t="shared" si="51"/>
        <v>0</v>
      </c>
      <c r="CP18" s="5">
        <f t="shared" si="52"/>
        <v>0</v>
      </c>
      <c r="CQ18" s="5">
        <f t="shared" si="53"/>
        <v>0</v>
      </c>
      <c r="CR18" s="38">
        <f t="shared" si="54"/>
        <v>0</v>
      </c>
      <c r="CU18" s="5">
        <f t="shared" si="55"/>
        <v>0</v>
      </c>
      <c r="CV18" s="5">
        <f t="shared" si="56"/>
        <v>0</v>
      </c>
      <c r="CW18" s="38">
        <f t="shared" si="57"/>
        <v>0</v>
      </c>
      <c r="CZ18" s="5">
        <f t="shared" si="58"/>
        <v>0</v>
      </c>
      <c r="DA18" s="5">
        <f t="shared" si="59"/>
        <v>0</v>
      </c>
      <c r="DB18" s="38">
        <f t="shared" si="60"/>
        <v>0</v>
      </c>
      <c r="DE18" s="5">
        <f t="shared" si="61"/>
        <v>0</v>
      </c>
      <c r="DF18" s="38">
        <f t="shared" si="62"/>
        <v>0</v>
      </c>
      <c r="DG18" s="38">
        <f t="shared" si="63"/>
        <v>0</v>
      </c>
      <c r="DJ18" s="38">
        <f t="shared" si="64"/>
        <v>0</v>
      </c>
      <c r="DK18" s="38">
        <f t="shared" si="65"/>
        <v>0</v>
      </c>
      <c r="DL18" s="38">
        <f t="shared" si="66"/>
        <v>0</v>
      </c>
      <c r="DO18" s="38">
        <f t="shared" si="67"/>
        <v>0</v>
      </c>
      <c r="DP18" s="38">
        <f t="shared" si="68"/>
        <v>0</v>
      </c>
      <c r="DQ18" s="38">
        <f t="shared" si="69"/>
        <v>0</v>
      </c>
      <c r="DT18" s="5">
        <f t="shared" si="70"/>
        <v>0</v>
      </c>
      <c r="DU18" s="5">
        <f t="shared" si="71"/>
        <v>0</v>
      </c>
      <c r="DV18" s="38">
        <f t="shared" si="72"/>
        <v>0</v>
      </c>
      <c r="DX18" s="38"/>
      <c r="DY18" s="38">
        <f t="shared" si="73"/>
        <v>0</v>
      </c>
      <c r="DZ18" s="5">
        <f t="shared" si="74"/>
        <v>0</v>
      </c>
      <c r="EA18" s="38">
        <f t="shared" si="75"/>
        <v>0</v>
      </c>
      <c r="EC18" s="38"/>
      <c r="ED18" s="38">
        <f t="shared" si="76"/>
        <v>0</v>
      </c>
      <c r="EE18" s="5">
        <f t="shared" si="77"/>
        <v>0</v>
      </c>
      <c r="EF18" s="38">
        <f t="shared" si="78"/>
        <v>0</v>
      </c>
      <c r="EI18" s="5">
        <f t="shared" si="79"/>
        <v>0</v>
      </c>
      <c r="EJ18" s="5">
        <f t="shared" si="80"/>
        <v>0</v>
      </c>
      <c r="EK18" s="38">
        <f t="shared" si="81"/>
        <v>0</v>
      </c>
      <c r="EM18" s="5"/>
      <c r="EN18" s="5">
        <f t="shared" si="82"/>
        <v>0</v>
      </c>
      <c r="EO18" s="5">
        <f t="shared" si="83"/>
        <v>0</v>
      </c>
      <c r="EP18" s="38">
        <f t="shared" si="84"/>
        <v>0</v>
      </c>
      <c r="ER18" s="5"/>
      <c r="ES18" s="5">
        <f t="shared" si="85"/>
        <v>0</v>
      </c>
      <c r="ET18" s="5">
        <f t="shared" si="86"/>
        <v>0</v>
      </c>
      <c r="EU18" s="38">
        <f t="shared" si="87"/>
        <v>0</v>
      </c>
    </row>
    <row r="19" spans="1:151" ht="12.75">
      <c r="A19" s="40">
        <v>46113</v>
      </c>
      <c r="C19" s="76">
        <f>'2010(A&amp;B)'!B19</f>
        <v>0</v>
      </c>
      <c r="D19" s="76">
        <f>'2010(A&amp;B)'!C19</f>
        <v>0</v>
      </c>
      <c r="E19" s="37">
        <f t="shared" si="0"/>
        <v>0</v>
      </c>
      <c r="F19" s="76">
        <f>'2010(A&amp;B)'!E19</f>
        <v>0</v>
      </c>
      <c r="H19" s="50">
        <f t="shared" si="88"/>
        <v>0</v>
      </c>
      <c r="I19" s="38">
        <f t="shared" si="1"/>
        <v>0</v>
      </c>
      <c r="J19" s="38">
        <f t="shared" si="2"/>
        <v>0</v>
      </c>
      <c r="K19" s="38">
        <f t="shared" si="3"/>
        <v>0</v>
      </c>
      <c r="L19"/>
      <c r="M19" s="5">
        <f t="shared" si="89"/>
        <v>0</v>
      </c>
      <c r="N19" s="5">
        <f t="shared" si="4"/>
        <v>0</v>
      </c>
      <c r="O19" s="5">
        <f t="shared" si="5"/>
        <v>0</v>
      </c>
      <c r="P19" s="38">
        <f t="shared" si="6"/>
        <v>0</v>
      </c>
      <c r="Q19"/>
      <c r="R19" s="5">
        <f t="shared" si="90"/>
        <v>0</v>
      </c>
      <c r="S19" s="38">
        <f t="shared" si="7"/>
        <v>0</v>
      </c>
      <c r="T19" s="38">
        <f t="shared" si="8"/>
        <v>0</v>
      </c>
      <c r="U19" s="38">
        <f t="shared" si="9"/>
        <v>0</v>
      </c>
      <c r="V19"/>
      <c r="W19" s="5">
        <f t="shared" si="91"/>
        <v>0</v>
      </c>
      <c r="X19" s="5">
        <f t="shared" si="10"/>
        <v>0</v>
      </c>
      <c r="Y19" s="5">
        <f t="shared" si="11"/>
        <v>0</v>
      </c>
      <c r="Z19" s="38">
        <f t="shared" si="12"/>
        <v>0</v>
      </c>
      <c r="AA19"/>
      <c r="AB19" s="5">
        <f t="shared" si="92"/>
        <v>0</v>
      </c>
      <c r="AC19" s="5">
        <f t="shared" si="13"/>
        <v>0</v>
      </c>
      <c r="AD19" s="5">
        <f t="shared" si="14"/>
        <v>0</v>
      </c>
      <c r="AE19" s="38">
        <f t="shared" si="15"/>
        <v>0</v>
      </c>
      <c r="AF19"/>
      <c r="AG19" s="5">
        <f t="shared" si="93"/>
        <v>0</v>
      </c>
      <c r="AH19" s="5">
        <f t="shared" si="16"/>
        <v>0</v>
      </c>
      <c r="AI19" s="5">
        <f t="shared" si="17"/>
        <v>0</v>
      </c>
      <c r="AJ19" s="38">
        <f t="shared" si="18"/>
        <v>0</v>
      </c>
      <c r="AK19"/>
      <c r="AL19" s="5">
        <f t="shared" si="94"/>
        <v>0</v>
      </c>
      <c r="AM19" s="5">
        <f t="shared" si="19"/>
        <v>0</v>
      </c>
      <c r="AN19" s="5">
        <f t="shared" si="20"/>
        <v>0</v>
      </c>
      <c r="AO19" s="38">
        <f t="shared" si="21"/>
        <v>0</v>
      </c>
      <c r="AP19"/>
      <c r="AQ19" s="5">
        <f t="shared" si="95"/>
        <v>0</v>
      </c>
      <c r="AR19" s="5">
        <f t="shared" si="22"/>
        <v>0</v>
      </c>
      <c r="AS19" s="5">
        <f t="shared" si="23"/>
        <v>0</v>
      </c>
      <c r="AT19" s="38">
        <f t="shared" si="24"/>
        <v>0</v>
      </c>
      <c r="AU19"/>
      <c r="AV19" s="5">
        <f>C19*$AX$6</f>
        <v>0</v>
      </c>
      <c r="AW19" s="5">
        <f t="shared" si="25"/>
        <v>0</v>
      </c>
      <c r="AX19" s="5">
        <f t="shared" si="26"/>
        <v>0</v>
      </c>
      <c r="AY19" s="38">
        <f t="shared" si="27"/>
        <v>0</v>
      </c>
      <c r="AZ19"/>
      <c r="BA19" s="38">
        <f t="shared" si="96"/>
        <v>0</v>
      </c>
      <c r="BB19" s="5">
        <f t="shared" si="28"/>
        <v>0</v>
      </c>
      <c r="BC19" s="38">
        <f t="shared" si="29"/>
        <v>0</v>
      </c>
      <c r="BD19" s="38">
        <f t="shared" si="30"/>
        <v>0</v>
      </c>
      <c r="BE19"/>
      <c r="BF19" s="5">
        <f t="shared" si="97"/>
        <v>0</v>
      </c>
      <c r="BG19" s="5">
        <f t="shared" si="31"/>
        <v>0</v>
      </c>
      <c r="BH19" s="5">
        <f t="shared" si="32"/>
        <v>0</v>
      </c>
      <c r="BI19" s="38">
        <f t="shared" si="33"/>
        <v>0</v>
      </c>
      <c r="BJ19"/>
      <c r="BK19" s="5">
        <f t="shared" si="98"/>
        <v>0</v>
      </c>
      <c r="BL19" s="5">
        <f t="shared" si="34"/>
        <v>0</v>
      </c>
      <c r="BM19" s="5">
        <f t="shared" si="35"/>
        <v>0</v>
      </c>
      <c r="BN19" s="38">
        <f t="shared" si="36"/>
        <v>0</v>
      </c>
      <c r="BO19"/>
      <c r="BP19" s="5">
        <f t="shared" si="99"/>
        <v>0</v>
      </c>
      <c r="BQ19" s="5">
        <f t="shared" si="37"/>
        <v>0</v>
      </c>
      <c r="BR19" s="5">
        <f t="shared" si="38"/>
        <v>0</v>
      </c>
      <c r="BS19" s="38">
        <f t="shared" si="39"/>
        <v>0</v>
      </c>
      <c r="BT19"/>
      <c r="BU19" s="5">
        <f t="shared" si="100"/>
        <v>0</v>
      </c>
      <c r="BV19" s="5">
        <f t="shared" si="40"/>
        <v>0</v>
      </c>
      <c r="BW19" s="5">
        <f t="shared" si="41"/>
        <v>0</v>
      </c>
      <c r="BX19" s="38">
        <f t="shared" si="42"/>
        <v>0</v>
      </c>
      <c r="BY19"/>
      <c r="BZ19" s="5">
        <f t="shared" si="101"/>
        <v>0</v>
      </c>
      <c r="CA19" s="5">
        <f t="shared" si="43"/>
        <v>0</v>
      </c>
      <c r="CB19" s="5">
        <f t="shared" si="44"/>
        <v>0</v>
      </c>
      <c r="CC19" s="38">
        <f t="shared" si="45"/>
        <v>0</v>
      </c>
      <c r="CD19"/>
      <c r="CE19" s="5">
        <f t="shared" si="102"/>
        <v>0</v>
      </c>
      <c r="CF19" s="5">
        <f t="shared" si="46"/>
        <v>0</v>
      </c>
      <c r="CG19" s="5">
        <f t="shared" si="47"/>
        <v>0</v>
      </c>
      <c r="CH19" s="38">
        <f t="shared" si="48"/>
        <v>0</v>
      </c>
      <c r="CI19"/>
      <c r="CJ19" s="5">
        <f t="shared" si="103"/>
        <v>0</v>
      </c>
      <c r="CK19" s="5">
        <f t="shared" si="49"/>
        <v>0</v>
      </c>
      <c r="CL19" s="38">
        <f t="shared" si="50"/>
        <v>0</v>
      </c>
      <c r="CM19" s="38">
        <f t="shared" si="51"/>
        <v>0</v>
      </c>
      <c r="CO19" s="5">
        <f t="shared" si="104"/>
        <v>0</v>
      </c>
      <c r="CP19" s="5">
        <f t="shared" si="52"/>
        <v>0</v>
      </c>
      <c r="CQ19" s="5">
        <f t="shared" si="53"/>
        <v>0</v>
      </c>
      <c r="CR19" s="38">
        <f t="shared" si="54"/>
        <v>0</v>
      </c>
      <c r="CT19" s="5">
        <f t="shared" si="105"/>
        <v>0</v>
      </c>
      <c r="CU19" s="5">
        <f t="shared" si="55"/>
        <v>0</v>
      </c>
      <c r="CV19" s="5">
        <f t="shared" si="56"/>
        <v>0</v>
      </c>
      <c r="CW19" s="38">
        <f t="shared" si="57"/>
        <v>0</v>
      </c>
      <c r="CY19" s="5">
        <f t="shared" si="106"/>
        <v>0</v>
      </c>
      <c r="CZ19" s="5">
        <f t="shared" si="58"/>
        <v>0</v>
      </c>
      <c r="DA19" s="5">
        <f t="shared" si="59"/>
        <v>0</v>
      </c>
      <c r="DB19" s="38">
        <f t="shared" si="60"/>
        <v>0</v>
      </c>
      <c r="DD19" s="5">
        <f t="shared" si="107"/>
        <v>0</v>
      </c>
      <c r="DE19" s="5">
        <f t="shared" si="61"/>
        <v>0</v>
      </c>
      <c r="DF19" s="38">
        <f t="shared" si="62"/>
        <v>0</v>
      </c>
      <c r="DG19" s="38">
        <f t="shared" si="63"/>
        <v>0</v>
      </c>
      <c r="DI19" s="5">
        <f t="shared" si="108"/>
        <v>0</v>
      </c>
      <c r="DJ19" s="38">
        <f t="shared" si="64"/>
        <v>0</v>
      </c>
      <c r="DK19" s="38">
        <f t="shared" si="65"/>
        <v>0</v>
      </c>
      <c r="DL19" s="38">
        <f t="shared" si="66"/>
        <v>0</v>
      </c>
      <c r="DN19" s="5">
        <f t="shared" si="109"/>
        <v>0</v>
      </c>
      <c r="DO19" s="38">
        <f t="shared" si="67"/>
        <v>0</v>
      </c>
      <c r="DP19" s="38">
        <f t="shared" si="68"/>
        <v>0</v>
      </c>
      <c r="DQ19" s="38">
        <f t="shared" si="69"/>
        <v>0</v>
      </c>
      <c r="DS19" s="5">
        <f t="shared" si="110"/>
        <v>0</v>
      </c>
      <c r="DT19" s="5">
        <f t="shared" si="70"/>
        <v>0</v>
      </c>
      <c r="DU19" s="5">
        <f t="shared" si="71"/>
        <v>0</v>
      </c>
      <c r="DV19" s="38">
        <f t="shared" si="72"/>
        <v>0</v>
      </c>
      <c r="DX19" s="38">
        <f t="shared" si="111"/>
        <v>0</v>
      </c>
      <c r="DY19" s="38">
        <f t="shared" si="73"/>
        <v>0</v>
      </c>
      <c r="DZ19" s="5">
        <f t="shared" si="74"/>
        <v>0</v>
      </c>
      <c r="EA19" s="38">
        <f t="shared" si="75"/>
        <v>0</v>
      </c>
      <c r="EC19" s="38">
        <f t="shared" si="112"/>
        <v>0</v>
      </c>
      <c r="ED19" s="38">
        <f t="shared" si="76"/>
        <v>0</v>
      </c>
      <c r="EE19" s="5">
        <f t="shared" si="77"/>
        <v>0</v>
      </c>
      <c r="EF19" s="38">
        <f t="shared" si="78"/>
        <v>0</v>
      </c>
      <c r="EH19" s="5">
        <f t="shared" si="113"/>
        <v>0</v>
      </c>
      <c r="EI19" s="5">
        <f t="shared" si="79"/>
        <v>0</v>
      </c>
      <c r="EJ19" s="5">
        <f t="shared" si="80"/>
        <v>0</v>
      </c>
      <c r="EK19" s="38">
        <f t="shared" si="81"/>
        <v>0</v>
      </c>
      <c r="EM19" s="5">
        <f t="shared" si="114"/>
        <v>0</v>
      </c>
      <c r="EN19" s="5">
        <f t="shared" si="82"/>
        <v>0</v>
      </c>
      <c r="EO19" s="5">
        <f t="shared" si="83"/>
        <v>0</v>
      </c>
      <c r="EP19" s="38">
        <f t="shared" si="84"/>
        <v>0</v>
      </c>
      <c r="ER19" s="5">
        <f t="shared" si="115"/>
        <v>0</v>
      </c>
      <c r="ES19" s="5">
        <f t="shared" si="85"/>
        <v>0</v>
      </c>
      <c r="ET19" s="5">
        <f t="shared" si="86"/>
        <v>0</v>
      </c>
      <c r="EU19" s="38">
        <f t="shared" si="87"/>
        <v>0</v>
      </c>
    </row>
    <row r="20" spans="1:151" ht="12.75">
      <c r="A20" s="40">
        <v>46296</v>
      </c>
      <c r="C20" s="76">
        <f>'2010(A&amp;B)'!B20</f>
        <v>0</v>
      </c>
      <c r="D20" s="76">
        <f>'2010(A&amp;B)'!C20</f>
        <v>0</v>
      </c>
      <c r="E20" s="37">
        <f t="shared" si="0"/>
        <v>0</v>
      </c>
      <c r="F20" s="76">
        <f>'2010(A&amp;B)'!E20</f>
        <v>0</v>
      </c>
      <c r="H20" s="50"/>
      <c r="I20" s="38">
        <f t="shared" si="1"/>
        <v>0</v>
      </c>
      <c r="J20" s="38">
        <f t="shared" si="2"/>
        <v>0</v>
      </c>
      <c r="K20" s="38">
        <f t="shared" si="3"/>
        <v>0</v>
      </c>
      <c r="L20"/>
      <c r="N20" s="5">
        <f t="shared" si="4"/>
        <v>0</v>
      </c>
      <c r="O20" s="5">
        <f t="shared" si="5"/>
        <v>0</v>
      </c>
      <c r="P20" s="38">
        <f t="shared" si="6"/>
        <v>0</v>
      </c>
      <c r="Q20"/>
      <c r="S20" s="38">
        <f t="shared" si="7"/>
        <v>0</v>
      </c>
      <c r="T20" s="38">
        <f t="shared" si="8"/>
        <v>0</v>
      </c>
      <c r="U20" s="38">
        <f t="shared" si="9"/>
        <v>0</v>
      </c>
      <c r="V20"/>
      <c r="X20" s="5">
        <f t="shared" si="10"/>
        <v>0</v>
      </c>
      <c r="Y20" s="5">
        <f t="shared" si="11"/>
        <v>0</v>
      </c>
      <c r="Z20" s="38">
        <f t="shared" si="12"/>
        <v>0</v>
      </c>
      <c r="AA20"/>
      <c r="AC20" s="5">
        <f t="shared" si="13"/>
        <v>0</v>
      </c>
      <c r="AD20" s="5">
        <f t="shared" si="14"/>
        <v>0</v>
      </c>
      <c r="AE20" s="38">
        <f t="shared" si="15"/>
        <v>0</v>
      </c>
      <c r="AF20"/>
      <c r="AH20" s="5">
        <f t="shared" si="16"/>
        <v>0</v>
      </c>
      <c r="AI20" s="5">
        <f t="shared" si="17"/>
        <v>0</v>
      </c>
      <c r="AJ20" s="38">
        <f t="shared" si="18"/>
        <v>0</v>
      </c>
      <c r="AK20"/>
      <c r="AM20" s="5">
        <f t="shared" si="19"/>
        <v>0</v>
      </c>
      <c r="AN20" s="5">
        <f t="shared" si="20"/>
        <v>0</v>
      </c>
      <c r="AO20" s="38">
        <f t="shared" si="21"/>
        <v>0</v>
      </c>
      <c r="AP20"/>
      <c r="AR20" s="5">
        <f t="shared" si="22"/>
        <v>0</v>
      </c>
      <c r="AS20" s="5">
        <f t="shared" si="23"/>
        <v>0</v>
      </c>
      <c r="AT20" s="38">
        <f t="shared" si="24"/>
        <v>0</v>
      </c>
      <c r="AU20"/>
      <c r="AW20" s="5">
        <f t="shared" si="25"/>
        <v>0</v>
      </c>
      <c r="AX20" s="5">
        <f t="shared" si="26"/>
        <v>0</v>
      </c>
      <c r="AY20" s="38">
        <f t="shared" si="27"/>
        <v>0</v>
      </c>
      <c r="AZ20"/>
      <c r="BA20" s="38"/>
      <c r="BB20" s="5">
        <f t="shared" si="28"/>
        <v>0</v>
      </c>
      <c r="BC20" s="38">
        <f t="shared" si="29"/>
        <v>0</v>
      </c>
      <c r="BD20" s="38">
        <f t="shared" si="30"/>
        <v>0</v>
      </c>
      <c r="BE20"/>
      <c r="BG20" s="5">
        <f t="shared" si="31"/>
        <v>0</v>
      </c>
      <c r="BH20" s="5">
        <f t="shared" si="32"/>
        <v>0</v>
      </c>
      <c r="BI20" s="38">
        <f t="shared" si="33"/>
        <v>0</v>
      </c>
      <c r="BJ20"/>
      <c r="BL20" s="5">
        <f t="shared" si="34"/>
        <v>0</v>
      </c>
      <c r="BM20" s="5">
        <f t="shared" si="35"/>
        <v>0</v>
      </c>
      <c r="BN20" s="38">
        <f t="shared" si="36"/>
        <v>0</v>
      </c>
      <c r="BO20"/>
      <c r="BQ20" s="5">
        <f t="shared" si="37"/>
        <v>0</v>
      </c>
      <c r="BR20" s="5">
        <f t="shared" si="38"/>
        <v>0</v>
      </c>
      <c r="BS20" s="38">
        <f t="shared" si="39"/>
        <v>0</v>
      </c>
      <c r="BT20"/>
      <c r="BV20" s="5">
        <f t="shared" si="40"/>
        <v>0</v>
      </c>
      <c r="BW20" s="5">
        <f t="shared" si="41"/>
        <v>0</v>
      </c>
      <c r="BX20" s="38">
        <f t="shared" si="42"/>
        <v>0</v>
      </c>
      <c r="BY20"/>
      <c r="CA20" s="5">
        <f t="shared" si="43"/>
        <v>0</v>
      </c>
      <c r="CB20" s="5">
        <f t="shared" si="44"/>
        <v>0</v>
      </c>
      <c r="CC20" s="38">
        <f t="shared" si="45"/>
        <v>0</v>
      </c>
      <c r="CD20"/>
      <c r="CF20" s="5">
        <f t="shared" si="46"/>
        <v>0</v>
      </c>
      <c r="CG20" s="5">
        <f t="shared" si="47"/>
        <v>0</v>
      </c>
      <c r="CH20" s="38">
        <f t="shared" si="48"/>
        <v>0</v>
      </c>
      <c r="CI20"/>
      <c r="CK20" s="5">
        <f t="shared" si="49"/>
        <v>0</v>
      </c>
      <c r="CL20" s="38">
        <f t="shared" si="50"/>
        <v>0</v>
      </c>
      <c r="CM20" s="38">
        <f t="shared" si="51"/>
        <v>0</v>
      </c>
      <c r="CP20" s="5">
        <f t="shared" si="52"/>
        <v>0</v>
      </c>
      <c r="CQ20" s="5">
        <f t="shared" si="53"/>
        <v>0</v>
      </c>
      <c r="CR20" s="38">
        <f t="shared" si="54"/>
        <v>0</v>
      </c>
      <c r="CU20" s="5">
        <f t="shared" si="55"/>
        <v>0</v>
      </c>
      <c r="CV20" s="5">
        <f t="shared" si="56"/>
        <v>0</v>
      </c>
      <c r="CW20" s="38">
        <f t="shared" si="57"/>
        <v>0</v>
      </c>
      <c r="CZ20" s="5">
        <f t="shared" si="58"/>
        <v>0</v>
      </c>
      <c r="DA20" s="5">
        <f t="shared" si="59"/>
        <v>0</v>
      </c>
      <c r="DB20" s="38">
        <f t="shared" si="60"/>
        <v>0</v>
      </c>
      <c r="DE20" s="5">
        <f t="shared" si="61"/>
        <v>0</v>
      </c>
      <c r="DF20" s="38">
        <f t="shared" si="62"/>
        <v>0</v>
      </c>
      <c r="DG20" s="38">
        <f t="shared" si="63"/>
        <v>0</v>
      </c>
      <c r="DJ20" s="38">
        <f t="shared" si="64"/>
        <v>0</v>
      </c>
      <c r="DK20" s="38">
        <f t="shared" si="65"/>
        <v>0</v>
      </c>
      <c r="DL20" s="38">
        <f t="shared" si="66"/>
        <v>0</v>
      </c>
      <c r="DO20" s="38">
        <f t="shared" si="67"/>
        <v>0</v>
      </c>
      <c r="DP20" s="38">
        <f t="shared" si="68"/>
        <v>0</v>
      </c>
      <c r="DQ20" s="38">
        <f t="shared" si="69"/>
        <v>0</v>
      </c>
      <c r="DT20" s="5">
        <f t="shared" si="70"/>
        <v>0</v>
      </c>
      <c r="DU20" s="5">
        <f t="shared" si="71"/>
        <v>0</v>
      </c>
      <c r="DV20" s="38">
        <f t="shared" si="72"/>
        <v>0</v>
      </c>
      <c r="DX20" s="38"/>
      <c r="DY20" s="38">
        <f t="shared" si="73"/>
        <v>0</v>
      </c>
      <c r="DZ20" s="5">
        <f t="shared" si="74"/>
        <v>0</v>
      </c>
      <c r="EA20" s="38">
        <f t="shared" si="75"/>
        <v>0</v>
      </c>
      <c r="EC20" s="38"/>
      <c r="ED20" s="38">
        <f t="shared" si="76"/>
        <v>0</v>
      </c>
      <c r="EE20" s="5">
        <f t="shared" si="77"/>
        <v>0</v>
      </c>
      <c r="EF20" s="38">
        <f t="shared" si="78"/>
        <v>0</v>
      </c>
      <c r="EI20" s="5">
        <f t="shared" si="79"/>
        <v>0</v>
      </c>
      <c r="EJ20" s="5">
        <f t="shared" si="80"/>
        <v>0</v>
      </c>
      <c r="EK20" s="38">
        <f t="shared" si="81"/>
        <v>0</v>
      </c>
      <c r="EM20" s="5"/>
      <c r="EN20" s="5">
        <f t="shared" si="82"/>
        <v>0</v>
      </c>
      <c r="EO20" s="5">
        <f t="shared" si="83"/>
        <v>0</v>
      </c>
      <c r="EP20" s="38">
        <f t="shared" si="84"/>
        <v>0</v>
      </c>
      <c r="ER20" s="5"/>
      <c r="ES20" s="5">
        <f t="shared" si="85"/>
        <v>0</v>
      </c>
      <c r="ET20" s="5">
        <f t="shared" si="86"/>
        <v>0</v>
      </c>
      <c r="EU20" s="38">
        <f t="shared" si="87"/>
        <v>0</v>
      </c>
    </row>
    <row r="21" spans="1:151" ht="12.75">
      <c r="A21" s="40">
        <v>46478</v>
      </c>
      <c r="C21" s="76">
        <f>'2010(A&amp;B)'!B21</f>
        <v>0</v>
      </c>
      <c r="D21" s="76">
        <f>'2010(A&amp;B)'!C21</f>
        <v>0</v>
      </c>
      <c r="E21" s="37">
        <f t="shared" si="0"/>
        <v>0</v>
      </c>
      <c r="F21" s="76">
        <f>'2010(A&amp;B)'!E21</f>
        <v>0</v>
      </c>
      <c r="H21" s="50">
        <f t="shared" si="88"/>
        <v>0</v>
      </c>
      <c r="I21" s="38">
        <f t="shared" si="1"/>
        <v>0</v>
      </c>
      <c r="J21" s="38">
        <f t="shared" si="2"/>
        <v>0</v>
      </c>
      <c r="K21" s="38">
        <f t="shared" si="3"/>
        <v>0</v>
      </c>
      <c r="L21"/>
      <c r="M21" s="5">
        <f t="shared" si="89"/>
        <v>0</v>
      </c>
      <c r="N21" s="5">
        <f t="shared" si="4"/>
        <v>0</v>
      </c>
      <c r="O21" s="5">
        <f t="shared" si="5"/>
        <v>0</v>
      </c>
      <c r="P21" s="38">
        <f t="shared" si="6"/>
        <v>0</v>
      </c>
      <c r="Q21"/>
      <c r="R21" s="5">
        <f t="shared" si="90"/>
        <v>0</v>
      </c>
      <c r="S21" s="38">
        <f t="shared" si="7"/>
        <v>0</v>
      </c>
      <c r="T21" s="38">
        <f t="shared" si="8"/>
        <v>0</v>
      </c>
      <c r="U21" s="38">
        <f t="shared" si="9"/>
        <v>0</v>
      </c>
      <c r="V21"/>
      <c r="W21" s="5">
        <f t="shared" si="91"/>
        <v>0</v>
      </c>
      <c r="X21" s="5">
        <f t="shared" si="10"/>
        <v>0</v>
      </c>
      <c r="Y21" s="5">
        <f t="shared" si="11"/>
        <v>0</v>
      </c>
      <c r="Z21" s="38">
        <f t="shared" si="12"/>
        <v>0</v>
      </c>
      <c r="AA21"/>
      <c r="AB21" s="5">
        <f t="shared" si="92"/>
        <v>0</v>
      </c>
      <c r="AC21" s="5">
        <f t="shared" si="13"/>
        <v>0</v>
      </c>
      <c r="AD21" s="5">
        <f t="shared" si="14"/>
        <v>0</v>
      </c>
      <c r="AE21" s="38">
        <f t="shared" si="15"/>
        <v>0</v>
      </c>
      <c r="AF21"/>
      <c r="AG21" s="5">
        <f t="shared" si="93"/>
        <v>0</v>
      </c>
      <c r="AH21" s="5">
        <f t="shared" si="16"/>
        <v>0</v>
      </c>
      <c r="AI21" s="5">
        <f t="shared" si="17"/>
        <v>0</v>
      </c>
      <c r="AJ21" s="38">
        <f t="shared" si="18"/>
        <v>0</v>
      </c>
      <c r="AK21"/>
      <c r="AL21" s="5">
        <f t="shared" si="94"/>
        <v>0</v>
      </c>
      <c r="AM21" s="5">
        <f t="shared" si="19"/>
        <v>0</v>
      </c>
      <c r="AN21" s="5">
        <f t="shared" si="20"/>
        <v>0</v>
      </c>
      <c r="AO21" s="38">
        <f t="shared" si="21"/>
        <v>0</v>
      </c>
      <c r="AP21"/>
      <c r="AQ21" s="5">
        <f t="shared" si="95"/>
        <v>0</v>
      </c>
      <c r="AR21" s="5">
        <f t="shared" si="22"/>
        <v>0</v>
      </c>
      <c r="AS21" s="5">
        <f t="shared" si="23"/>
        <v>0</v>
      </c>
      <c r="AT21" s="38">
        <f t="shared" si="24"/>
        <v>0</v>
      </c>
      <c r="AU21"/>
      <c r="AV21" s="5">
        <f>C21*$AX$6</f>
        <v>0</v>
      </c>
      <c r="AW21" s="5">
        <f t="shared" si="25"/>
        <v>0</v>
      </c>
      <c r="AX21" s="5">
        <f t="shared" si="26"/>
        <v>0</v>
      </c>
      <c r="AY21" s="38">
        <f t="shared" si="27"/>
        <v>0</v>
      </c>
      <c r="AZ21"/>
      <c r="BA21" s="38">
        <f t="shared" si="96"/>
        <v>0</v>
      </c>
      <c r="BB21" s="5">
        <f t="shared" si="28"/>
        <v>0</v>
      </c>
      <c r="BC21" s="38">
        <f t="shared" si="29"/>
        <v>0</v>
      </c>
      <c r="BD21" s="38">
        <f t="shared" si="30"/>
        <v>0</v>
      </c>
      <c r="BE21"/>
      <c r="BF21" s="5">
        <f t="shared" si="97"/>
        <v>0</v>
      </c>
      <c r="BG21" s="5">
        <f t="shared" si="31"/>
        <v>0</v>
      </c>
      <c r="BH21" s="5">
        <f t="shared" si="32"/>
        <v>0</v>
      </c>
      <c r="BI21" s="38">
        <f t="shared" si="33"/>
        <v>0</v>
      </c>
      <c r="BJ21"/>
      <c r="BK21" s="5">
        <f t="shared" si="98"/>
        <v>0</v>
      </c>
      <c r="BL21" s="5">
        <f t="shared" si="34"/>
        <v>0</v>
      </c>
      <c r="BM21" s="5">
        <f t="shared" si="35"/>
        <v>0</v>
      </c>
      <c r="BN21" s="38">
        <f t="shared" si="36"/>
        <v>0</v>
      </c>
      <c r="BO21"/>
      <c r="BP21" s="5">
        <f t="shared" si="99"/>
        <v>0</v>
      </c>
      <c r="BQ21" s="5">
        <f t="shared" si="37"/>
        <v>0</v>
      </c>
      <c r="BR21" s="5">
        <f t="shared" si="38"/>
        <v>0</v>
      </c>
      <c r="BS21" s="38">
        <f t="shared" si="39"/>
        <v>0</v>
      </c>
      <c r="BT21"/>
      <c r="BU21" s="5">
        <f t="shared" si="100"/>
        <v>0</v>
      </c>
      <c r="BV21" s="5">
        <f t="shared" si="40"/>
        <v>0</v>
      </c>
      <c r="BW21" s="5">
        <f t="shared" si="41"/>
        <v>0</v>
      </c>
      <c r="BX21" s="38">
        <f t="shared" si="42"/>
        <v>0</v>
      </c>
      <c r="BY21"/>
      <c r="BZ21" s="5">
        <f t="shared" si="101"/>
        <v>0</v>
      </c>
      <c r="CA21" s="5">
        <f t="shared" si="43"/>
        <v>0</v>
      </c>
      <c r="CB21" s="5">
        <f t="shared" si="44"/>
        <v>0</v>
      </c>
      <c r="CC21" s="38">
        <f t="shared" si="45"/>
        <v>0</v>
      </c>
      <c r="CD21"/>
      <c r="CE21" s="5">
        <f t="shared" si="102"/>
        <v>0</v>
      </c>
      <c r="CF21" s="5">
        <f t="shared" si="46"/>
        <v>0</v>
      </c>
      <c r="CG21" s="5">
        <f t="shared" si="47"/>
        <v>0</v>
      </c>
      <c r="CH21" s="38">
        <f t="shared" si="48"/>
        <v>0</v>
      </c>
      <c r="CI21"/>
      <c r="CJ21" s="5">
        <f t="shared" si="103"/>
        <v>0</v>
      </c>
      <c r="CK21" s="5">
        <f t="shared" si="49"/>
        <v>0</v>
      </c>
      <c r="CL21" s="38">
        <f t="shared" si="50"/>
        <v>0</v>
      </c>
      <c r="CM21" s="38">
        <f t="shared" si="51"/>
        <v>0</v>
      </c>
      <c r="CO21" s="5">
        <f t="shared" si="104"/>
        <v>0</v>
      </c>
      <c r="CP21" s="5">
        <f t="shared" si="52"/>
        <v>0</v>
      </c>
      <c r="CQ21" s="5">
        <f t="shared" si="53"/>
        <v>0</v>
      </c>
      <c r="CR21" s="38">
        <f t="shared" si="54"/>
        <v>0</v>
      </c>
      <c r="CT21" s="5">
        <f t="shared" si="105"/>
        <v>0</v>
      </c>
      <c r="CU21" s="5">
        <f t="shared" si="55"/>
        <v>0</v>
      </c>
      <c r="CV21" s="5">
        <f t="shared" si="56"/>
        <v>0</v>
      </c>
      <c r="CW21" s="38">
        <f t="shared" si="57"/>
        <v>0</v>
      </c>
      <c r="CY21" s="5">
        <f t="shared" si="106"/>
        <v>0</v>
      </c>
      <c r="CZ21" s="5">
        <f t="shared" si="58"/>
        <v>0</v>
      </c>
      <c r="DA21" s="5">
        <f t="shared" si="59"/>
        <v>0</v>
      </c>
      <c r="DB21" s="38">
        <f t="shared" si="60"/>
        <v>0</v>
      </c>
      <c r="DD21" s="5">
        <f t="shared" si="107"/>
        <v>0</v>
      </c>
      <c r="DE21" s="5">
        <f t="shared" si="61"/>
        <v>0</v>
      </c>
      <c r="DF21" s="38">
        <f t="shared" si="62"/>
        <v>0</v>
      </c>
      <c r="DG21" s="38">
        <f t="shared" si="63"/>
        <v>0</v>
      </c>
      <c r="DI21" s="5">
        <f t="shared" si="108"/>
        <v>0</v>
      </c>
      <c r="DJ21" s="38">
        <f t="shared" si="64"/>
        <v>0</v>
      </c>
      <c r="DK21" s="38">
        <f t="shared" si="65"/>
        <v>0</v>
      </c>
      <c r="DL21" s="38">
        <f t="shared" si="66"/>
        <v>0</v>
      </c>
      <c r="DN21" s="5">
        <f t="shared" si="109"/>
        <v>0</v>
      </c>
      <c r="DO21" s="38">
        <f t="shared" si="67"/>
        <v>0</v>
      </c>
      <c r="DP21" s="38">
        <f t="shared" si="68"/>
        <v>0</v>
      </c>
      <c r="DQ21" s="38">
        <f t="shared" si="69"/>
        <v>0</v>
      </c>
      <c r="DS21" s="5">
        <f t="shared" si="110"/>
        <v>0</v>
      </c>
      <c r="DT21" s="5">
        <f t="shared" si="70"/>
        <v>0</v>
      </c>
      <c r="DU21" s="5">
        <f t="shared" si="71"/>
        <v>0</v>
      </c>
      <c r="DV21" s="38">
        <f t="shared" si="72"/>
        <v>0</v>
      </c>
      <c r="DX21" s="38">
        <f t="shared" si="111"/>
        <v>0</v>
      </c>
      <c r="DY21" s="38">
        <f t="shared" si="73"/>
        <v>0</v>
      </c>
      <c r="DZ21" s="5">
        <f t="shared" si="74"/>
        <v>0</v>
      </c>
      <c r="EA21" s="38">
        <f t="shared" si="75"/>
        <v>0</v>
      </c>
      <c r="EC21" s="38">
        <f t="shared" si="112"/>
        <v>0</v>
      </c>
      <c r="ED21" s="38">
        <f t="shared" si="76"/>
        <v>0</v>
      </c>
      <c r="EE21" s="5">
        <f t="shared" si="77"/>
        <v>0</v>
      </c>
      <c r="EF21" s="38">
        <f t="shared" si="78"/>
        <v>0</v>
      </c>
      <c r="EH21" s="5">
        <f t="shared" si="113"/>
        <v>0</v>
      </c>
      <c r="EI21" s="5">
        <f t="shared" si="79"/>
        <v>0</v>
      </c>
      <c r="EJ21" s="5">
        <f t="shared" si="80"/>
        <v>0</v>
      </c>
      <c r="EK21" s="38">
        <f t="shared" si="81"/>
        <v>0</v>
      </c>
      <c r="EM21" s="5">
        <f t="shared" si="114"/>
        <v>0</v>
      </c>
      <c r="EN21" s="5">
        <f t="shared" si="82"/>
        <v>0</v>
      </c>
      <c r="EO21" s="5">
        <f t="shared" si="83"/>
        <v>0</v>
      </c>
      <c r="EP21" s="38">
        <f t="shared" si="84"/>
        <v>0</v>
      </c>
      <c r="ER21" s="5">
        <f t="shared" si="115"/>
        <v>0</v>
      </c>
      <c r="ES21" s="5">
        <f t="shared" si="85"/>
        <v>0</v>
      </c>
      <c r="ET21" s="5">
        <f t="shared" si="86"/>
        <v>0</v>
      </c>
      <c r="EU21" s="38">
        <f t="shared" si="87"/>
        <v>0</v>
      </c>
    </row>
    <row r="22" spans="1:151" ht="12.75">
      <c r="A22" s="40">
        <v>46661</v>
      </c>
      <c r="C22" s="76">
        <f>'2010(A&amp;B)'!B22</f>
        <v>0</v>
      </c>
      <c r="D22" s="76">
        <f>'2010(A&amp;B)'!C22</f>
        <v>0</v>
      </c>
      <c r="E22" s="37">
        <f t="shared" si="0"/>
        <v>0</v>
      </c>
      <c r="F22" s="76">
        <f>'2010(A&amp;B)'!E22</f>
        <v>0</v>
      </c>
      <c r="H22" s="50"/>
      <c r="I22" s="38">
        <f t="shared" si="1"/>
        <v>0</v>
      </c>
      <c r="J22" s="38">
        <f t="shared" si="2"/>
        <v>0</v>
      </c>
      <c r="K22" s="38">
        <f t="shared" si="3"/>
        <v>0</v>
      </c>
      <c r="L22"/>
      <c r="N22" s="5">
        <f t="shared" si="4"/>
        <v>0</v>
      </c>
      <c r="O22" s="5">
        <f t="shared" si="5"/>
        <v>0</v>
      </c>
      <c r="P22" s="38">
        <f t="shared" si="6"/>
        <v>0</v>
      </c>
      <c r="Q22"/>
      <c r="S22" s="38">
        <f t="shared" si="7"/>
        <v>0</v>
      </c>
      <c r="T22" s="38">
        <f t="shared" si="8"/>
        <v>0</v>
      </c>
      <c r="U22" s="38">
        <f t="shared" si="9"/>
        <v>0</v>
      </c>
      <c r="V22"/>
      <c r="X22" s="5">
        <f t="shared" si="10"/>
        <v>0</v>
      </c>
      <c r="Y22" s="5">
        <f t="shared" si="11"/>
        <v>0</v>
      </c>
      <c r="Z22" s="38">
        <f t="shared" si="12"/>
        <v>0</v>
      </c>
      <c r="AA22"/>
      <c r="AC22" s="5">
        <f t="shared" si="13"/>
        <v>0</v>
      </c>
      <c r="AD22" s="5">
        <f t="shared" si="14"/>
        <v>0</v>
      </c>
      <c r="AE22" s="38">
        <f t="shared" si="15"/>
        <v>0</v>
      </c>
      <c r="AF22"/>
      <c r="AH22" s="5">
        <f t="shared" si="16"/>
        <v>0</v>
      </c>
      <c r="AI22" s="5">
        <f t="shared" si="17"/>
        <v>0</v>
      </c>
      <c r="AJ22" s="38">
        <f t="shared" si="18"/>
        <v>0</v>
      </c>
      <c r="AK22"/>
      <c r="AM22" s="5">
        <f t="shared" si="19"/>
        <v>0</v>
      </c>
      <c r="AN22" s="5">
        <f t="shared" si="20"/>
        <v>0</v>
      </c>
      <c r="AO22" s="38">
        <f t="shared" si="21"/>
        <v>0</v>
      </c>
      <c r="AP22"/>
      <c r="AR22" s="5">
        <f t="shared" si="22"/>
        <v>0</v>
      </c>
      <c r="AS22" s="5">
        <f t="shared" si="23"/>
        <v>0</v>
      </c>
      <c r="AT22" s="38">
        <f t="shared" si="24"/>
        <v>0</v>
      </c>
      <c r="AU22"/>
      <c r="AW22" s="5">
        <f t="shared" si="25"/>
        <v>0</v>
      </c>
      <c r="AX22" s="5">
        <f t="shared" si="26"/>
        <v>0</v>
      </c>
      <c r="AY22" s="38">
        <f t="shared" si="27"/>
        <v>0</v>
      </c>
      <c r="AZ22"/>
      <c r="BA22" s="38"/>
      <c r="BB22" s="5">
        <f t="shared" si="28"/>
        <v>0</v>
      </c>
      <c r="BC22" s="38">
        <f t="shared" si="29"/>
        <v>0</v>
      </c>
      <c r="BD22" s="38">
        <f t="shared" si="30"/>
        <v>0</v>
      </c>
      <c r="BE22"/>
      <c r="BG22" s="5">
        <f t="shared" si="31"/>
        <v>0</v>
      </c>
      <c r="BH22" s="5">
        <f t="shared" si="32"/>
        <v>0</v>
      </c>
      <c r="BI22" s="38">
        <f t="shared" si="33"/>
        <v>0</v>
      </c>
      <c r="BJ22"/>
      <c r="BL22" s="5">
        <f t="shared" si="34"/>
        <v>0</v>
      </c>
      <c r="BM22" s="5">
        <f t="shared" si="35"/>
        <v>0</v>
      </c>
      <c r="BN22" s="38">
        <f t="shared" si="36"/>
        <v>0</v>
      </c>
      <c r="BO22"/>
      <c r="BQ22" s="5">
        <f t="shared" si="37"/>
        <v>0</v>
      </c>
      <c r="BR22" s="5">
        <f t="shared" si="38"/>
        <v>0</v>
      </c>
      <c r="BS22" s="38">
        <f t="shared" si="39"/>
        <v>0</v>
      </c>
      <c r="BT22"/>
      <c r="BV22" s="5">
        <f t="shared" si="40"/>
        <v>0</v>
      </c>
      <c r="BW22" s="5">
        <f t="shared" si="41"/>
        <v>0</v>
      </c>
      <c r="BX22" s="38">
        <f t="shared" si="42"/>
        <v>0</v>
      </c>
      <c r="BY22"/>
      <c r="CA22" s="5">
        <f t="shared" si="43"/>
        <v>0</v>
      </c>
      <c r="CB22" s="5">
        <f t="shared" si="44"/>
        <v>0</v>
      </c>
      <c r="CC22" s="38">
        <f t="shared" si="45"/>
        <v>0</v>
      </c>
      <c r="CD22"/>
      <c r="CF22" s="5">
        <f t="shared" si="46"/>
        <v>0</v>
      </c>
      <c r="CG22" s="5">
        <f t="shared" si="47"/>
        <v>0</v>
      </c>
      <c r="CH22" s="38">
        <f t="shared" si="48"/>
        <v>0</v>
      </c>
      <c r="CI22"/>
      <c r="CK22" s="5">
        <f t="shared" si="49"/>
        <v>0</v>
      </c>
      <c r="CL22" s="38">
        <f t="shared" si="50"/>
        <v>0</v>
      </c>
      <c r="CM22" s="38">
        <f t="shared" si="51"/>
        <v>0</v>
      </c>
      <c r="CP22" s="5">
        <f t="shared" si="52"/>
        <v>0</v>
      </c>
      <c r="CQ22" s="5">
        <f t="shared" si="53"/>
        <v>0</v>
      </c>
      <c r="CR22" s="38">
        <f t="shared" si="54"/>
        <v>0</v>
      </c>
      <c r="CU22" s="5">
        <f t="shared" si="55"/>
        <v>0</v>
      </c>
      <c r="CV22" s="5">
        <f t="shared" si="56"/>
        <v>0</v>
      </c>
      <c r="CW22" s="38">
        <f t="shared" si="57"/>
        <v>0</v>
      </c>
      <c r="CZ22" s="5">
        <f t="shared" si="58"/>
        <v>0</v>
      </c>
      <c r="DA22" s="5">
        <f t="shared" si="59"/>
        <v>0</v>
      </c>
      <c r="DB22" s="38">
        <f t="shared" si="60"/>
        <v>0</v>
      </c>
      <c r="DE22" s="5">
        <f t="shared" si="61"/>
        <v>0</v>
      </c>
      <c r="DF22" s="38">
        <f t="shared" si="62"/>
        <v>0</v>
      </c>
      <c r="DG22" s="38">
        <f t="shared" si="63"/>
        <v>0</v>
      </c>
      <c r="DJ22" s="38">
        <f t="shared" si="64"/>
        <v>0</v>
      </c>
      <c r="DK22" s="38">
        <f t="shared" si="65"/>
        <v>0</v>
      </c>
      <c r="DL22" s="38">
        <f t="shared" si="66"/>
        <v>0</v>
      </c>
      <c r="DO22" s="38">
        <f t="shared" si="67"/>
        <v>0</v>
      </c>
      <c r="DP22" s="38">
        <f t="shared" si="68"/>
        <v>0</v>
      </c>
      <c r="DQ22" s="38">
        <f t="shared" si="69"/>
        <v>0</v>
      </c>
      <c r="DT22" s="5">
        <f t="shared" si="70"/>
        <v>0</v>
      </c>
      <c r="DU22" s="5">
        <f t="shared" si="71"/>
        <v>0</v>
      </c>
      <c r="DV22" s="38">
        <f t="shared" si="72"/>
        <v>0</v>
      </c>
      <c r="DX22" s="38"/>
      <c r="DY22" s="38">
        <f t="shared" si="73"/>
        <v>0</v>
      </c>
      <c r="DZ22" s="5">
        <f t="shared" si="74"/>
        <v>0</v>
      </c>
      <c r="EA22" s="38">
        <f t="shared" si="75"/>
        <v>0</v>
      </c>
      <c r="EC22" s="38"/>
      <c r="ED22" s="38">
        <f t="shared" si="76"/>
        <v>0</v>
      </c>
      <c r="EE22" s="5">
        <f t="shared" si="77"/>
        <v>0</v>
      </c>
      <c r="EF22" s="38">
        <f t="shared" si="78"/>
        <v>0</v>
      </c>
      <c r="EI22" s="5">
        <f t="shared" si="79"/>
        <v>0</v>
      </c>
      <c r="EJ22" s="5">
        <f t="shared" si="80"/>
        <v>0</v>
      </c>
      <c r="EK22" s="38">
        <f t="shared" si="81"/>
        <v>0</v>
      </c>
      <c r="EM22" s="5"/>
      <c r="EN22" s="5">
        <f t="shared" si="82"/>
        <v>0</v>
      </c>
      <c r="EO22" s="5">
        <f t="shared" si="83"/>
        <v>0</v>
      </c>
      <c r="EP22" s="38">
        <f t="shared" si="84"/>
        <v>0</v>
      </c>
      <c r="ER22" s="5"/>
      <c r="ES22" s="5">
        <f t="shared" si="85"/>
        <v>0</v>
      </c>
      <c r="ET22" s="5">
        <f t="shared" si="86"/>
        <v>0</v>
      </c>
      <c r="EU22" s="38">
        <f t="shared" si="87"/>
        <v>0</v>
      </c>
    </row>
    <row r="23" spans="1:151" ht="12.75">
      <c r="A23" s="40">
        <v>46844</v>
      </c>
      <c r="C23" s="76">
        <f>'2010(A&amp;B)'!B23</f>
        <v>0</v>
      </c>
      <c r="D23" s="76">
        <f>'2010(A&amp;B)'!C23</f>
        <v>0</v>
      </c>
      <c r="E23" s="37">
        <f t="shared" si="0"/>
        <v>0</v>
      </c>
      <c r="F23" s="76">
        <f>'2010(A&amp;B)'!E23</f>
        <v>0</v>
      </c>
      <c r="H23" s="50">
        <f t="shared" si="88"/>
        <v>0</v>
      </c>
      <c r="I23" s="38">
        <f t="shared" si="1"/>
        <v>0</v>
      </c>
      <c r="J23" s="38">
        <f t="shared" si="2"/>
        <v>0</v>
      </c>
      <c r="K23" s="38">
        <f t="shared" si="3"/>
        <v>0</v>
      </c>
      <c r="L23"/>
      <c r="M23" s="5">
        <f t="shared" si="89"/>
        <v>0</v>
      </c>
      <c r="N23" s="5">
        <f t="shared" si="4"/>
        <v>0</v>
      </c>
      <c r="O23" s="5">
        <f t="shared" si="5"/>
        <v>0</v>
      </c>
      <c r="P23" s="38">
        <f t="shared" si="6"/>
        <v>0</v>
      </c>
      <c r="Q23"/>
      <c r="R23" s="5">
        <f t="shared" si="90"/>
        <v>0</v>
      </c>
      <c r="S23" s="38">
        <f t="shared" si="7"/>
        <v>0</v>
      </c>
      <c r="T23" s="38">
        <f t="shared" si="8"/>
        <v>0</v>
      </c>
      <c r="U23" s="38">
        <f t="shared" si="9"/>
        <v>0</v>
      </c>
      <c r="V23"/>
      <c r="W23" s="5">
        <f t="shared" si="91"/>
        <v>0</v>
      </c>
      <c r="X23" s="5">
        <f t="shared" si="10"/>
        <v>0</v>
      </c>
      <c r="Y23" s="5">
        <f t="shared" si="11"/>
        <v>0</v>
      </c>
      <c r="Z23" s="38">
        <f t="shared" si="12"/>
        <v>0</v>
      </c>
      <c r="AA23"/>
      <c r="AB23" s="5">
        <f t="shared" si="92"/>
        <v>0</v>
      </c>
      <c r="AC23" s="5">
        <f t="shared" si="13"/>
        <v>0</v>
      </c>
      <c r="AD23" s="5">
        <f t="shared" si="14"/>
        <v>0</v>
      </c>
      <c r="AE23" s="38">
        <f t="shared" si="15"/>
        <v>0</v>
      </c>
      <c r="AF23"/>
      <c r="AG23" s="5">
        <f t="shared" si="93"/>
        <v>0</v>
      </c>
      <c r="AH23" s="5">
        <f t="shared" si="16"/>
        <v>0</v>
      </c>
      <c r="AI23" s="5">
        <f t="shared" si="17"/>
        <v>0</v>
      </c>
      <c r="AJ23" s="38">
        <f t="shared" si="18"/>
        <v>0</v>
      </c>
      <c r="AK23"/>
      <c r="AL23" s="5">
        <f t="shared" si="94"/>
        <v>0</v>
      </c>
      <c r="AM23" s="5">
        <f t="shared" si="19"/>
        <v>0</v>
      </c>
      <c r="AN23" s="5">
        <f t="shared" si="20"/>
        <v>0</v>
      </c>
      <c r="AO23" s="38">
        <f t="shared" si="21"/>
        <v>0</v>
      </c>
      <c r="AP23"/>
      <c r="AQ23" s="5">
        <f t="shared" si="95"/>
        <v>0</v>
      </c>
      <c r="AR23" s="5">
        <f t="shared" si="22"/>
        <v>0</v>
      </c>
      <c r="AS23" s="5">
        <f t="shared" si="23"/>
        <v>0</v>
      </c>
      <c r="AT23" s="38">
        <f t="shared" si="24"/>
        <v>0</v>
      </c>
      <c r="AU23"/>
      <c r="AV23" s="5">
        <f>C23*$AX$6</f>
        <v>0</v>
      </c>
      <c r="AW23" s="5">
        <f t="shared" si="25"/>
        <v>0</v>
      </c>
      <c r="AX23" s="5">
        <f t="shared" si="26"/>
        <v>0</v>
      </c>
      <c r="AY23" s="38">
        <f t="shared" si="27"/>
        <v>0</v>
      </c>
      <c r="AZ23"/>
      <c r="BA23" s="38">
        <f t="shared" si="96"/>
        <v>0</v>
      </c>
      <c r="BB23" s="5">
        <f t="shared" si="28"/>
        <v>0</v>
      </c>
      <c r="BC23" s="38">
        <f t="shared" si="29"/>
        <v>0</v>
      </c>
      <c r="BD23" s="38">
        <f t="shared" si="30"/>
        <v>0</v>
      </c>
      <c r="BE23"/>
      <c r="BF23" s="5">
        <f t="shared" si="97"/>
        <v>0</v>
      </c>
      <c r="BG23" s="5">
        <f t="shared" si="31"/>
        <v>0</v>
      </c>
      <c r="BH23" s="5">
        <f t="shared" si="32"/>
        <v>0</v>
      </c>
      <c r="BI23" s="38">
        <f t="shared" si="33"/>
        <v>0</v>
      </c>
      <c r="BJ23"/>
      <c r="BK23" s="5">
        <f t="shared" si="98"/>
        <v>0</v>
      </c>
      <c r="BL23" s="5">
        <f t="shared" si="34"/>
        <v>0</v>
      </c>
      <c r="BM23" s="5">
        <f t="shared" si="35"/>
        <v>0</v>
      </c>
      <c r="BN23" s="38">
        <f t="shared" si="36"/>
        <v>0</v>
      </c>
      <c r="BO23"/>
      <c r="BP23" s="5">
        <f t="shared" si="99"/>
        <v>0</v>
      </c>
      <c r="BQ23" s="5">
        <f t="shared" si="37"/>
        <v>0</v>
      </c>
      <c r="BR23" s="5">
        <f t="shared" si="38"/>
        <v>0</v>
      </c>
      <c r="BS23" s="38">
        <f t="shared" si="39"/>
        <v>0</v>
      </c>
      <c r="BT23"/>
      <c r="BU23" s="5">
        <f t="shared" si="100"/>
        <v>0</v>
      </c>
      <c r="BV23" s="5">
        <f t="shared" si="40"/>
        <v>0</v>
      </c>
      <c r="BW23" s="5">
        <f t="shared" si="41"/>
        <v>0</v>
      </c>
      <c r="BX23" s="38">
        <f t="shared" si="42"/>
        <v>0</v>
      </c>
      <c r="BY23"/>
      <c r="BZ23" s="5">
        <f t="shared" si="101"/>
        <v>0</v>
      </c>
      <c r="CA23" s="5">
        <f t="shared" si="43"/>
        <v>0</v>
      </c>
      <c r="CB23" s="5">
        <f t="shared" si="44"/>
        <v>0</v>
      </c>
      <c r="CC23" s="38">
        <f t="shared" si="45"/>
        <v>0</v>
      </c>
      <c r="CD23"/>
      <c r="CE23" s="5">
        <f t="shared" si="102"/>
        <v>0</v>
      </c>
      <c r="CF23" s="5">
        <f t="shared" si="46"/>
        <v>0</v>
      </c>
      <c r="CG23" s="5">
        <f t="shared" si="47"/>
        <v>0</v>
      </c>
      <c r="CH23" s="38">
        <f t="shared" si="48"/>
        <v>0</v>
      </c>
      <c r="CI23"/>
      <c r="CJ23" s="5">
        <f t="shared" si="103"/>
        <v>0</v>
      </c>
      <c r="CK23" s="5">
        <f t="shared" si="49"/>
        <v>0</v>
      </c>
      <c r="CL23" s="38">
        <f t="shared" si="50"/>
        <v>0</v>
      </c>
      <c r="CM23" s="38">
        <f t="shared" si="51"/>
        <v>0</v>
      </c>
      <c r="CO23" s="5">
        <f t="shared" si="104"/>
        <v>0</v>
      </c>
      <c r="CP23" s="5">
        <f t="shared" si="52"/>
        <v>0</v>
      </c>
      <c r="CQ23" s="5">
        <f t="shared" si="53"/>
        <v>0</v>
      </c>
      <c r="CR23" s="38">
        <f t="shared" si="54"/>
        <v>0</v>
      </c>
      <c r="CT23" s="5">
        <f t="shared" si="105"/>
        <v>0</v>
      </c>
      <c r="CU23" s="5">
        <f t="shared" si="55"/>
        <v>0</v>
      </c>
      <c r="CV23" s="5">
        <f t="shared" si="56"/>
        <v>0</v>
      </c>
      <c r="CW23" s="38">
        <f t="shared" si="57"/>
        <v>0</v>
      </c>
      <c r="CY23" s="5">
        <f t="shared" si="106"/>
        <v>0</v>
      </c>
      <c r="CZ23" s="5">
        <f t="shared" si="58"/>
        <v>0</v>
      </c>
      <c r="DA23" s="5">
        <f t="shared" si="59"/>
        <v>0</v>
      </c>
      <c r="DB23" s="38">
        <f t="shared" si="60"/>
        <v>0</v>
      </c>
      <c r="DD23" s="5">
        <f t="shared" si="107"/>
        <v>0</v>
      </c>
      <c r="DE23" s="5">
        <f t="shared" si="61"/>
        <v>0</v>
      </c>
      <c r="DF23" s="38">
        <f t="shared" si="62"/>
        <v>0</v>
      </c>
      <c r="DG23" s="38">
        <f t="shared" si="63"/>
        <v>0</v>
      </c>
      <c r="DI23" s="5">
        <f t="shared" si="108"/>
        <v>0</v>
      </c>
      <c r="DJ23" s="38">
        <f t="shared" si="64"/>
        <v>0</v>
      </c>
      <c r="DK23" s="38">
        <f t="shared" si="65"/>
        <v>0</v>
      </c>
      <c r="DL23" s="38">
        <f t="shared" si="66"/>
        <v>0</v>
      </c>
      <c r="DN23" s="5">
        <f t="shared" si="109"/>
        <v>0</v>
      </c>
      <c r="DO23" s="38">
        <f t="shared" si="67"/>
        <v>0</v>
      </c>
      <c r="DP23" s="38">
        <f t="shared" si="68"/>
        <v>0</v>
      </c>
      <c r="DQ23" s="38">
        <f t="shared" si="69"/>
        <v>0</v>
      </c>
      <c r="DS23" s="5">
        <f t="shared" si="110"/>
        <v>0</v>
      </c>
      <c r="DT23" s="5">
        <f t="shared" si="70"/>
        <v>0</v>
      </c>
      <c r="DU23" s="5">
        <f t="shared" si="71"/>
        <v>0</v>
      </c>
      <c r="DV23" s="38">
        <f t="shared" si="72"/>
        <v>0</v>
      </c>
      <c r="DX23" s="38">
        <f t="shared" si="111"/>
        <v>0</v>
      </c>
      <c r="DY23" s="38">
        <f t="shared" si="73"/>
        <v>0</v>
      </c>
      <c r="DZ23" s="5">
        <f t="shared" si="74"/>
        <v>0</v>
      </c>
      <c r="EA23" s="38">
        <f t="shared" si="75"/>
        <v>0</v>
      </c>
      <c r="EC23" s="38">
        <f t="shared" si="112"/>
        <v>0</v>
      </c>
      <c r="ED23" s="38">
        <f t="shared" si="76"/>
        <v>0</v>
      </c>
      <c r="EE23" s="5">
        <f t="shared" si="77"/>
        <v>0</v>
      </c>
      <c r="EF23" s="38">
        <f t="shared" si="78"/>
        <v>0</v>
      </c>
      <c r="EH23" s="5">
        <f t="shared" si="113"/>
        <v>0</v>
      </c>
      <c r="EI23" s="5">
        <f t="shared" si="79"/>
        <v>0</v>
      </c>
      <c r="EJ23" s="5">
        <f t="shared" si="80"/>
        <v>0</v>
      </c>
      <c r="EK23" s="38">
        <f t="shared" si="81"/>
        <v>0</v>
      </c>
      <c r="EM23" s="5">
        <f t="shared" si="114"/>
        <v>0</v>
      </c>
      <c r="EN23" s="5">
        <f t="shared" si="82"/>
        <v>0</v>
      </c>
      <c r="EO23" s="5">
        <f t="shared" si="83"/>
        <v>0</v>
      </c>
      <c r="EP23" s="38">
        <f t="shared" si="84"/>
        <v>0</v>
      </c>
      <c r="ER23" s="5">
        <f t="shared" si="115"/>
        <v>0</v>
      </c>
      <c r="ES23" s="5">
        <f t="shared" si="85"/>
        <v>0</v>
      </c>
      <c r="ET23" s="5">
        <f t="shared" si="86"/>
        <v>0</v>
      </c>
      <c r="EU23" s="38">
        <f t="shared" si="87"/>
        <v>0</v>
      </c>
    </row>
    <row r="24" spans="1:151" ht="12.75">
      <c r="A24" s="40">
        <v>47027</v>
      </c>
      <c r="C24" s="76">
        <f>'2010(A&amp;B)'!B24</f>
        <v>0</v>
      </c>
      <c r="D24" s="76">
        <f>'2010(A&amp;B)'!C24</f>
        <v>0</v>
      </c>
      <c r="E24" s="37">
        <f t="shared" si="0"/>
        <v>0</v>
      </c>
      <c r="F24" s="76">
        <f>'2010(A&amp;B)'!E24</f>
        <v>0</v>
      </c>
      <c r="H24" s="50"/>
      <c r="I24" s="38">
        <f t="shared" si="1"/>
        <v>0</v>
      </c>
      <c r="J24" s="38">
        <f t="shared" si="2"/>
        <v>0</v>
      </c>
      <c r="K24" s="38">
        <f t="shared" si="3"/>
        <v>0</v>
      </c>
      <c r="L24"/>
      <c r="N24" s="5">
        <f t="shared" si="4"/>
        <v>0</v>
      </c>
      <c r="O24" s="5">
        <f t="shared" si="5"/>
        <v>0</v>
      </c>
      <c r="P24" s="38">
        <f t="shared" si="6"/>
        <v>0</v>
      </c>
      <c r="Q24"/>
      <c r="S24" s="38">
        <f t="shared" si="7"/>
        <v>0</v>
      </c>
      <c r="T24" s="38">
        <f t="shared" si="8"/>
        <v>0</v>
      </c>
      <c r="U24" s="38">
        <f t="shared" si="9"/>
        <v>0</v>
      </c>
      <c r="V24"/>
      <c r="X24" s="5">
        <f t="shared" si="10"/>
        <v>0</v>
      </c>
      <c r="Y24" s="5">
        <f t="shared" si="11"/>
        <v>0</v>
      </c>
      <c r="Z24" s="38">
        <f t="shared" si="12"/>
        <v>0</v>
      </c>
      <c r="AA24"/>
      <c r="AC24" s="5">
        <f t="shared" si="13"/>
        <v>0</v>
      </c>
      <c r="AD24" s="5">
        <f t="shared" si="14"/>
        <v>0</v>
      </c>
      <c r="AE24" s="38">
        <f t="shared" si="15"/>
        <v>0</v>
      </c>
      <c r="AF24"/>
      <c r="AH24" s="5">
        <f t="shared" si="16"/>
        <v>0</v>
      </c>
      <c r="AI24" s="5">
        <f t="shared" si="17"/>
        <v>0</v>
      </c>
      <c r="AJ24" s="38">
        <f t="shared" si="18"/>
        <v>0</v>
      </c>
      <c r="AK24"/>
      <c r="AM24" s="5">
        <f t="shared" si="19"/>
        <v>0</v>
      </c>
      <c r="AN24" s="5">
        <f t="shared" si="20"/>
        <v>0</v>
      </c>
      <c r="AO24" s="38">
        <f t="shared" si="21"/>
        <v>0</v>
      </c>
      <c r="AP24"/>
      <c r="AR24" s="5">
        <f t="shared" si="22"/>
        <v>0</v>
      </c>
      <c r="AS24" s="5">
        <f t="shared" si="23"/>
        <v>0</v>
      </c>
      <c r="AT24" s="38">
        <f t="shared" si="24"/>
        <v>0</v>
      </c>
      <c r="AU24"/>
      <c r="AW24" s="5">
        <f t="shared" si="25"/>
        <v>0</v>
      </c>
      <c r="AX24" s="5">
        <f t="shared" si="26"/>
        <v>0</v>
      </c>
      <c r="AY24" s="38">
        <f t="shared" si="27"/>
        <v>0</v>
      </c>
      <c r="AZ24"/>
      <c r="BA24" s="38"/>
      <c r="BB24" s="5">
        <f t="shared" si="28"/>
        <v>0</v>
      </c>
      <c r="BC24" s="38">
        <f t="shared" si="29"/>
        <v>0</v>
      </c>
      <c r="BD24" s="38">
        <f t="shared" si="30"/>
        <v>0</v>
      </c>
      <c r="BE24"/>
      <c r="BG24" s="5">
        <f t="shared" si="31"/>
        <v>0</v>
      </c>
      <c r="BH24" s="5">
        <f t="shared" si="32"/>
        <v>0</v>
      </c>
      <c r="BI24" s="38">
        <f t="shared" si="33"/>
        <v>0</v>
      </c>
      <c r="BJ24"/>
      <c r="BL24" s="5">
        <f t="shared" si="34"/>
        <v>0</v>
      </c>
      <c r="BM24" s="5">
        <f t="shared" si="35"/>
        <v>0</v>
      </c>
      <c r="BN24" s="38">
        <f t="shared" si="36"/>
        <v>0</v>
      </c>
      <c r="BO24"/>
      <c r="BQ24" s="5">
        <f t="shared" si="37"/>
        <v>0</v>
      </c>
      <c r="BR24" s="5">
        <f t="shared" si="38"/>
        <v>0</v>
      </c>
      <c r="BS24" s="38">
        <f t="shared" si="39"/>
        <v>0</v>
      </c>
      <c r="BT24"/>
      <c r="BV24" s="5">
        <f t="shared" si="40"/>
        <v>0</v>
      </c>
      <c r="BW24" s="5">
        <f t="shared" si="41"/>
        <v>0</v>
      </c>
      <c r="BX24" s="38">
        <f t="shared" si="42"/>
        <v>0</v>
      </c>
      <c r="BY24"/>
      <c r="CA24" s="5">
        <f t="shared" si="43"/>
        <v>0</v>
      </c>
      <c r="CB24" s="5">
        <f t="shared" si="44"/>
        <v>0</v>
      </c>
      <c r="CC24" s="38">
        <f t="shared" si="45"/>
        <v>0</v>
      </c>
      <c r="CD24"/>
      <c r="CF24" s="5">
        <f t="shared" si="46"/>
        <v>0</v>
      </c>
      <c r="CG24" s="5">
        <f t="shared" si="47"/>
        <v>0</v>
      </c>
      <c r="CH24" s="38">
        <f t="shared" si="48"/>
        <v>0</v>
      </c>
      <c r="CI24"/>
      <c r="CK24" s="5">
        <f t="shared" si="49"/>
        <v>0</v>
      </c>
      <c r="CL24" s="38">
        <f t="shared" si="50"/>
        <v>0</v>
      </c>
      <c r="CM24" s="38">
        <f t="shared" si="51"/>
        <v>0</v>
      </c>
      <c r="CP24" s="5">
        <f t="shared" si="52"/>
        <v>0</v>
      </c>
      <c r="CQ24" s="5">
        <f t="shared" si="53"/>
        <v>0</v>
      </c>
      <c r="CR24" s="38">
        <f t="shared" si="54"/>
        <v>0</v>
      </c>
      <c r="CU24" s="5">
        <f t="shared" si="55"/>
        <v>0</v>
      </c>
      <c r="CV24" s="5">
        <f t="shared" si="56"/>
        <v>0</v>
      </c>
      <c r="CW24" s="38">
        <f t="shared" si="57"/>
        <v>0</v>
      </c>
      <c r="CZ24" s="5">
        <f t="shared" si="58"/>
        <v>0</v>
      </c>
      <c r="DA24" s="5">
        <f t="shared" si="59"/>
        <v>0</v>
      </c>
      <c r="DB24" s="38">
        <f t="shared" si="60"/>
        <v>0</v>
      </c>
      <c r="DE24" s="5">
        <f t="shared" si="61"/>
        <v>0</v>
      </c>
      <c r="DF24" s="38">
        <f t="shared" si="62"/>
        <v>0</v>
      </c>
      <c r="DG24" s="38">
        <f t="shared" si="63"/>
        <v>0</v>
      </c>
      <c r="DJ24" s="38">
        <f t="shared" si="64"/>
        <v>0</v>
      </c>
      <c r="DK24" s="38">
        <f t="shared" si="65"/>
        <v>0</v>
      </c>
      <c r="DL24" s="38">
        <f t="shared" si="66"/>
        <v>0</v>
      </c>
      <c r="DO24" s="38">
        <f t="shared" si="67"/>
        <v>0</v>
      </c>
      <c r="DP24" s="38">
        <f t="shared" si="68"/>
        <v>0</v>
      </c>
      <c r="DQ24" s="38">
        <f t="shared" si="69"/>
        <v>0</v>
      </c>
      <c r="DT24" s="5">
        <f t="shared" si="70"/>
        <v>0</v>
      </c>
      <c r="DU24" s="5">
        <f t="shared" si="71"/>
        <v>0</v>
      </c>
      <c r="DV24" s="38">
        <f t="shared" si="72"/>
        <v>0</v>
      </c>
      <c r="DX24" s="38"/>
      <c r="DY24" s="38">
        <f t="shared" si="73"/>
        <v>0</v>
      </c>
      <c r="DZ24" s="5">
        <f t="shared" si="74"/>
        <v>0</v>
      </c>
      <c r="EA24" s="38">
        <f t="shared" si="75"/>
        <v>0</v>
      </c>
      <c r="EC24" s="38"/>
      <c r="ED24" s="38">
        <f t="shared" si="76"/>
        <v>0</v>
      </c>
      <c r="EE24" s="5">
        <f t="shared" si="77"/>
        <v>0</v>
      </c>
      <c r="EF24" s="38">
        <f t="shared" si="78"/>
        <v>0</v>
      </c>
      <c r="EI24" s="5">
        <f t="shared" si="79"/>
        <v>0</v>
      </c>
      <c r="EJ24" s="5">
        <f t="shared" si="80"/>
        <v>0</v>
      </c>
      <c r="EK24" s="38">
        <f t="shared" si="81"/>
        <v>0</v>
      </c>
      <c r="EM24" s="5"/>
      <c r="EN24" s="5">
        <f t="shared" si="82"/>
        <v>0</v>
      </c>
      <c r="EO24" s="5">
        <f t="shared" si="83"/>
        <v>0</v>
      </c>
      <c r="EP24" s="38">
        <f t="shared" si="84"/>
        <v>0</v>
      </c>
      <c r="ER24" s="5"/>
      <c r="ES24" s="5">
        <f t="shared" si="85"/>
        <v>0</v>
      </c>
      <c r="ET24" s="5">
        <f t="shared" si="86"/>
        <v>0</v>
      </c>
      <c r="EU24" s="38">
        <f t="shared" si="87"/>
        <v>0</v>
      </c>
    </row>
    <row r="25" spans="1:151" ht="12.75">
      <c r="A25" s="40">
        <v>47209</v>
      </c>
      <c r="C25" s="76">
        <f>'2010(A&amp;B)'!B25</f>
        <v>0</v>
      </c>
      <c r="D25" s="76">
        <f>'2010(A&amp;B)'!C25</f>
        <v>0</v>
      </c>
      <c r="E25" s="37">
        <f t="shared" si="0"/>
        <v>0</v>
      </c>
      <c r="F25" s="76">
        <f>'2010(A&amp;B)'!E25</f>
        <v>0</v>
      </c>
      <c r="H25" s="50">
        <f t="shared" si="88"/>
        <v>0</v>
      </c>
      <c r="I25" s="38">
        <f t="shared" si="1"/>
        <v>0</v>
      </c>
      <c r="J25" s="38">
        <f t="shared" si="2"/>
        <v>0</v>
      </c>
      <c r="K25" s="38">
        <f t="shared" si="3"/>
        <v>0</v>
      </c>
      <c r="L25"/>
      <c r="M25" s="5">
        <f t="shared" si="89"/>
        <v>0</v>
      </c>
      <c r="N25" s="5">
        <f t="shared" si="4"/>
        <v>0</v>
      </c>
      <c r="O25" s="5">
        <f t="shared" si="5"/>
        <v>0</v>
      </c>
      <c r="P25" s="38">
        <f t="shared" si="6"/>
        <v>0</v>
      </c>
      <c r="Q25"/>
      <c r="R25" s="5">
        <f t="shared" si="90"/>
        <v>0</v>
      </c>
      <c r="S25" s="38">
        <f t="shared" si="7"/>
        <v>0</v>
      </c>
      <c r="T25" s="38">
        <f t="shared" si="8"/>
        <v>0</v>
      </c>
      <c r="U25" s="38">
        <f t="shared" si="9"/>
        <v>0</v>
      </c>
      <c r="V25"/>
      <c r="W25" s="5">
        <f t="shared" si="91"/>
        <v>0</v>
      </c>
      <c r="X25" s="5">
        <f t="shared" si="10"/>
        <v>0</v>
      </c>
      <c r="Y25" s="5">
        <f t="shared" si="11"/>
        <v>0</v>
      </c>
      <c r="Z25" s="38">
        <f t="shared" si="12"/>
        <v>0</v>
      </c>
      <c r="AA25"/>
      <c r="AB25" s="5">
        <f t="shared" si="92"/>
        <v>0</v>
      </c>
      <c r="AC25" s="5">
        <f t="shared" si="13"/>
        <v>0</v>
      </c>
      <c r="AD25" s="5">
        <f t="shared" si="14"/>
        <v>0</v>
      </c>
      <c r="AE25" s="38">
        <f t="shared" si="15"/>
        <v>0</v>
      </c>
      <c r="AF25"/>
      <c r="AG25" s="5">
        <f t="shared" si="93"/>
        <v>0</v>
      </c>
      <c r="AH25" s="5">
        <f t="shared" si="16"/>
        <v>0</v>
      </c>
      <c r="AI25" s="5">
        <f t="shared" si="17"/>
        <v>0</v>
      </c>
      <c r="AJ25" s="38">
        <f t="shared" si="18"/>
        <v>0</v>
      </c>
      <c r="AK25"/>
      <c r="AL25" s="5">
        <f t="shared" si="94"/>
        <v>0</v>
      </c>
      <c r="AM25" s="5">
        <f t="shared" si="19"/>
        <v>0</v>
      </c>
      <c r="AN25" s="5">
        <f t="shared" si="20"/>
        <v>0</v>
      </c>
      <c r="AO25" s="38">
        <f t="shared" si="21"/>
        <v>0</v>
      </c>
      <c r="AP25"/>
      <c r="AQ25" s="5">
        <f t="shared" si="95"/>
        <v>0</v>
      </c>
      <c r="AR25" s="5">
        <f t="shared" si="22"/>
        <v>0</v>
      </c>
      <c r="AS25" s="5">
        <f t="shared" si="23"/>
        <v>0</v>
      </c>
      <c r="AT25" s="38">
        <f t="shared" si="24"/>
        <v>0</v>
      </c>
      <c r="AU25"/>
      <c r="AV25" s="5">
        <f>C25*$AX$6</f>
        <v>0</v>
      </c>
      <c r="AW25" s="5">
        <f t="shared" si="25"/>
        <v>0</v>
      </c>
      <c r="AX25" s="5">
        <f t="shared" si="26"/>
        <v>0</v>
      </c>
      <c r="AY25" s="38">
        <f t="shared" si="27"/>
        <v>0</v>
      </c>
      <c r="AZ25"/>
      <c r="BA25" s="38">
        <f t="shared" si="96"/>
        <v>0</v>
      </c>
      <c r="BB25" s="5">
        <f t="shared" si="28"/>
        <v>0</v>
      </c>
      <c r="BC25" s="38">
        <f t="shared" si="29"/>
        <v>0</v>
      </c>
      <c r="BD25" s="38">
        <f t="shared" si="30"/>
        <v>0</v>
      </c>
      <c r="BE25"/>
      <c r="BF25" s="5">
        <f t="shared" si="97"/>
        <v>0</v>
      </c>
      <c r="BG25" s="5">
        <f t="shared" si="31"/>
        <v>0</v>
      </c>
      <c r="BH25" s="5">
        <f t="shared" si="32"/>
        <v>0</v>
      </c>
      <c r="BI25" s="38">
        <f t="shared" si="33"/>
        <v>0</v>
      </c>
      <c r="BJ25"/>
      <c r="BK25" s="5">
        <f t="shared" si="98"/>
        <v>0</v>
      </c>
      <c r="BL25" s="5">
        <f t="shared" si="34"/>
        <v>0</v>
      </c>
      <c r="BM25" s="5">
        <f t="shared" si="35"/>
        <v>0</v>
      </c>
      <c r="BN25" s="38">
        <f t="shared" si="36"/>
        <v>0</v>
      </c>
      <c r="BO25"/>
      <c r="BP25" s="5">
        <f t="shared" si="99"/>
        <v>0</v>
      </c>
      <c r="BQ25" s="5">
        <f t="shared" si="37"/>
        <v>0</v>
      </c>
      <c r="BR25" s="5">
        <f t="shared" si="38"/>
        <v>0</v>
      </c>
      <c r="BS25" s="38">
        <f t="shared" si="39"/>
        <v>0</v>
      </c>
      <c r="BT25"/>
      <c r="BU25" s="5">
        <f t="shared" si="100"/>
        <v>0</v>
      </c>
      <c r="BV25" s="5">
        <f t="shared" si="40"/>
        <v>0</v>
      </c>
      <c r="BW25" s="5">
        <f t="shared" si="41"/>
        <v>0</v>
      </c>
      <c r="BX25" s="38">
        <f t="shared" si="42"/>
        <v>0</v>
      </c>
      <c r="BY25"/>
      <c r="BZ25" s="5">
        <f t="shared" si="101"/>
        <v>0</v>
      </c>
      <c r="CA25" s="5">
        <f t="shared" si="43"/>
        <v>0</v>
      </c>
      <c r="CB25" s="5">
        <f t="shared" si="44"/>
        <v>0</v>
      </c>
      <c r="CC25" s="38">
        <f t="shared" si="45"/>
        <v>0</v>
      </c>
      <c r="CD25"/>
      <c r="CE25" s="5">
        <f t="shared" si="102"/>
        <v>0</v>
      </c>
      <c r="CF25" s="5">
        <f t="shared" si="46"/>
        <v>0</v>
      </c>
      <c r="CG25" s="5">
        <f t="shared" si="47"/>
        <v>0</v>
      </c>
      <c r="CH25" s="38">
        <f t="shared" si="48"/>
        <v>0</v>
      </c>
      <c r="CI25"/>
      <c r="CJ25" s="5">
        <f t="shared" si="103"/>
        <v>0</v>
      </c>
      <c r="CK25" s="5">
        <f t="shared" si="49"/>
        <v>0</v>
      </c>
      <c r="CL25" s="38">
        <f t="shared" si="50"/>
        <v>0</v>
      </c>
      <c r="CM25" s="38">
        <f t="shared" si="51"/>
        <v>0</v>
      </c>
      <c r="CO25" s="5">
        <f t="shared" si="104"/>
        <v>0</v>
      </c>
      <c r="CP25" s="5">
        <f t="shared" si="52"/>
        <v>0</v>
      </c>
      <c r="CQ25" s="5">
        <f t="shared" si="53"/>
        <v>0</v>
      </c>
      <c r="CR25" s="38">
        <f t="shared" si="54"/>
        <v>0</v>
      </c>
      <c r="CT25" s="5">
        <f t="shared" si="105"/>
        <v>0</v>
      </c>
      <c r="CU25" s="5">
        <f t="shared" si="55"/>
        <v>0</v>
      </c>
      <c r="CV25" s="5">
        <f t="shared" si="56"/>
        <v>0</v>
      </c>
      <c r="CW25" s="38">
        <f t="shared" si="57"/>
        <v>0</v>
      </c>
      <c r="CY25" s="5">
        <f t="shared" si="106"/>
        <v>0</v>
      </c>
      <c r="CZ25" s="5">
        <f t="shared" si="58"/>
        <v>0</v>
      </c>
      <c r="DA25" s="5">
        <f t="shared" si="59"/>
        <v>0</v>
      </c>
      <c r="DB25" s="38">
        <f t="shared" si="60"/>
        <v>0</v>
      </c>
      <c r="DD25" s="5">
        <f t="shared" si="107"/>
        <v>0</v>
      </c>
      <c r="DE25" s="5">
        <f t="shared" si="61"/>
        <v>0</v>
      </c>
      <c r="DF25" s="38">
        <f t="shared" si="62"/>
        <v>0</v>
      </c>
      <c r="DG25" s="38">
        <f t="shared" si="63"/>
        <v>0</v>
      </c>
      <c r="DI25" s="5">
        <f t="shared" si="108"/>
        <v>0</v>
      </c>
      <c r="DJ25" s="38">
        <f t="shared" si="64"/>
        <v>0</v>
      </c>
      <c r="DK25" s="38">
        <f t="shared" si="65"/>
        <v>0</v>
      </c>
      <c r="DL25" s="38">
        <f t="shared" si="66"/>
        <v>0</v>
      </c>
      <c r="DN25" s="5">
        <f t="shared" si="109"/>
        <v>0</v>
      </c>
      <c r="DO25" s="38">
        <f t="shared" si="67"/>
        <v>0</v>
      </c>
      <c r="DP25" s="38">
        <f t="shared" si="68"/>
        <v>0</v>
      </c>
      <c r="DQ25" s="38">
        <f t="shared" si="69"/>
        <v>0</v>
      </c>
      <c r="DS25" s="5">
        <f t="shared" si="110"/>
        <v>0</v>
      </c>
      <c r="DT25" s="5">
        <f t="shared" si="70"/>
        <v>0</v>
      </c>
      <c r="DU25" s="5">
        <f t="shared" si="71"/>
        <v>0</v>
      </c>
      <c r="DV25" s="38">
        <f t="shared" si="72"/>
        <v>0</v>
      </c>
      <c r="DX25" s="38">
        <f t="shared" si="111"/>
        <v>0</v>
      </c>
      <c r="DY25" s="38">
        <f t="shared" si="73"/>
        <v>0</v>
      </c>
      <c r="DZ25" s="5">
        <f t="shared" si="74"/>
        <v>0</v>
      </c>
      <c r="EA25" s="38">
        <f t="shared" si="75"/>
        <v>0</v>
      </c>
      <c r="EC25" s="38">
        <f t="shared" si="112"/>
        <v>0</v>
      </c>
      <c r="ED25" s="38">
        <f t="shared" si="76"/>
        <v>0</v>
      </c>
      <c r="EE25" s="5">
        <f t="shared" si="77"/>
        <v>0</v>
      </c>
      <c r="EF25" s="38">
        <f t="shared" si="78"/>
        <v>0</v>
      </c>
      <c r="EH25" s="5">
        <f t="shared" si="113"/>
        <v>0</v>
      </c>
      <c r="EI25" s="5">
        <f t="shared" si="79"/>
        <v>0</v>
      </c>
      <c r="EJ25" s="5">
        <f t="shared" si="80"/>
        <v>0</v>
      </c>
      <c r="EK25" s="38">
        <f t="shared" si="81"/>
        <v>0</v>
      </c>
      <c r="EM25" s="5">
        <f t="shared" si="114"/>
        <v>0</v>
      </c>
      <c r="EN25" s="5">
        <f t="shared" si="82"/>
        <v>0</v>
      </c>
      <c r="EO25" s="5">
        <f t="shared" si="83"/>
        <v>0</v>
      </c>
      <c r="EP25" s="38">
        <f t="shared" si="84"/>
        <v>0</v>
      </c>
      <c r="ER25" s="5">
        <f t="shared" si="115"/>
        <v>0</v>
      </c>
      <c r="ES25" s="5">
        <f t="shared" si="85"/>
        <v>0</v>
      </c>
      <c r="ET25" s="5">
        <f t="shared" si="86"/>
        <v>0</v>
      </c>
      <c r="EU25" s="38">
        <f t="shared" si="87"/>
        <v>0</v>
      </c>
    </row>
    <row r="26" spans="1:151" ht="12.75">
      <c r="A26" s="40">
        <v>47392</v>
      </c>
      <c r="C26" s="76">
        <f>'2010(A&amp;B)'!B26</f>
        <v>0</v>
      </c>
      <c r="D26" s="76">
        <f>'2010(A&amp;B)'!C26</f>
        <v>0</v>
      </c>
      <c r="E26" s="37">
        <f t="shared" si="0"/>
        <v>0</v>
      </c>
      <c r="F26" s="76">
        <f>'2010(A&amp;B)'!E26</f>
        <v>0</v>
      </c>
      <c r="H26" s="50"/>
      <c r="I26" s="38">
        <f t="shared" si="1"/>
        <v>0</v>
      </c>
      <c r="J26" s="38">
        <f t="shared" si="2"/>
        <v>0</v>
      </c>
      <c r="K26" s="38">
        <f t="shared" si="3"/>
        <v>0</v>
      </c>
      <c r="L26"/>
      <c r="N26" s="5">
        <f t="shared" si="4"/>
        <v>0</v>
      </c>
      <c r="O26" s="5">
        <f t="shared" si="5"/>
        <v>0</v>
      </c>
      <c r="P26" s="38">
        <f t="shared" si="6"/>
        <v>0</v>
      </c>
      <c r="Q26"/>
      <c r="S26" s="38">
        <f t="shared" si="7"/>
        <v>0</v>
      </c>
      <c r="T26" s="38">
        <f t="shared" si="8"/>
        <v>0</v>
      </c>
      <c r="U26" s="38">
        <f t="shared" si="9"/>
        <v>0</v>
      </c>
      <c r="V26"/>
      <c r="X26" s="5">
        <f t="shared" si="10"/>
        <v>0</v>
      </c>
      <c r="Y26" s="5">
        <f t="shared" si="11"/>
        <v>0</v>
      </c>
      <c r="Z26" s="38">
        <f t="shared" si="12"/>
        <v>0</v>
      </c>
      <c r="AA26"/>
      <c r="AC26" s="5">
        <f t="shared" si="13"/>
        <v>0</v>
      </c>
      <c r="AD26" s="5">
        <f t="shared" si="14"/>
        <v>0</v>
      </c>
      <c r="AE26" s="38">
        <f t="shared" si="15"/>
        <v>0</v>
      </c>
      <c r="AF26"/>
      <c r="AH26" s="5">
        <f t="shared" si="16"/>
        <v>0</v>
      </c>
      <c r="AI26" s="5">
        <f t="shared" si="17"/>
        <v>0</v>
      </c>
      <c r="AJ26" s="38">
        <f t="shared" si="18"/>
        <v>0</v>
      </c>
      <c r="AK26"/>
      <c r="AM26" s="5">
        <f t="shared" si="19"/>
        <v>0</v>
      </c>
      <c r="AN26" s="5">
        <f t="shared" si="20"/>
        <v>0</v>
      </c>
      <c r="AO26" s="38">
        <f t="shared" si="21"/>
        <v>0</v>
      </c>
      <c r="AP26"/>
      <c r="AR26" s="5">
        <f t="shared" si="22"/>
        <v>0</v>
      </c>
      <c r="AS26" s="5">
        <f t="shared" si="23"/>
        <v>0</v>
      </c>
      <c r="AT26" s="38">
        <f t="shared" si="24"/>
        <v>0</v>
      </c>
      <c r="AU26"/>
      <c r="AW26" s="5">
        <f t="shared" si="25"/>
        <v>0</v>
      </c>
      <c r="AX26" s="5">
        <f t="shared" si="26"/>
        <v>0</v>
      </c>
      <c r="AY26" s="38">
        <f t="shared" si="27"/>
        <v>0</v>
      </c>
      <c r="AZ26"/>
      <c r="BA26" s="38"/>
      <c r="BB26" s="5">
        <f t="shared" si="28"/>
        <v>0</v>
      </c>
      <c r="BC26" s="38">
        <f t="shared" si="29"/>
        <v>0</v>
      </c>
      <c r="BD26" s="38">
        <f t="shared" si="30"/>
        <v>0</v>
      </c>
      <c r="BE26"/>
      <c r="BG26" s="5">
        <f t="shared" si="31"/>
        <v>0</v>
      </c>
      <c r="BH26" s="5">
        <f t="shared" si="32"/>
        <v>0</v>
      </c>
      <c r="BI26" s="38">
        <f t="shared" si="33"/>
        <v>0</v>
      </c>
      <c r="BJ26"/>
      <c r="BL26" s="5">
        <f t="shared" si="34"/>
        <v>0</v>
      </c>
      <c r="BM26" s="5">
        <f t="shared" si="35"/>
        <v>0</v>
      </c>
      <c r="BN26" s="38">
        <f t="shared" si="36"/>
        <v>0</v>
      </c>
      <c r="BO26"/>
      <c r="BQ26" s="5">
        <f t="shared" si="37"/>
        <v>0</v>
      </c>
      <c r="BR26" s="5">
        <f t="shared" si="38"/>
        <v>0</v>
      </c>
      <c r="BS26" s="38">
        <f t="shared" si="39"/>
        <v>0</v>
      </c>
      <c r="BT26"/>
      <c r="BV26" s="5">
        <f t="shared" si="40"/>
        <v>0</v>
      </c>
      <c r="BW26" s="5">
        <f t="shared" si="41"/>
        <v>0</v>
      </c>
      <c r="BX26" s="38">
        <f t="shared" si="42"/>
        <v>0</v>
      </c>
      <c r="BY26"/>
      <c r="CA26" s="5">
        <f t="shared" si="43"/>
        <v>0</v>
      </c>
      <c r="CB26" s="5">
        <f t="shared" si="44"/>
        <v>0</v>
      </c>
      <c r="CC26" s="38">
        <f t="shared" si="45"/>
        <v>0</v>
      </c>
      <c r="CD26"/>
      <c r="CF26" s="5">
        <f t="shared" si="46"/>
        <v>0</v>
      </c>
      <c r="CG26" s="5">
        <f t="shared" si="47"/>
        <v>0</v>
      </c>
      <c r="CH26" s="38">
        <f t="shared" si="48"/>
        <v>0</v>
      </c>
      <c r="CI26"/>
      <c r="CK26" s="5">
        <f t="shared" si="49"/>
        <v>0</v>
      </c>
      <c r="CL26" s="38">
        <f t="shared" si="50"/>
        <v>0</v>
      </c>
      <c r="CM26" s="38">
        <f t="shared" si="51"/>
        <v>0</v>
      </c>
      <c r="CP26" s="5">
        <f t="shared" si="52"/>
        <v>0</v>
      </c>
      <c r="CQ26" s="5">
        <f t="shared" si="53"/>
        <v>0</v>
      </c>
      <c r="CR26" s="38">
        <f t="shared" si="54"/>
        <v>0</v>
      </c>
      <c r="CU26" s="5">
        <f t="shared" si="55"/>
        <v>0</v>
      </c>
      <c r="CV26" s="5">
        <f t="shared" si="56"/>
        <v>0</v>
      </c>
      <c r="CW26" s="38">
        <f t="shared" si="57"/>
        <v>0</v>
      </c>
      <c r="CZ26" s="5">
        <f t="shared" si="58"/>
        <v>0</v>
      </c>
      <c r="DA26" s="5">
        <f t="shared" si="59"/>
        <v>0</v>
      </c>
      <c r="DB26" s="38">
        <f t="shared" si="60"/>
        <v>0</v>
      </c>
      <c r="DE26" s="5">
        <f t="shared" si="61"/>
        <v>0</v>
      </c>
      <c r="DF26" s="38">
        <f t="shared" si="62"/>
        <v>0</v>
      </c>
      <c r="DG26" s="38">
        <f t="shared" si="63"/>
        <v>0</v>
      </c>
      <c r="DJ26" s="38">
        <f t="shared" si="64"/>
        <v>0</v>
      </c>
      <c r="DK26" s="38">
        <f t="shared" si="65"/>
        <v>0</v>
      </c>
      <c r="DL26" s="38">
        <f t="shared" si="66"/>
        <v>0</v>
      </c>
      <c r="DO26" s="38">
        <f t="shared" si="67"/>
        <v>0</v>
      </c>
      <c r="DP26" s="38">
        <f t="shared" si="68"/>
        <v>0</v>
      </c>
      <c r="DQ26" s="38">
        <f t="shared" si="69"/>
        <v>0</v>
      </c>
      <c r="DT26" s="5">
        <f t="shared" si="70"/>
        <v>0</v>
      </c>
      <c r="DU26" s="5">
        <f t="shared" si="71"/>
        <v>0</v>
      </c>
      <c r="DV26" s="38">
        <f t="shared" si="72"/>
        <v>0</v>
      </c>
      <c r="DX26" s="38"/>
      <c r="DY26" s="38">
        <f t="shared" si="73"/>
        <v>0</v>
      </c>
      <c r="DZ26" s="5">
        <f t="shared" si="74"/>
        <v>0</v>
      </c>
      <c r="EA26" s="38">
        <f t="shared" si="75"/>
        <v>0</v>
      </c>
      <c r="EC26" s="38"/>
      <c r="ED26" s="38">
        <f t="shared" si="76"/>
        <v>0</v>
      </c>
      <c r="EE26" s="5">
        <f t="shared" si="77"/>
        <v>0</v>
      </c>
      <c r="EF26" s="38">
        <f t="shared" si="78"/>
        <v>0</v>
      </c>
      <c r="EI26" s="5">
        <f t="shared" si="79"/>
        <v>0</v>
      </c>
      <c r="EJ26" s="5">
        <f t="shared" si="80"/>
        <v>0</v>
      </c>
      <c r="EK26" s="38">
        <f t="shared" si="81"/>
        <v>0</v>
      </c>
      <c r="EM26" s="5"/>
      <c r="EN26" s="5">
        <f t="shared" si="82"/>
        <v>0</v>
      </c>
      <c r="EO26" s="5">
        <f t="shared" si="83"/>
        <v>0</v>
      </c>
      <c r="EP26" s="38">
        <f t="shared" si="84"/>
        <v>0</v>
      </c>
      <c r="ER26" s="5"/>
      <c r="ES26" s="5">
        <f t="shared" si="85"/>
        <v>0</v>
      </c>
      <c r="ET26" s="5">
        <f t="shared" si="86"/>
        <v>0</v>
      </c>
      <c r="EU26" s="38">
        <f t="shared" si="87"/>
        <v>0</v>
      </c>
    </row>
    <row r="27" spans="1:151" ht="12.75">
      <c r="A27" s="40">
        <v>11049</v>
      </c>
      <c r="C27" s="76">
        <f>'2010(A&amp;B)'!B27</f>
        <v>0</v>
      </c>
      <c r="D27" s="76">
        <f>'2010(A&amp;B)'!C27</f>
        <v>0</v>
      </c>
      <c r="E27" s="37">
        <f t="shared" si="0"/>
        <v>0</v>
      </c>
      <c r="F27" s="76">
        <f>'2010(A&amp;B)'!E27</f>
        <v>0</v>
      </c>
      <c r="H27" s="50">
        <f t="shared" si="88"/>
        <v>0</v>
      </c>
      <c r="I27" s="38">
        <f t="shared" si="1"/>
        <v>0</v>
      </c>
      <c r="J27" s="38">
        <f t="shared" si="2"/>
        <v>0</v>
      </c>
      <c r="K27" s="38">
        <f t="shared" si="3"/>
        <v>0</v>
      </c>
      <c r="L27"/>
      <c r="M27" s="5">
        <f t="shared" si="89"/>
        <v>0</v>
      </c>
      <c r="N27" s="5">
        <f t="shared" si="4"/>
        <v>0</v>
      </c>
      <c r="O27" s="5">
        <f t="shared" si="5"/>
        <v>0</v>
      </c>
      <c r="P27" s="38">
        <f t="shared" si="6"/>
        <v>0</v>
      </c>
      <c r="Q27"/>
      <c r="R27" s="5">
        <f t="shared" si="90"/>
        <v>0</v>
      </c>
      <c r="S27" s="38">
        <f t="shared" si="7"/>
        <v>0</v>
      </c>
      <c r="T27" s="38">
        <f t="shared" si="8"/>
        <v>0</v>
      </c>
      <c r="U27" s="38">
        <f t="shared" si="9"/>
        <v>0</v>
      </c>
      <c r="V27"/>
      <c r="W27" s="5">
        <f t="shared" si="91"/>
        <v>0</v>
      </c>
      <c r="X27" s="5">
        <f t="shared" si="10"/>
        <v>0</v>
      </c>
      <c r="Y27" s="5">
        <f t="shared" si="11"/>
        <v>0</v>
      </c>
      <c r="Z27" s="38">
        <f t="shared" si="12"/>
        <v>0</v>
      </c>
      <c r="AA27"/>
      <c r="AB27" s="5">
        <f t="shared" si="92"/>
        <v>0</v>
      </c>
      <c r="AC27" s="5">
        <f t="shared" si="13"/>
        <v>0</v>
      </c>
      <c r="AD27" s="5">
        <f t="shared" si="14"/>
        <v>0</v>
      </c>
      <c r="AE27" s="38">
        <f t="shared" si="15"/>
        <v>0</v>
      </c>
      <c r="AF27"/>
      <c r="AG27" s="5">
        <f t="shared" si="93"/>
        <v>0</v>
      </c>
      <c r="AH27" s="5">
        <f t="shared" si="16"/>
        <v>0</v>
      </c>
      <c r="AI27" s="5">
        <f t="shared" si="17"/>
        <v>0</v>
      </c>
      <c r="AJ27" s="38">
        <f t="shared" si="18"/>
        <v>0</v>
      </c>
      <c r="AK27"/>
      <c r="AL27" s="5">
        <f t="shared" si="94"/>
        <v>0</v>
      </c>
      <c r="AM27" s="5">
        <f t="shared" si="19"/>
        <v>0</v>
      </c>
      <c r="AN27" s="5">
        <f t="shared" si="20"/>
        <v>0</v>
      </c>
      <c r="AO27" s="38">
        <f t="shared" si="21"/>
        <v>0</v>
      </c>
      <c r="AP27"/>
      <c r="AQ27" s="5">
        <f t="shared" si="95"/>
        <v>0</v>
      </c>
      <c r="AR27" s="5">
        <f t="shared" si="22"/>
        <v>0</v>
      </c>
      <c r="AS27" s="5">
        <f t="shared" si="23"/>
        <v>0</v>
      </c>
      <c r="AT27" s="38">
        <f t="shared" si="24"/>
        <v>0</v>
      </c>
      <c r="AU27"/>
      <c r="AV27" s="5">
        <f>C27*$AX$6</f>
        <v>0</v>
      </c>
      <c r="AW27" s="5">
        <f t="shared" si="25"/>
        <v>0</v>
      </c>
      <c r="AX27" s="5">
        <f t="shared" si="26"/>
        <v>0</v>
      </c>
      <c r="AY27" s="38">
        <f t="shared" si="27"/>
        <v>0</v>
      </c>
      <c r="AZ27"/>
      <c r="BA27" s="38">
        <f t="shared" si="96"/>
        <v>0</v>
      </c>
      <c r="BB27" s="5">
        <f t="shared" si="28"/>
        <v>0</v>
      </c>
      <c r="BC27" s="38">
        <f t="shared" si="29"/>
        <v>0</v>
      </c>
      <c r="BD27" s="38">
        <f t="shared" si="30"/>
        <v>0</v>
      </c>
      <c r="BE27"/>
      <c r="BF27" s="5">
        <f t="shared" si="97"/>
        <v>0</v>
      </c>
      <c r="BG27" s="5">
        <f t="shared" si="31"/>
        <v>0</v>
      </c>
      <c r="BH27" s="5">
        <f t="shared" si="32"/>
        <v>0</v>
      </c>
      <c r="BI27" s="38">
        <f t="shared" si="33"/>
        <v>0</v>
      </c>
      <c r="BJ27"/>
      <c r="BK27" s="5">
        <f t="shared" si="98"/>
        <v>0</v>
      </c>
      <c r="BL27" s="5">
        <f t="shared" si="34"/>
        <v>0</v>
      </c>
      <c r="BM27" s="5">
        <f t="shared" si="35"/>
        <v>0</v>
      </c>
      <c r="BN27" s="38">
        <f t="shared" si="36"/>
        <v>0</v>
      </c>
      <c r="BO27"/>
      <c r="BP27" s="5">
        <f t="shared" si="99"/>
        <v>0</v>
      </c>
      <c r="BQ27" s="5">
        <f t="shared" si="37"/>
        <v>0</v>
      </c>
      <c r="BR27" s="5">
        <f t="shared" si="38"/>
        <v>0</v>
      </c>
      <c r="BS27" s="38">
        <f t="shared" si="39"/>
        <v>0</v>
      </c>
      <c r="BT27"/>
      <c r="BU27" s="5">
        <f t="shared" si="100"/>
        <v>0</v>
      </c>
      <c r="BV27" s="5">
        <f t="shared" si="40"/>
        <v>0</v>
      </c>
      <c r="BW27" s="5">
        <f t="shared" si="41"/>
        <v>0</v>
      </c>
      <c r="BX27" s="38">
        <f t="shared" si="42"/>
        <v>0</v>
      </c>
      <c r="BY27"/>
      <c r="BZ27" s="5">
        <f t="shared" si="101"/>
        <v>0</v>
      </c>
      <c r="CA27" s="5">
        <f t="shared" si="43"/>
        <v>0</v>
      </c>
      <c r="CB27" s="5">
        <f t="shared" si="44"/>
        <v>0</v>
      </c>
      <c r="CC27" s="38">
        <f t="shared" si="45"/>
        <v>0</v>
      </c>
      <c r="CD27"/>
      <c r="CE27" s="5">
        <f t="shared" si="102"/>
        <v>0</v>
      </c>
      <c r="CF27" s="5">
        <f t="shared" si="46"/>
        <v>0</v>
      </c>
      <c r="CG27" s="5">
        <f t="shared" si="47"/>
        <v>0</v>
      </c>
      <c r="CH27" s="38">
        <f t="shared" si="48"/>
        <v>0</v>
      </c>
      <c r="CI27"/>
      <c r="CJ27" s="5">
        <f t="shared" si="103"/>
        <v>0</v>
      </c>
      <c r="CK27" s="5">
        <f t="shared" si="49"/>
        <v>0</v>
      </c>
      <c r="CL27" s="38">
        <f t="shared" si="50"/>
        <v>0</v>
      </c>
      <c r="CM27" s="38">
        <f t="shared" si="51"/>
        <v>0</v>
      </c>
      <c r="CO27" s="5">
        <f t="shared" si="104"/>
        <v>0</v>
      </c>
      <c r="CP27" s="5">
        <f t="shared" si="52"/>
        <v>0</v>
      </c>
      <c r="CQ27" s="5">
        <f t="shared" si="53"/>
        <v>0</v>
      </c>
      <c r="CR27" s="38">
        <f t="shared" si="54"/>
        <v>0</v>
      </c>
      <c r="CT27" s="5">
        <f t="shared" si="105"/>
        <v>0</v>
      </c>
      <c r="CU27" s="5">
        <f t="shared" si="55"/>
        <v>0</v>
      </c>
      <c r="CV27" s="5">
        <f t="shared" si="56"/>
        <v>0</v>
      </c>
      <c r="CW27" s="38">
        <f t="shared" si="57"/>
        <v>0</v>
      </c>
      <c r="CY27" s="5">
        <f t="shared" si="106"/>
        <v>0</v>
      </c>
      <c r="CZ27" s="5">
        <f t="shared" si="58"/>
        <v>0</v>
      </c>
      <c r="DA27" s="5">
        <f t="shared" si="59"/>
        <v>0</v>
      </c>
      <c r="DB27" s="38">
        <f t="shared" si="60"/>
        <v>0</v>
      </c>
      <c r="DD27" s="5">
        <f t="shared" si="107"/>
        <v>0</v>
      </c>
      <c r="DE27" s="5">
        <f t="shared" si="61"/>
        <v>0</v>
      </c>
      <c r="DF27" s="38">
        <f t="shared" si="62"/>
        <v>0</v>
      </c>
      <c r="DG27" s="38">
        <f t="shared" si="63"/>
        <v>0</v>
      </c>
      <c r="DI27" s="5">
        <f t="shared" si="108"/>
        <v>0</v>
      </c>
      <c r="DJ27" s="38">
        <f t="shared" si="64"/>
        <v>0</v>
      </c>
      <c r="DK27" s="38">
        <f t="shared" si="65"/>
        <v>0</v>
      </c>
      <c r="DL27" s="38">
        <f t="shared" si="66"/>
        <v>0</v>
      </c>
      <c r="DN27" s="5">
        <f t="shared" si="109"/>
        <v>0</v>
      </c>
      <c r="DO27" s="38">
        <f t="shared" si="67"/>
        <v>0</v>
      </c>
      <c r="DP27" s="38">
        <f t="shared" si="68"/>
        <v>0</v>
      </c>
      <c r="DQ27" s="38">
        <f t="shared" si="69"/>
        <v>0</v>
      </c>
      <c r="DS27" s="5">
        <f t="shared" si="110"/>
        <v>0</v>
      </c>
      <c r="DT27" s="5">
        <f t="shared" si="70"/>
        <v>0</v>
      </c>
      <c r="DU27" s="5">
        <f t="shared" si="71"/>
        <v>0</v>
      </c>
      <c r="DV27" s="38">
        <f t="shared" si="72"/>
        <v>0</v>
      </c>
      <c r="DX27" s="38">
        <f t="shared" si="111"/>
        <v>0</v>
      </c>
      <c r="DY27" s="38">
        <f t="shared" si="73"/>
        <v>0</v>
      </c>
      <c r="DZ27" s="5">
        <f t="shared" si="74"/>
        <v>0</v>
      </c>
      <c r="EA27" s="38">
        <f t="shared" si="75"/>
        <v>0</v>
      </c>
      <c r="EC27" s="38">
        <f t="shared" si="112"/>
        <v>0</v>
      </c>
      <c r="ED27" s="38">
        <f t="shared" si="76"/>
        <v>0</v>
      </c>
      <c r="EE27" s="5">
        <f t="shared" si="77"/>
        <v>0</v>
      </c>
      <c r="EF27" s="38">
        <f t="shared" si="78"/>
        <v>0</v>
      </c>
      <c r="EH27" s="5">
        <f t="shared" si="113"/>
        <v>0</v>
      </c>
      <c r="EI27" s="5">
        <f t="shared" si="79"/>
        <v>0</v>
      </c>
      <c r="EJ27" s="5">
        <f t="shared" si="80"/>
        <v>0</v>
      </c>
      <c r="EK27" s="38">
        <f t="shared" si="81"/>
        <v>0</v>
      </c>
      <c r="EM27" s="5">
        <f t="shared" si="114"/>
        <v>0</v>
      </c>
      <c r="EN27" s="5">
        <f t="shared" si="82"/>
        <v>0</v>
      </c>
      <c r="EO27" s="5">
        <f t="shared" si="83"/>
        <v>0</v>
      </c>
      <c r="EP27" s="38">
        <f t="shared" si="84"/>
        <v>0</v>
      </c>
      <c r="ER27" s="5">
        <f t="shared" si="115"/>
        <v>0</v>
      </c>
      <c r="ES27" s="5">
        <f t="shared" si="85"/>
        <v>0</v>
      </c>
      <c r="ET27" s="5">
        <f t="shared" si="86"/>
        <v>0</v>
      </c>
      <c r="EU27" s="38">
        <f t="shared" si="87"/>
        <v>0</v>
      </c>
    </row>
    <row r="28" spans="2:141" ht="12.75">
      <c r="B28" s="36"/>
      <c r="C28" s="37"/>
      <c r="D28" s="37"/>
      <c r="E28" s="37"/>
      <c r="F28" s="37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M28"/>
      <c r="CR28"/>
      <c r="CW28"/>
      <c r="DB28"/>
      <c r="DG28"/>
      <c r="DL28"/>
      <c r="DQ28"/>
      <c r="DV28"/>
      <c r="EA28"/>
      <c r="EF28"/>
      <c r="EK28"/>
    </row>
    <row r="29" spans="1:151" ht="13.5" thickBot="1">
      <c r="A29" s="41" t="s">
        <v>31</v>
      </c>
      <c r="C29" s="42">
        <f>SUM(C8:C28)</f>
        <v>6040000</v>
      </c>
      <c r="D29" s="42">
        <f>SUM(D8:D28)</f>
        <v>176670</v>
      </c>
      <c r="E29" s="42">
        <f>SUM(E8:E28)</f>
        <v>6216670</v>
      </c>
      <c r="F29" s="42">
        <f>SUM(F8:F28)</f>
        <v>157264</v>
      </c>
      <c r="H29" s="42">
        <f>SUM(H8:H28)</f>
        <v>865609.9160000001</v>
      </c>
      <c r="I29" s="42">
        <f>SUM(I8:I28)</f>
        <v>25319.090043</v>
      </c>
      <c r="J29" s="42">
        <f>SUM(J8:J28)</f>
        <v>890929.006043</v>
      </c>
      <c r="K29" s="42">
        <f>SUM(K8:K28)</f>
        <v>22537.959905599997</v>
      </c>
      <c r="M29" s="42">
        <f>SUM(M8:M28)</f>
        <v>200021.244</v>
      </c>
      <c r="N29" s="42">
        <f>SUM(N8:N28)</f>
        <v>5850.621387</v>
      </c>
      <c r="O29" s="42">
        <f>SUM(O8:O28)</f>
        <v>205871.86538700003</v>
      </c>
      <c r="P29" s="42">
        <f>SUM(P8:P28)</f>
        <v>5207.970350400001</v>
      </c>
      <c r="R29" s="42">
        <f>SUM(R8:R28)</f>
        <v>21253.552</v>
      </c>
      <c r="S29" s="42">
        <f>SUM(S8:S28)</f>
        <v>621.666396</v>
      </c>
      <c r="T29" s="42">
        <f>SUM(T8:T28)</f>
        <v>21875.218396</v>
      </c>
      <c r="U29" s="42">
        <f>SUM(U8:U28)</f>
        <v>553.3805632</v>
      </c>
      <c r="W29" s="42">
        <f>SUM(W8:W28)</f>
        <v>7279.408</v>
      </c>
      <c r="X29" s="42">
        <f>SUM(X8:X28)</f>
        <v>212.922684</v>
      </c>
      <c r="Y29" s="42">
        <f>SUM(Y8:Y28)</f>
        <v>7492.330684</v>
      </c>
      <c r="Z29" s="42">
        <f>SUM(Z8:Z28)</f>
        <v>189.5345728</v>
      </c>
      <c r="AB29" s="42">
        <f>SUM(AB8:AB28)</f>
        <v>4181.51012</v>
      </c>
      <c r="AC29" s="42">
        <f>SUM(AC8:AC28)</f>
        <v>122.30917101</v>
      </c>
      <c r="AD29" s="42">
        <f>SUM(AD8:AD28)</f>
        <v>4303.81929101</v>
      </c>
      <c r="AE29" s="42">
        <f>SUM(AE8:AE28)</f>
        <v>108.874338992</v>
      </c>
      <c r="AG29" s="42">
        <f>SUM(AG8:AG28)</f>
        <v>32251.184</v>
      </c>
      <c r="AH29" s="42">
        <f>SUM(AH8:AH28)</f>
        <v>943.347132</v>
      </c>
      <c r="AI29" s="42">
        <f>SUM(AI8:AI28)</f>
        <v>33194.531132000004</v>
      </c>
      <c r="AJ29" s="42">
        <f>SUM(AJ8:AJ28)</f>
        <v>839.7268544</v>
      </c>
      <c r="AL29" s="42">
        <f>SUM(AL8:AL28)</f>
        <v>196981.916</v>
      </c>
      <c r="AM29" s="42">
        <f>SUM(AM8:AM28)</f>
        <v>5761.7210430000005</v>
      </c>
      <c r="AN29" s="42">
        <f>SUM(AN8:AN28)</f>
        <v>202743.637043</v>
      </c>
      <c r="AO29" s="42">
        <f>SUM(AO8:AO28)</f>
        <v>5128.8351056</v>
      </c>
      <c r="AQ29" s="42">
        <f>SUM(AQ8:AQ28)</f>
        <v>9400.656</v>
      </c>
      <c r="AR29" s="42">
        <f>SUM(AR8:AR28)</f>
        <v>274.96918800000003</v>
      </c>
      <c r="AS29" s="42">
        <f>SUM(AS8:AS28)</f>
        <v>9675.625188</v>
      </c>
      <c r="AT29" s="42">
        <f>SUM(AT8:AT28)</f>
        <v>244.7656896</v>
      </c>
      <c r="AV29" s="42">
        <f>SUM(AV8:AV28)</f>
        <v>15260.663999999999</v>
      </c>
      <c r="AW29" s="42">
        <f>SUM(AW8:AW28)</f>
        <v>446.374422</v>
      </c>
      <c r="AX29" s="42">
        <f>SUM(AX8:AX28)</f>
        <v>15707.038422</v>
      </c>
      <c r="AY29" s="42">
        <f>SUM(AY8:AY28)</f>
        <v>397.3432224</v>
      </c>
      <c r="BA29" s="42">
        <f>SUM(BA8:BA28)</f>
        <v>37544.036</v>
      </c>
      <c r="BB29" s="42">
        <f>SUM(BB8:BB28)</f>
        <v>1098.163053</v>
      </c>
      <c r="BC29" s="42">
        <f>SUM(BC8:BC28)</f>
        <v>38642.199053</v>
      </c>
      <c r="BD29" s="42">
        <f>SUM(BD8:BD28)</f>
        <v>977.5372976</v>
      </c>
      <c r="BF29" s="42">
        <f>SUM(BF8:BF28)</f>
        <v>1803.5439999999999</v>
      </c>
      <c r="BG29" s="42">
        <f>SUM(BG8:BG28)</f>
        <v>52.753662</v>
      </c>
      <c r="BH29" s="42">
        <f>SUM(BH8:BH28)</f>
        <v>1856.297662</v>
      </c>
      <c r="BI29" s="42">
        <f>SUM(BI8:BI28)</f>
        <v>46.959030399999996</v>
      </c>
      <c r="BK29" s="42">
        <f>SUM(BK8:BK28)</f>
        <v>19256.124</v>
      </c>
      <c r="BL29" s="42">
        <f>SUM(BL8:BL28)</f>
        <v>563.241627</v>
      </c>
      <c r="BM29" s="42">
        <f>SUM(BM8:BM28)</f>
        <v>19819.365627000003</v>
      </c>
      <c r="BN29" s="42">
        <f>SUM(BN8:BN28)</f>
        <v>501.37335840000003</v>
      </c>
      <c r="BP29" s="42">
        <f>SUM(BP8:BP28)</f>
        <v>856.4538800000003</v>
      </c>
      <c r="BQ29" s="42">
        <f>SUM(BQ8:BQ28)</f>
        <v>25.051275990000008</v>
      </c>
      <c r="BR29" s="42">
        <f>SUM(BR8:BR28)</f>
        <v>881.5051559900003</v>
      </c>
      <c r="BS29" s="42">
        <f>SUM(BS8:BS28)</f>
        <v>22.299563408000004</v>
      </c>
      <c r="BU29" s="42">
        <f>SUM(BU8:BU28)</f>
        <v>574.404</v>
      </c>
      <c r="BV29" s="42">
        <f>SUM(BV8:BV28)</f>
        <v>16.801316999999997</v>
      </c>
      <c r="BW29" s="42">
        <f>SUM(BW8:BW28)</f>
        <v>591.2053169999999</v>
      </c>
      <c r="BX29" s="42">
        <f>SUM(BX8:BX28)</f>
        <v>14.955806399999998</v>
      </c>
      <c r="BZ29" s="42">
        <f>SUM(BZ8:BZ28)</f>
        <v>959.7560000000001</v>
      </c>
      <c r="CA29" s="42">
        <f>SUM(CA8:CA28)</f>
        <v>28.072863</v>
      </c>
      <c r="CB29" s="42">
        <f>SUM(CB8:CB28)</f>
        <v>987.8288630000002</v>
      </c>
      <c r="CC29" s="42">
        <f>SUM(CC8:CC28)</f>
        <v>24.9892496</v>
      </c>
      <c r="CE29" s="42">
        <f>SUM(CE8:CE28)</f>
        <v>18310.26</v>
      </c>
      <c r="CF29" s="42">
        <f>SUM(CF8:CF28)</f>
        <v>535.575105</v>
      </c>
      <c r="CG29" s="42">
        <f>SUM(CG8:CG28)</f>
        <v>18845.835105000002</v>
      </c>
      <c r="CH29" s="42">
        <f>SUM(CH8:CH28)</f>
        <v>476.745816</v>
      </c>
      <c r="CJ29" s="42">
        <f>SUM(CJ8:CJ28)</f>
        <v>14779.276</v>
      </c>
      <c r="CK29" s="42">
        <f>SUM(CK8:CK28)</f>
        <v>432.29382300000003</v>
      </c>
      <c r="CL29" s="42">
        <f>SUM(CL8:CL28)</f>
        <v>15211.569823</v>
      </c>
      <c r="CM29" s="42">
        <f>SUM(CM8:CM28)</f>
        <v>384.8092816</v>
      </c>
      <c r="CO29" s="42">
        <f>SUM(CO8:CO28)</f>
        <v>2679.948</v>
      </c>
      <c r="CP29" s="42">
        <f>SUM(CP8:CP28)</f>
        <v>78.388479</v>
      </c>
      <c r="CQ29" s="42">
        <f>SUM(CQ8:CQ28)</f>
        <v>2758.336479</v>
      </c>
      <c r="CR29" s="42">
        <f>SUM(CR8:CR28)</f>
        <v>69.7780368</v>
      </c>
      <c r="CT29" s="42">
        <f>SUM(CT8:CT28)</f>
        <v>1078.14</v>
      </c>
      <c r="CU29" s="42">
        <f>SUM(CU8:CU28)</f>
        <v>31.535595</v>
      </c>
      <c r="CV29" s="42">
        <f>SUM(CV8:CV28)</f>
        <v>1109.675595</v>
      </c>
      <c r="CW29" s="42">
        <f>SUM(CW8:CW28)</f>
        <v>28.071624</v>
      </c>
      <c r="CY29" s="42">
        <f>SUM(CY8:CY28)</f>
        <v>8672.836</v>
      </c>
      <c r="CZ29" s="42">
        <f>SUM(CZ8:CZ28)</f>
        <v>253.680453</v>
      </c>
      <c r="DA29" s="42">
        <f>SUM(DA8:DA28)</f>
        <v>8926.516453</v>
      </c>
      <c r="DB29" s="42">
        <f>SUM(DB8:DB28)</f>
        <v>225.81537759999998</v>
      </c>
      <c r="DD29" s="42">
        <f>SUM(DD8:DD28)</f>
        <v>110100.744</v>
      </c>
      <c r="DE29" s="42">
        <f>SUM(DE8:DE28)</f>
        <v>3220.446762</v>
      </c>
      <c r="DF29" s="42">
        <f>SUM(DF8:DF28)</f>
        <v>113321.19076200001</v>
      </c>
      <c r="DG29" s="42">
        <f>SUM(DG8:DG28)</f>
        <v>2866.7025504000003</v>
      </c>
      <c r="DI29" s="42">
        <f>SUM(DI8:DI28)</f>
        <v>9224.288</v>
      </c>
      <c r="DJ29" s="42">
        <f>SUM(DJ8:DJ28)</f>
        <v>269.810424</v>
      </c>
      <c r="DK29" s="42">
        <f>SUM(DK8:DK28)</f>
        <v>9494.098424</v>
      </c>
      <c r="DL29" s="42">
        <f>SUM(DL8:DL28)</f>
        <v>240.1735808</v>
      </c>
      <c r="DN29" s="42">
        <f>SUM(DN8:DN28)</f>
        <v>3618.564</v>
      </c>
      <c r="DO29" s="42">
        <f>SUM(DO8:DO28)</f>
        <v>105.842997</v>
      </c>
      <c r="DP29" s="42">
        <f>SUM(DP8:DP28)</f>
        <v>3724.4069969999996</v>
      </c>
      <c r="DQ29" s="42">
        <f>SUM(DQ8:DQ28)</f>
        <v>94.2168624</v>
      </c>
      <c r="DS29" s="42">
        <f>SUM(DS8:DS28)</f>
        <v>2968.056</v>
      </c>
      <c r="DT29" s="42">
        <f>SUM(DT8:DT28)</f>
        <v>86.815638</v>
      </c>
      <c r="DU29" s="42">
        <f>SUM(DU8:DU28)</f>
        <v>3054.871638</v>
      </c>
      <c r="DV29" s="42">
        <f>SUM(DV8:DV28)</f>
        <v>77.2795296</v>
      </c>
      <c r="DX29" s="42">
        <f>SUM(DX8:DX28)</f>
        <v>27090.003999999997</v>
      </c>
      <c r="DY29" s="42">
        <f>SUM(DY8:DY28)</f>
        <v>792.382617</v>
      </c>
      <c r="DZ29" s="42">
        <f>SUM(DZ8:DZ28)</f>
        <v>27882.386617</v>
      </c>
      <c r="EA29" s="42">
        <f>SUM(EA8:EA28)</f>
        <v>705.3447663999999</v>
      </c>
      <c r="EC29" s="42">
        <f>SUM(EC8:EC28)</f>
        <v>78141.292</v>
      </c>
      <c r="ED29" s="42">
        <f>SUM(ED8:ED28)</f>
        <v>2285.632791</v>
      </c>
      <c r="EE29" s="42">
        <f>SUM(EE8:EE28)</f>
        <v>80426.92479100001</v>
      </c>
      <c r="EF29" s="42">
        <f>SUM(EF8:EF28)</f>
        <v>2034.5715472000002</v>
      </c>
      <c r="EH29" s="42">
        <f>SUM(EH8:EH28)</f>
        <v>800.904</v>
      </c>
      <c r="EI29" s="42">
        <f>SUM(EI8:EI28)</f>
        <v>23.426441999999998</v>
      </c>
      <c r="EJ29" s="42">
        <f>SUM(EJ8:EJ28)</f>
        <v>824.330442</v>
      </c>
      <c r="EK29" s="42">
        <f>SUM(EK8:EK28)</f>
        <v>20.8532064</v>
      </c>
      <c r="EM29" s="42">
        <f>SUM(EM8:EM28)</f>
        <v>37850.263999999996</v>
      </c>
      <c r="EN29" s="42">
        <f>SUM(EN8:EN28)</f>
        <v>1107.120222</v>
      </c>
      <c r="EO29" s="42">
        <f>SUM(EO8:EO28)</f>
        <v>38957.38422199999</v>
      </c>
      <c r="EP29" s="42">
        <f>SUM(EP8:EP28)</f>
        <v>985.5105824</v>
      </c>
      <c r="ER29" s="42">
        <f>SUM(ER8:ER28)</f>
        <v>2670.888</v>
      </c>
      <c r="ES29" s="42">
        <f>SUM(ES8:ES28)</f>
        <v>78.123474</v>
      </c>
      <c r="ET29" s="42">
        <f>SUM(ET8:ET28)</f>
        <v>2749.011474</v>
      </c>
      <c r="EU29" s="42">
        <f>SUM(EU8:EU28)</f>
        <v>69.5421408</v>
      </c>
    </row>
    <row r="30" spans="8:89" ht="13.5" thickTop="1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8:89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8:89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8:89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8:89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8:89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8:89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ht="12.75">
      <c r="A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ht="12.75">
      <c r="A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ht="12.75">
      <c r="A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ht="12.75">
      <c r="A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ht="12.75">
      <c r="A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ht="12.75">
      <c r="A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6" ht="12.75">
      <c r="A43"/>
      <c r="C43"/>
      <c r="D43"/>
      <c r="E43"/>
      <c r="F43"/>
    </row>
    <row r="44" spans="1:6" ht="12.75">
      <c r="A44"/>
      <c r="C44"/>
      <c r="D44"/>
      <c r="E44"/>
      <c r="F44"/>
    </row>
    <row r="45" spans="1:6" ht="12.75">
      <c r="A45"/>
      <c r="C45"/>
      <c r="D45"/>
      <c r="E45"/>
      <c r="F45"/>
    </row>
    <row r="46" spans="1:6" ht="12.75">
      <c r="A46"/>
      <c r="C46"/>
      <c r="D46"/>
      <c r="E46"/>
      <c r="F46"/>
    </row>
    <row r="47" spans="1:6" ht="12.75">
      <c r="A47"/>
      <c r="C47"/>
      <c r="D47"/>
      <c r="E47"/>
      <c r="F47"/>
    </row>
    <row r="48" spans="1:6" ht="12.75">
      <c r="A48"/>
      <c r="C48"/>
      <c r="D48"/>
      <c r="E48"/>
      <c r="F48"/>
    </row>
    <row r="49" spans="1:6" ht="12.75">
      <c r="A49"/>
      <c r="C49"/>
      <c r="D49"/>
      <c r="E49"/>
      <c r="F49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</sheetData>
  <sheetProtection/>
  <printOptions/>
  <pageMargins left="0.25" right="0" top="0" bottom="0.25" header="0.5" footer="0"/>
  <pageSetup horizontalDpi="600" verticalDpi="600" orientation="landscape" scale="9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O559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13.7109375" defaultRowHeight="12.75"/>
  <cols>
    <col min="1" max="1" width="9.7109375" style="40" customWidth="1"/>
    <col min="2" max="5" width="13.7109375" style="3" customWidth="1"/>
    <col min="6" max="6" width="16.8515625" style="3" customWidth="1"/>
    <col min="7" max="7" width="3.7109375" style="5" customWidth="1"/>
    <col min="8" max="12" width="13.7109375" style="5" customWidth="1"/>
    <col min="13" max="13" width="3.7109375" style="5" customWidth="1"/>
    <col min="14" max="18" width="13.7109375" style="0" customWidth="1"/>
    <col min="19" max="19" width="3.7109375" style="5" customWidth="1"/>
    <col min="20" max="24" width="13.7109375" style="0" customWidth="1"/>
    <col min="25" max="25" width="3.7109375" style="5" customWidth="1"/>
    <col min="26" max="30" width="13.7109375" style="5" customWidth="1"/>
    <col min="31" max="31" width="3.7109375" style="5" customWidth="1"/>
    <col min="32" max="36" width="13.7109375" style="5" customWidth="1"/>
    <col min="37" max="37" width="3.7109375" style="5" customWidth="1"/>
    <col min="38" max="42" width="13.7109375" style="5" customWidth="1"/>
    <col min="43" max="43" width="3.7109375" style="5" customWidth="1"/>
    <col min="44" max="48" width="13.7109375" style="0" customWidth="1"/>
    <col min="49" max="49" width="3.7109375" style="5" customWidth="1"/>
    <col min="50" max="54" width="13.7109375" style="0" customWidth="1"/>
    <col min="55" max="55" width="3.7109375" style="6" customWidth="1"/>
    <col min="56" max="60" width="13.7109375" style="0" customWidth="1"/>
    <col min="61" max="61" width="3.7109375" style="6" customWidth="1"/>
    <col min="62" max="66" width="13.7109375" style="0" customWidth="1"/>
    <col min="67" max="67" width="3.7109375" style="0" customWidth="1"/>
    <col min="68" max="72" width="13.7109375" style="6" customWidth="1"/>
    <col min="73" max="73" width="3.7109375" style="6" customWidth="1"/>
    <col min="74" max="78" width="13.7109375" style="6" customWidth="1"/>
    <col min="79" max="79" width="3.7109375" style="6" customWidth="1"/>
    <col min="80" max="84" width="12.7109375" style="6" customWidth="1"/>
    <col min="85" max="85" width="3.7109375" style="6" customWidth="1"/>
    <col min="86" max="90" width="13.7109375" style="6" customWidth="1"/>
    <col min="91" max="91" width="3.7109375" style="6" customWidth="1"/>
    <col min="92" max="96" width="13.7109375" style="6" customWidth="1"/>
    <col min="97" max="97" width="3.7109375" style="6" customWidth="1"/>
    <col min="98" max="102" width="13.7109375" style="6" customWidth="1"/>
    <col min="103" max="103" width="3.7109375" style="6" customWidth="1"/>
    <col min="104" max="108" width="13.7109375" style="6" customWidth="1"/>
    <col min="109" max="109" width="3.7109375" style="6" customWidth="1"/>
    <col min="110" max="114" width="13.7109375" style="6" customWidth="1"/>
    <col min="115" max="115" width="3.7109375" style="6" customWidth="1"/>
    <col min="116" max="120" width="13.7109375" style="6" customWidth="1"/>
    <col min="121" max="121" width="3.7109375" style="6" customWidth="1"/>
    <col min="122" max="126" width="12.7109375" style="6" customWidth="1"/>
    <col min="127" max="127" width="3.7109375" style="6" customWidth="1"/>
    <col min="128" max="132" width="13.7109375" style="6" customWidth="1"/>
    <col min="133" max="133" width="3.7109375" style="6" customWidth="1"/>
    <col min="134" max="138" width="13.7109375" style="6" customWidth="1"/>
    <col min="139" max="139" width="3.7109375" style="6" customWidth="1"/>
    <col min="140" max="144" width="13.7109375" style="6" customWidth="1"/>
    <col min="145" max="145" width="3.7109375" style="6" customWidth="1"/>
    <col min="146" max="150" width="13.7109375" style="6" customWidth="1"/>
    <col min="151" max="151" width="3.7109375" style="6" customWidth="1"/>
    <col min="152" max="156" width="13.7109375" style="6" customWidth="1"/>
    <col min="157" max="157" width="3.7109375" style="6" customWidth="1"/>
    <col min="158" max="162" width="13.7109375" style="6" customWidth="1"/>
    <col min="163" max="163" width="3.7109375" style="6" customWidth="1"/>
    <col min="164" max="168" width="13.7109375" style="6" customWidth="1"/>
    <col min="169" max="169" width="3.7109375" style="6" customWidth="1"/>
    <col min="170" max="174" width="13.7109375" style="6" customWidth="1"/>
    <col min="175" max="175" width="3.7109375" style="6" customWidth="1"/>
    <col min="176" max="180" width="13.7109375" style="6" customWidth="1"/>
    <col min="181" max="181" width="3.7109375" style="6" customWidth="1"/>
    <col min="182" max="184" width="13.7109375" style="6" customWidth="1"/>
    <col min="185" max="185" width="3.7109375" style="0" customWidth="1"/>
  </cols>
  <sheetData>
    <row r="1" spans="1:182" ht="12.75">
      <c r="A1" s="1"/>
      <c r="B1" s="4"/>
      <c r="C1" s="4"/>
      <c r="H1" s="4"/>
      <c r="N1" s="4" t="s">
        <v>151</v>
      </c>
      <c r="Z1" s="4"/>
      <c r="AF1" s="4" t="s">
        <v>151</v>
      </c>
      <c r="AR1" s="4"/>
      <c r="AX1" s="4" t="s">
        <v>151</v>
      </c>
      <c r="BP1" s="4" t="s">
        <v>151</v>
      </c>
      <c r="BV1" s="4"/>
      <c r="CB1" s="4"/>
      <c r="CH1" s="4" t="s">
        <v>151</v>
      </c>
      <c r="CZ1" s="4" t="s">
        <v>151</v>
      </c>
      <c r="DR1" s="4" t="s">
        <v>151</v>
      </c>
      <c r="EJ1" s="4" t="s">
        <v>151</v>
      </c>
      <c r="EV1" s="4"/>
      <c r="FB1" s="4" t="s">
        <v>151</v>
      </c>
      <c r="FT1" s="4" t="s">
        <v>151</v>
      </c>
      <c r="FZ1" s="4"/>
    </row>
    <row r="2" spans="1:182" ht="12.75">
      <c r="A2" s="1"/>
      <c r="B2" s="4"/>
      <c r="C2" s="4"/>
      <c r="H2" s="4"/>
      <c r="N2" s="4" t="s">
        <v>152</v>
      </c>
      <c r="Z2" s="4"/>
      <c r="AF2" s="4" t="s">
        <v>152</v>
      </c>
      <c r="AR2" s="4"/>
      <c r="AX2" s="4" t="s">
        <v>152</v>
      </c>
      <c r="BP2" s="4" t="s">
        <v>152</v>
      </c>
      <c r="BV2" s="4"/>
      <c r="CB2" s="4"/>
      <c r="CH2" s="4" t="s">
        <v>152</v>
      </c>
      <c r="CZ2" s="4" t="s">
        <v>152</v>
      </c>
      <c r="DR2" s="4" t="s">
        <v>152</v>
      </c>
      <c r="EJ2" s="4" t="s">
        <v>152</v>
      </c>
      <c r="EV2" s="4"/>
      <c r="FB2" s="4" t="s">
        <v>152</v>
      </c>
      <c r="FT2" s="4" t="s">
        <v>152</v>
      </c>
      <c r="FZ2" s="4"/>
    </row>
    <row r="3" spans="1:182" ht="12.75">
      <c r="A3" s="1"/>
      <c r="B3" s="7"/>
      <c r="C3" s="7"/>
      <c r="H3" s="4"/>
      <c r="N3" s="4" t="s">
        <v>164</v>
      </c>
      <c r="O3" s="8"/>
      <c r="Z3" s="4"/>
      <c r="AF3" s="4" t="s">
        <v>150</v>
      </c>
      <c r="AR3" s="4"/>
      <c r="AX3" s="4" t="s">
        <v>150</v>
      </c>
      <c r="BP3" s="4" t="s">
        <v>150</v>
      </c>
      <c r="BV3" s="4"/>
      <c r="CB3" s="4"/>
      <c r="CH3" s="4" t="s">
        <v>150</v>
      </c>
      <c r="CZ3" s="4" t="s">
        <v>150</v>
      </c>
      <c r="DR3" s="4" t="s">
        <v>150</v>
      </c>
      <c r="EJ3" s="4" t="s">
        <v>150</v>
      </c>
      <c r="EV3" s="4"/>
      <c r="FB3" s="4" t="s">
        <v>150</v>
      </c>
      <c r="FT3" s="4" t="s">
        <v>150</v>
      </c>
      <c r="FZ3" s="4"/>
    </row>
    <row r="4" spans="1:3" ht="12.75">
      <c r="A4" s="1"/>
      <c r="B4" s="4"/>
      <c r="C4" s="4"/>
    </row>
    <row r="5" spans="1:184" ht="12.75">
      <c r="A5" s="9" t="s">
        <v>3</v>
      </c>
      <c r="B5" s="10" t="s">
        <v>162</v>
      </c>
      <c r="C5" s="11"/>
      <c r="D5" s="12"/>
      <c r="E5" s="12"/>
      <c r="F5" s="32"/>
      <c r="H5" s="13" t="s">
        <v>133</v>
      </c>
      <c r="I5" s="14"/>
      <c r="J5" s="15"/>
      <c r="K5" s="12"/>
      <c r="L5" s="32"/>
      <c r="N5" s="13" t="s">
        <v>4</v>
      </c>
      <c r="O5" s="16"/>
      <c r="P5" s="15"/>
      <c r="Q5" s="12"/>
      <c r="R5" s="32"/>
      <c r="T5" s="17" t="s">
        <v>5</v>
      </c>
      <c r="U5" s="18"/>
      <c r="V5" s="19"/>
      <c r="W5" s="12"/>
      <c r="X5" s="32"/>
      <c r="Z5" s="20" t="s">
        <v>6</v>
      </c>
      <c r="AA5" s="18"/>
      <c r="AB5" s="19"/>
      <c r="AC5" s="12"/>
      <c r="AD5" s="32"/>
      <c r="AF5" s="20" t="s">
        <v>7</v>
      </c>
      <c r="AG5" s="18"/>
      <c r="AH5" s="19"/>
      <c r="AI5" s="12"/>
      <c r="AJ5" s="32"/>
      <c r="AL5" s="20" t="s">
        <v>146</v>
      </c>
      <c r="AM5" s="18"/>
      <c r="AN5" s="19"/>
      <c r="AO5" s="12"/>
      <c r="AP5" s="32"/>
      <c r="AR5" s="17" t="s">
        <v>8</v>
      </c>
      <c r="AS5" s="18"/>
      <c r="AT5" s="19"/>
      <c r="AU5" s="12"/>
      <c r="AV5" s="32"/>
      <c r="AX5" s="17" t="s">
        <v>9</v>
      </c>
      <c r="AY5" s="18"/>
      <c r="AZ5" s="19"/>
      <c r="BA5" s="12"/>
      <c r="BB5" s="32"/>
      <c r="BD5" s="17" t="s">
        <v>10</v>
      </c>
      <c r="BE5" s="18"/>
      <c r="BF5" s="19"/>
      <c r="BG5" s="12"/>
      <c r="BH5" s="32"/>
      <c r="BJ5" s="20" t="s">
        <v>147</v>
      </c>
      <c r="BK5" s="18"/>
      <c r="BL5" s="19"/>
      <c r="BM5" s="12"/>
      <c r="BN5" s="32"/>
      <c r="BO5" s="21"/>
      <c r="BP5" s="17" t="s">
        <v>154</v>
      </c>
      <c r="BQ5" s="18"/>
      <c r="BR5" s="19"/>
      <c r="BS5" s="12"/>
      <c r="BT5" s="32"/>
      <c r="BV5" s="20" t="s">
        <v>11</v>
      </c>
      <c r="BW5" s="18"/>
      <c r="BX5" s="19"/>
      <c r="BY5" s="12"/>
      <c r="BZ5" s="32"/>
      <c r="CB5" s="17" t="s">
        <v>12</v>
      </c>
      <c r="CC5" s="18"/>
      <c r="CD5" s="19"/>
      <c r="CE5" s="12"/>
      <c r="CF5" s="32"/>
      <c r="CH5" s="17" t="s">
        <v>13</v>
      </c>
      <c r="CI5" s="18"/>
      <c r="CJ5" s="19"/>
      <c r="CK5" s="12"/>
      <c r="CL5" s="32"/>
      <c r="CN5" s="17" t="s">
        <v>148</v>
      </c>
      <c r="CO5" s="18"/>
      <c r="CP5" s="19"/>
      <c r="CQ5" s="12"/>
      <c r="CR5" s="32"/>
      <c r="CT5" s="17" t="s">
        <v>14</v>
      </c>
      <c r="CU5" s="18"/>
      <c r="CV5" s="19"/>
      <c r="CW5" s="12"/>
      <c r="CX5" s="32"/>
      <c r="CZ5" s="20" t="s">
        <v>149</v>
      </c>
      <c r="DA5" s="18"/>
      <c r="DB5" s="19"/>
      <c r="DC5" s="12"/>
      <c r="DD5" s="32"/>
      <c r="DF5" s="17" t="s">
        <v>15</v>
      </c>
      <c r="DG5" s="18"/>
      <c r="DH5" s="19"/>
      <c r="DI5" s="12"/>
      <c r="DJ5" s="32"/>
      <c r="DL5" s="17" t="s">
        <v>16</v>
      </c>
      <c r="DM5" s="18"/>
      <c r="DN5" s="19"/>
      <c r="DO5" s="12"/>
      <c r="DP5" s="32"/>
      <c r="DR5" s="17" t="s">
        <v>17</v>
      </c>
      <c r="DS5" s="18"/>
      <c r="DT5" s="19"/>
      <c r="DU5" s="12"/>
      <c r="DV5" s="32"/>
      <c r="DX5" s="17" t="s">
        <v>18</v>
      </c>
      <c r="DY5" s="18"/>
      <c r="DZ5" s="19"/>
      <c r="EA5" s="12"/>
      <c r="EB5" s="32"/>
      <c r="ED5" s="17" t="s">
        <v>19</v>
      </c>
      <c r="EE5" s="18"/>
      <c r="EF5" s="19"/>
      <c r="EG5" s="12"/>
      <c r="EH5" s="32"/>
      <c r="EJ5" s="17" t="s">
        <v>20</v>
      </c>
      <c r="EK5" s="18"/>
      <c r="EL5" s="19"/>
      <c r="EM5" s="12"/>
      <c r="EN5" s="32"/>
      <c r="EP5" s="20" t="s">
        <v>21</v>
      </c>
      <c r="EQ5" s="18"/>
      <c r="ER5" s="19"/>
      <c r="ES5" s="12"/>
      <c r="ET5" s="32"/>
      <c r="EV5" s="20" t="s">
        <v>22</v>
      </c>
      <c r="EW5" s="18"/>
      <c r="EX5" s="19"/>
      <c r="EY5" s="12"/>
      <c r="EZ5" s="32"/>
      <c r="FB5" s="20" t="s">
        <v>23</v>
      </c>
      <c r="FC5" s="18"/>
      <c r="FD5" s="19"/>
      <c r="FE5" s="12"/>
      <c r="FF5" s="32"/>
      <c r="FH5" s="20" t="s">
        <v>24</v>
      </c>
      <c r="FI5" s="18"/>
      <c r="FJ5" s="19"/>
      <c r="FK5" s="12"/>
      <c r="FL5" s="32"/>
      <c r="FN5" s="17" t="s">
        <v>25</v>
      </c>
      <c r="FO5" s="18"/>
      <c r="FP5" s="19"/>
      <c r="FQ5" s="12"/>
      <c r="FR5" s="32"/>
      <c r="FS5" s="21"/>
      <c r="FT5" s="17" t="s">
        <v>26</v>
      </c>
      <c r="FU5" s="18"/>
      <c r="FV5" s="19"/>
      <c r="FW5" s="12"/>
      <c r="FX5" s="32"/>
      <c r="FZ5" s="20" t="s">
        <v>27</v>
      </c>
      <c r="GA5" s="18"/>
      <c r="GB5" s="19"/>
    </row>
    <row r="6" spans="1:184" s="8" customFormat="1" ht="12.75">
      <c r="A6" s="22" t="s">
        <v>28</v>
      </c>
      <c r="B6" s="44" t="s">
        <v>163</v>
      </c>
      <c r="C6" s="45"/>
      <c r="D6" s="15"/>
      <c r="E6" s="77" t="s">
        <v>156</v>
      </c>
      <c r="F6" s="32" t="s">
        <v>156</v>
      </c>
      <c r="G6" s="5"/>
      <c r="H6" s="23"/>
      <c r="I6" s="24">
        <v>0.1433129</v>
      </c>
      <c r="J6" s="25"/>
      <c r="K6" s="77" t="s">
        <v>156</v>
      </c>
      <c r="L6" s="32" t="s">
        <v>156</v>
      </c>
      <c r="M6" s="5"/>
      <c r="N6" s="23"/>
      <c r="O6" s="26">
        <f>U6+AS6+AY6+CI6+DY6+EE6+EK6+EQ6+FO6+FU6+GA6+AA6+BE6+BW6+CC6+CU6+DG6+DM6+DS6+EW6+FC6+FI6+AG6+AM6+BK6+CO6+DA6+BQ6</f>
        <v>0.8566871</v>
      </c>
      <c r="P6" s="25"/>
      <c r="Q6" s="77" t="s">
        <v>156</v>
      </c>
      <c r="R6" s="32" t="s">
        <v>156</v>
      </c>
      <c r="S6" s="5"/>
      <c r="T6" s="27"/>
      <c r="U6" s="28">
        <v>0.016981</v>
      </c>
      <c r="V6" s="25"/>
      <c r="W6" s="77" t="s">
        <v>156</v>
      </c>
      <c r="X6" s="32" t="s">
        <v>156</v>
      </c>
      <c r="Y6" s="5"/>
      <c r="Z6" s="27"/>
      <c r="AA6" s="28">
        <v>0.0040444</v>
      </c>
      <c r="AB6" s="25"/>
      <c r="AC6" s="77" t="s">
        <v>156</v>
      </c>
      <c r="AD6" s="32" t="s">
        <v>156</v>
      </c>
      <c r="AE6" s="5"/>
      <c r="AF6" s="27"/>
      <c r="AG6" s="28">
        <v>0.0009962</v>
      </c>
      <c r="AH6" s="25"/>
      <c r="AI6" s="77" t="s">
        <v>156</v>
      </c>
      <c r="AJ6" s="32" t="s">
        <v>156</v>
      </c>
      <c r="AK6" s="5"/>
      <c r="AL6" s="27"/>
      <c r="AM6" s="28">
        <v>3.64E-05</v>
      </c>
      <c r="AN6" s="25"/>
      <c r="AO6" s="77" t="s">
        <v>156</v>
      </c>
      <c r="AP6" s="32" t="s">
        <v>156</v>
      </c>
      <c r="AQ6" s="5"/>
      <c r="AR6" s="27"/>
      <c r="AS6" s="28">
        <v>4E-06</v>
      </c>
      <c r="AT6" s="25"/>
      <c r="AU6" s="77" t="s">
        <v>156</v>
      </c>
      <c r="AV6" s="32" t="s">
        <v>156</v>
      </c>
      <c r="AW6" s="5"/>
      <c r="AX6" s="27"/>
      <c r="AY6" s="28">
        <v>0.0516906</v>
      </c>
      <c r="AZ6" s="25"/>
      <c r="BA6" s="77" t="s">
        <v>156</v>
      </c>
      <c r="BB6" s="32" t="s">
        <v>156</v>
      </c>
      <c r="BD6" s="27"/>
      <c r="BE6" s="28">
        <v>0.000621</v>
      </c>
      <c r="BF6" s="25"/>
      <c r="BG6" s="77" t="s">
        <v>156</v>
      </c>
      <c r="BH6" s="32" t="s">
        <v>156</v>
      </c>
      <c r="BJ6" s="27"/>
      <c r="BK6" s="28">
        <v>0.0007247</v>
      </c>
      <c r="BL6" s="25"/>
      <c r="BM6" s="77" t="s">
        <v>156</v>
      </c>
      <c r="BN6" s="32" t="s">
        <v>156</v>
      </c>
      <c r="BO6" s="75"/>
      <c r="BP6" s="27"/>
      <c r="BQ6" s="28">
        <v>3.7E-06</v>
      </c>
      <c r="BR6" s="25"/>
      <c r="BS6" s="77" t="s">
        <v>156</v>
      </c>
      <c r="BT6" s="32" t="s">
        <v>156</v>
      </c>
      <c r="BV6" s="27"/>
      <c r="BW6" s="28">
        <v>0.0038365</v>
      </c>
      <c r="BX6" s="25"/>
      <c r="BY6" s="77" t="s">
        <v>156</v>
      </c>
      <c r="BZ6" s="32" t="s">
        <v>156</v>
      </c>
      <c r="CB6" s="27"/>
      <c r="CC6" s="28">
        <v>0.0021897</v>
      </c>
      <c r="CD6" s="25"/>
      <c r="CE6" s="77" t="s">
        <v>156</v>
      </c>
      <c r="CF6" s="32" t="s">
        <v>156</v>
      </c>
      <c r="CH6" s="27"/>
      <c r="CI6" s="28">
        <v>0.0242091</v>
      </c>
      <c r="CJ6" s="25"/>
      <c r="CK6" s="77" t="s">
        <v>156</v>
      </c>
      <c r="CL6" s="32" t="s">
        <v>156</v>
      </c>
      <c r="CN6" s="27"/>
      <c r="CO6" s="28">
        <v>0.0001775</v>
      </c>
      <c r="CP6" s="25"/>
      <c r="CQ6" s="77" t="s">
        <v>156</v>
      </c>
      <c r="CR6" s="32" t="s">
        <v>156</v>
      </c>
      <c r="CT6" s="27"/>
      <c r="CU6" s="28">
        <v>0.006347</v>
      </c>
      <c r="CV6" s="25"/>
      <c r="CW6" s="77" t="s">
        <v>156</v>
      </c>
      <c r="CX6" s="32" t="s">
        <v>156</v>
      </c>
      <c r="CZ6" s="27"/>
      <c r="DA6" s="28">
        <v>0.0149498</v>
      </c>
      <c r="DB6" s="25"/>
      <c r="DC6" s="77" t="s">
        <v>156</v>
      </c>
      <c r="DD6" s="32" t="s">
        <v>156</v>
      </c>
      <c r="DF6" s="27"/>
      <c r="DG6" s="28">
        <v>0.0058519</v>
      </c>
      <c r="DH6" s="25"/>
      <c r="DI6" s="77" t="s">
        <v>156</v>
      </c>
      <c r="DJ6" s="32" t="s">
        <v>156</v>
      </c>
      <c r="DL6" s="27"/>
      <c r="DM6" s="28">
        <v>0.0072492</v>
      </c>
      <c r="DN6" s="25"/>
      <c r="DO6" s="77" t="s">
        <v>156</v>
      </c>
      <c r="DP6" s="32" t="s">
        <v>156</v>
      </c>
      <c r="DR6" s="27"/>
      <c r="DS6" s="28">
        <v>0.0008385</v>
      </c>
      <c r="DT6" s="25"/>
      <c r="DU6" s="77" t="s">
        <v>156</v>
      </c>
      <c r="DV6" s="32" t="s">
        <v>156</v>
      </c>
      <c r="DX6" s="27"/>
      <c r="DY6" s="28">
        <v>0.0886368</v>
      </c>
      <c r="DZ6" s="25"/>
      <c r="EA6" s="77" t="s">
        <v>156</v>
      </c>
      <c r="EB6" s="32" t="s">
        <v>156</v>
      </c>
      <c r="ED6" s="27"/>
      <c r="EE6" s="28">
        <v>0.0843822</v>
      </c>
      <c r="EF6" s="25"/>
      <c r="EG6" s="77" t="s">
        <v>156</v>
      </c>
      <c r="EH6" s="32" t="s">
        <v>156</v>
      </c>
      <c r="EJ6" s="27"/>
      <c r="EK6" s="28">
        <v>0.0020006</v>
      </c>
      <c r="EL6" s="25"/>
      <c r="EM6" s="77" t="s">
        <v>156</v>
      </c>
      <c r="EN6" s="32" t="s">
        <v>156</v>
      </c>
      <c r="EP6" s="27"/>
      <c r="EQ6" s="28">
        <v>0.143336</v>
      </c>
      <c r="ER6" s="25"/>
      <c r="ES6" s="77" t="s">
        <v>156</v>
      </c>
      <c r="ET6" s="32" t="s">
        <v>156</v>
      </c>
      <c r="EV6" s="27"/>
      <c r="EW6" s="28">
        <v>0.1843179</v>
      </c>
      <c r="EX6" s="25"/>
      <c r="EY6" s="77" t="s">
        <v>156</v>
      </c>
      <c r="EZ6" s="32" t="s">
        <v>156</v>
      </c>
      <c r="FB6" s="27"/>
      <c r="FC6" s="28">
        <v>0.0057512</v>
      </c>
      <c r="FD6" s="25"/>
      <c r="FE6" s="77" t="s">
        <v>156</v>
      </c>
      <c r="FF6" s="32" t="s">
        <v>156</v>
      </c>
      <c r="FH6" s="27"/>
      <c r="FI6" s="28">
        <v>0.0157699</v>
      </c>
      <c r="FJ6" s="25"/>
      <c r="FK6" s="77" t="s">
        <v>156</v>
      </c>
      <c r="FL6" s="32" t="s">
        <v>156</v>
      </c>
      <c r="FN6" s="27"/>
      <c r="FO6" s="28">
        <v>0.1113149</v>
      </c>
      <c r="FP6" s="25"/>
      <c r="FQ6" s="77" t="s">
        <v>156</v>
      </c>
      <c r="FR6" s="32" t="s">
        <v>156</v>
      </c>
      <c r="FS6" s="29"/>
      <c r="FT6" s="27"/>
      <c r="FU6" s="28">
        <v>0.0804264</v>
      </c>
      <c r="FV6" s="25"/>
      <c r="FW6" s="77" t="s">
        <v>156</v>
      </c>
      <c r="FX6" s="32" t="s">
        <v>156</v>
      </c>
      <c r="FZ6" s="27"/>
      <c r="GA6" s="28"/>
      <c r="GB6" s="30"/>
    </row>
    <row r="7" spans="1:184" ht="12.75">
      <c r="A7" s="31"/>
      <c r="B7" s="32" t="s">
        <v>29</v>
      </c>
      <c r="C7" s="32" t="s">
        <v>30</v>
      </c>
      <c r="D7" s="32" t="s">
        <v>31</v>
      </c>
      <c r="E7" s="32" t="s">
        <v>157</v>
      </c>
      <c r="F7" s="32" t="s">
        <v>165</v>
      </c>
      <c r="H7" s="32" t="s">
        <v>29</v>
      </c>
      <c r="I7" s="32" t="s">
        <v>30</v>
      </c>
      <c r="J7" s="32" t="s">
        <v>31</v>
      </c>
      <c r="K7" s="32" t="s">
        <v>157</v>
      </c>
      <c r="L7" s="32" t="s">
        <v>165</v>
      </c>
      <c r="N7" s="32" t="s">
        <v>29</v>
      </c>
      <c r="O7" s="32" t="s">
        <v>30</v>
      </c>
      <c r="P7" s="32" t="s">
        <v>31</v>
      </c>
      <c r="Q7" s="32" t="s">
        <v>157</v>
      </c>
      <c r="R7" s="32" t="s">
        <v>165</v>
      </c>
      <c r="T7" s="33" t="s">
        <v>29</v>
      </c>
      <c r="U7" s="33" t="s">
        <v>30</v>
      </c>
      <c r="V7" s="33" t="s">
        <v>31</v>
      </c>
      <c r="W7" s="32" t="s">
        <v>157</v>
      </c>
      <c r="X7" s="32" t="s">
        <v>165</v>
      </c>
      <c r="Z7" s="33" t="s">
        <v>29</v>
      </c>
      <c r="AA7" s="33" t="s">
        <v>30</v>
      </c>
      <c r="AB7" s="33" t="s">
        <v>31</v>
      </c>
      <c r="AC7" s="32" t="s">
        <v>157</v>
      </c>
      <c r="AD7" s="32" t="s">
        <v>165</v>
      </c>
      <c r="AF7" s="33" t="s">
        <v>29</v>
      </c>
      <c r="AG7" s="33" t="s">
        <v>30</v>
      </c>
      <c r="AH7" s="33" t="s">
        <v>31</v>
      </c>
      <c r="AI7" s="32" t="s">
        <v>157</v>
      </c>
      <c r="AJ7" s="32" t="s">
        <v>165</v>
      </c>
      <c r="AL7" s="33" t="s">
        <v>29</v>
      </c>
      <c r="AM7" s="33" t="s">
        <v>30</v>
      </c>
      <c r="AN7" s="33" t="s">
        <v>31</v>
      </c>
      <c r="AO7" s="32" t="s">
        <v>157</v>
      </c>
      <c r="AP7" s="32" t="s">
        <v>165</v>
      </c>
      <c r="AR7" s="33" t="s">
        <v>29</v>
      </c>
      <c r="AS7" s="33" t="s">
        <v>30</v>
      </c>
      <c r="AT7" s="33" t="s">
        <v>31</v>
      </c>
      <c r="AU7" s="32" t="s">
        <v>157</v>
      </c>
      <c r="AV7" s="32" t="s">
        <v>165</v>
      </c>
      <c r="AX7" s="33" t="s">
        <v>29</v>
      </c>
      <c r="AY7" s="33" t="s">
        <v>30</v>
      </c>
      <c r="AZ7" s="33" t="s">
        <v>31</v>
      </c>
      <c r="BA7" s="32" t="s">
        <v>157</v>
      </c>
      <c r="BB7" s="32" t="s">
        <v>165</v>
      </c>
      <c r="BD7" s="33" t="s">
        <v>29</v>
      </c>
      <c r="BE7" s="33" t="s">
        <v>30</v>
      </c>
      <c r="BF7" s="33" t="s">
        <v>31</v>
      </c>
      <c r="BG7" s="32" t="s">
        <v>157</v>
      </c>
      <c r="BH7" s="32" t="s">
        <v>165</v>
      </c>
      <c r="BJ7" s="33" t="s">
        <v>29</v>
      </c>
      <c r="BK7" s="33" t="s">
        <v>30</v>
      </c>
      <c r="BL7" s="33" t="s">
        <v>31</v>
      </c>
      <c r="BM7" s="32" t="s">
        <v>157</v>
      </c>
      <c r="BN7" s="32" t="s">
        <v>165</v>
      </c>
      <c r="BO7" s="34"/>
      <c r="BP7" s="33" t="s">
        <v>29</v>
      </c>
      <c r="BQ7" s="33" t="s">
        <v>30</v>
      </c>
      <c r="BR7" s="33" t="s">
        <v>31</v>
      </c>
      <c r="BS7" s="32" t="s">
        <v>157</v>
      </c>
      <c r="BT7" s="32" t="s">
        <v>165</v>
      </c>
      <c r="BV7" s="33" t="s">
        <v>29</v>
      </c>
      <c r="BW7" s="33" t="s">
        <v>30</v>
      </c>
      <c r="BX7" s="33" t="s">
        <v>31</v>
      </c>
      <c r="BY7" s="32" t="s">
        <v>157</v>
      </c>
      <c r="BZ7" s="32" t="s">
        <v>165</v>
      </c>
      <c r="CB7" s="33" t="s">
        <v>29</v>
      </c>
      <c r="CC7" s="33" t="s">
        <v>30</v>
      </c>
      <c r="CD7" s="33" t="s">
        <v>31</v>
      </c>
      <c r="CE7" s="32" t="s">
        <v>157</v>
      </c>
      <c r="CF7" s="32" t="s">
        <v>165</v>
      </c>
      <c r="CH7" s="33" t="s">
        <v>29</v>
      </c>
      <c r="CI7" s="33" t="s">
        <v>30</v>
      </c>
      <c r="CJ7" s="33" t="s">
        <v>31</v>
      </c>
      <c r="CK7" s="32" t="s">
        <v>157</v>
      </c>
      <c r="CL7" s="32" t="s">
        <v>165</v>
      </c>
      <c r="CN7" s="33" t="s">
        <v>29</v>
      </c>
      <c r="CO7" s="33" t="s">
        <v>30</v>
      </c>
      <c r="CP7" s="33" t="s">
        <v>31</v>
      </c>
      <c r="CQ7" s="32" t="s">
        <v>157</v>
      </c>
      <c r="CR7" s="32" t="s">
        <v>165</v>
      </c>
      <c r="CT7" s="33" t="s">
        <v>29</v>
      </c>
      <c r="CU7" s="33" t="s">
        <v>30</v>
      </c>
      <c r="CV7" s="33" t="s">
        <v>31</v>
      </c>
      <c r="CW7" s="32" t="s">
        <v>157</v>
      </c>
      <c r="CX7" s="32" t="s">
        <v>165</v>
      </c>
      <c r="CZ7" s="33" t="s">
        <v>29</v>
      </c>
      <c r="DA7" s="33" t="s">
        <v>30</v>
      </c>
      <c r="DB7" s="33" t="s">
        <v>31</v>
      </c>
      <c r="DC7" s="32" t="s">
        <v>157</v>
      </c>
      <c r="DD7" s="32" t="s">
        <v>165</v>
      </c>
      <c r="DF7" s="33" t="s">
        <v>29</v>
      </c>
      <c r="DG7" s="33" t="s">
        <v>30</v>
      </c>
      <c r="DH7" s="33" t="s">
        <v>31</v>
      </c>
      <c r="DI7" s="32" t="s">
        <v>157</v>
      </c>
      <c r="DJ7" s="32" t="s">
        <v>165</v>
      </c>
      <c r="DL7" s="33" t="s">
        <v>29</v>
      </c>
      <c r="DM7" s="33" t="s">
        <v>30</v>
      </c>
      <c r="DN7" s="33" t="s">
        <v>31</v>
      </c>
      <c r="DO7" s="32" t="s">
        <v>157</v>
      </c>
      <c r="DP7" s="32" t="s">
        <v>165</v>
      </c>
      <c r="DR7" s="33" t="s">
        <v>29</v>
      </c>
      <c r="DS7" s="33" t="s">
        <v>30</v>
      </c>
      <c r="DT7" s="33" t="s">
        <v>31</v>
      </c>
      <c r="DU7" s="32" t="s">
        <v>157</v>
      </c>
      <c r="DV7" s="32" t="s">
        <v>165</v>
      </c>
      <c r="DX7" s="33" t="s">
        <v>29</v>
      </c>
      <c r="DY7" s="33" t="s">
        <v>30</v>
      </c>
      <c r="DZ7" s="33" t="s">
        <v>31</v>
      </c>
      <c r="EA7" s="32" t="s">
        <v>157</v>
      </c>
      <c r="EB7" s="32" t="s">
        <v>165</v>
      </c>
      <c r="ED7" s="33" t="s">
        <v>29</v>
      </c>
      <c r="EE7" s="33" t="s">
        <v>30</v>
      </c>
      <c r="EF7" s="33" t="s">
        <v>31</v>
      </c>
      <c r="EG7" s="32" t="s">
        <v>157</v>
      </c>
      <c r="EH7" s="32" t="s">
        <v>165</v>
      </c>
      <c r="EJ7" s="33" t="s">
        <v>29</v>
      </c>
      <c r="EK7" s="33" t="s">
        <v>30</v>
      </c>
      <c r="EL7" s="33" t="s">
        <v>31</v>
      </c>
      <c r="EM7" s="32" t="s">
        <v>157</v>
      </c>
      <c r="EN7" s="32" t="s">
        <v>165</v>
      </c>
      <c r="EP7" s="33" t="s">
        <v>29</v>
      </c>
      <c r="EQ7" s="33" t="s">
        <v>30</v>
      </c>
      <c r="ER7" s="33" t="s">
        <v>31</v>
      </c>
      <c r="ES7" s="32" t="s">
        <v>157</v>
      </c>
      <c r="ET7" s="32" t="s">
        <v>165</v>
      </c>
      <c r="EV7" s="33" t="s">
        <v>29</v>
      </c>
      <c r="EW7" s="33" t="s">
        <v>30</v>
      </c>
      <c r="EX7" s="33" t="s">
        <v>31</v>
      </c>
      <c r="EY7" s="32" t="s">
        <v>157</v>
      </c>
      <c r="EZ7" s="32" t="s">
        <v>165</v>
      </c>
      <c r="FB7" s="33" t="s">
        <v>29</v>
      </c>
      <c r="FC7" s="33" t="s">
        <v>30</v>
      </c>
      <c r="FD7" s="33" t="s">
        <v>31</v>
      </c>
      <c r="FE7" s="32" t="s">
        <v>157</v>
      </c>
      <c r="FF7" s="32" t="s">
        <v>165</v>
      </c>
      <c r="FH7" s="33" t="s">
        <v>29</v>
      </c>
      <c r="FI7" s="33" t="s">
        <v>30</v>
      </c>
      <c r="FJ7" s="33" t="s">
        <v>31</v>
      </c>
      <c r="FK7" s="32" t="s">
        <v>157</v>
      </c>
      <c r="FL7" s="32" t="s">
        <v>165</v>
      </c>
      <c r="FN7" s="33" t="s">
        <v>29</v>
      </c>
      <c r="FO7" s="33" t="s">
        <v>30</v>
      </c>
      <c r="FP7" s="33" t="s">
        <v>31</v>
      </c>
      <c r="FQ7" s="32" t="s">
        <v>157</v>
      </c>
      <c r="FR7" s="32" t="s">
        <v>165</v>
      </c>
      <c r="FS7" s="34"/>
      <c r="FT7" s="33" t="s">
        <v>29</v>
      </c>
      <c r="FU7" s="33" t="s">
        <v>30</v>
      </c>
      <c r="FV7" s="33" t="s">
        <v>31</v>
      </c>
      <c r="FW7" s="32" t="s">
        <v>157</v>
      </c>
      <c r="FX7" s="32" t="s">
        <v>165</v>
      </c>
      <c r="FZ7" s="33" t="s">
        <v>29</v>
      </c>
      <c r="GA7" s="33" t="s">
        <v>30</v>
      </c>
      <c r="GB7" s="33" t="s">
        <v>31</v>
      </c>
    </row>
    <row r="8" spans="1:223" ht="12.75">
      <c r="A8" s="40">
        <v>44105</v>
      </c>
      <c r="C8" s="3">
        <v>1220275</v>
      </c>
      <c r="D8" s="37">
        <f aca="true" t="shared" si="0" ref="D8:D27">B8+C8</f>
        <v>1220275</v>
      </c>
      <c r="E8" s="37">
        <v>525942</v>
      </c>
      <c r="F8" s="37">
        <v>9643</v>
      </c>
      <c r="H8" s="38">
        <f>'2019C Academic'!I8</f>
        <v>0</v>
      </c>
      <c r="I8" s="38">
        <f>'2019C Academic'!J8</f>
        <v>174881.14904749993</v>
      </c>
      <c r="J8" s="38">
        <f aca="true" t="shared" si="1" ref="J8:J27">H8+I8</f>
        <v>174881.14904749993</v>
      </c>
      <c r="K8" s="38">
        <f>'2019C Academic'!L8</f>
        <v>75374.27325180001</v>
      </c>
      <c r="L8" s="38">
        <f>'2019C Academic'!M8</f>
        <v>1381.9662947000002</v>
      </c>
      <c r="N8" s="38"/>
      <c r="O8" s="37">
        <f aca="true" t="shared" si="2" ref="O8:O27">U8+AS8+AY8+BE8+BW8+CC8+CI8+DG8+DS8+DY8+EE8+EK8+EQ8+EW8+FO8+FU8+GA8+AA8+CU8+DM8+FC8+FI8+AG8+AM8+BK8+CO8+DA8+BQ8</f>
        <v>1045393.8509525001</v>
      </c>
      <c r="P8" s="5">
        <f aca="true" t="shared" si="3" ref="P8:P27">N8+O8</f>
        <v>1045393.8509525001</v>
      </c>
      <c r="Q8" s="37">
        <f aca="true" t="shared" si="4" ref="Q8:Q27">W8+AU8+BA8+BG8+BY8+CE8+CK8+DI8+DU8+EA8+EG8+EM8+ES8+EY8+FQ8+FW8+GC8+AC8+CW8+DO8+FE8+FK8+AI8+AO8+BM8+CQ8+DC8+BS8</f>
        <v>450567.7267482</v>
      </c>
      <c r="R8" s="37">
        <f aca="true" t="shared" si="5" ref="R8:R27">X8+AV8+BB8+BH8+BZ8+CF8+CL8+DJ8+DV8+EB8+EH8+EN8+ET8+EZ8+FR8+FX8+GD8+AD8+CX8+DP8+FF8+FL8+AJ8+AP8+BN8+CR8+DD8+BT8</f>
        <v>8260.608449</v>
      </c>
      <c r="T8" s="38"/>
      <c r="U8" s="38">
        <f aca="true" t="shared" si="6" ref="U8:U27">C8*$U$6</f>
        <v>20721.489775</v>
      </c>
      <c r="V8" s="5">
        <f aca="true" t="shared" si="7" ref="V8:V27">T8+U8</f>
        <v>20721.489775</v>
      </c>
      <c r="W8" s="38">
        <f aca="true" t="shared" si="8" ref="W8:W27">U$6*$E8</f>
        <v>8931.021102</v>
      </c>
      <c r="X8" s="38">
        <f aca="true" t="shared" si="9" ref="X8:X27">$F8*U$6</f>
        <v>163.747783</v>
      </c>
      <c r="AA8" s="38">
        <f aca="true" t="shared" si="10" ref="AA8:AA27">C8*$AA$6</f>
        <v>4935.28021</v>
      </c>
      <c r="AB8" s="38">
        <f aca="true" t="shared" si="11" ref="AB8:AB27">Z8+AA8</f>
        <v>4935.28021</v>
      </c>
      <c r="AC8" s="38">
        <f aca="true" t="shared" si="12" ref="AC8:AC27">AA$6*$E8</f>
        <v>2127.1198248</v>
      </c>
      <c r="AD8" s="38">
        <f aca="true" t="shared" si="13" ref="AD8:AD27">$F8*AA$6</f>
        <v>39.0001492</v>
      </c>
      <c r="AG8" s="5">
        <f aca="true" t="shared" si="14" ref="AG8:AG27">C8*$AG$6</f>
        <v>1215.6379550000001</v>
      </c>
      <c r="AH8" s="5">
        <f aca="true" t="shared" si="15" ref="AH8:AH27">AF8+AG8</f>
        <v>1215.6379550000001</v>
      </c>
      <c r="AI8" s="38">
        <f aca="true" t="shared" si="16" ref="AI8:AI27">AG$6*$E8</f>
        <v>523.9434204</v>
      </c>
      <c r="AJ8" s="38">
        <f aca="true" t="shared" si="17" ref="AJ8:AJ27">$F8*AG$6</f>
        <v>9.6063566</v>
      </c>
      <c r="AM8" s="5">
        <f aca="true" t="shared" si="18" ref="AM8:AM27">C8*$AM$6</f>
        <v>44.418009999999995</v>
      </c>
      <c r="AN8" s="5">
        <f aca="true" t="shared" si="19" ref="AN8:AN27">AL8+AM8</f>
        <v>44.418009999999995</v>
      </c>
      <c r="AO8" s="38">
        <f aca="true" t="shared" si="20" ref="AO8:AO27">AM$6*$E8</f>
        <v>19.144288799999998</v>
      </c>
      <c r="AP8" s="38"/>
      <c r="AR8" s="38"/>
      <c r="AS8" s="38">
        <f aca="true" t="shared" si="21" ref="AS8:AS27">C8*$AS$6</f>
        <v>4.8811</v>
      </c>
      <c r="AT8" s="5">
        <f aca="true" t="shared" si="22" ref="AT8:AT27">AR8+AS8</f>
        <v>4.8811</v>
      </c>
      <c r="AU8" s="38">
        <f aca="true" t="shared" si="23" ref="AU8:AU27">AS$6*$E8</f>
        <v>2.103768</v>
      </c>
      <c r="AV8" s="38"/>
      <c r="AX8" s="38"/>
      <c r="AY8" s="38">
        <f aca="true" t="shared" si="24" ref="AY8:AY27">C8*$AY$6</f>
        <v>63076.746915</v>
      </c>
      <c r="AZ8" s="5">
        <f aca="true" t="shared" si="25" ref="AZ8:AZ27">AX8+AY8</f>
        <v>63076.746915</v>
      </c>
      <c r="BA8" s="38">
        <f aca="true" t="shared" si="26" ref="BA8:BA27">AY$6*$E8</f>
        <v>27186.257545200002</v>
      </c>
      <c r="BB8" s="38">
        <f aca="true" t="shared" si="27" ref="BB8:BB27">$F8*AY$6</f>
        <v>498.45245580000005</v>
      </c>
      <c r="BC8" s="5"/>
      <c r="BD8" s="38"/>
      <c r="BE8" s="38">
        <f aca="true" t="shared" si="28" ref="BE8:BE27">C8*$BE$6</f>
        <v>757.790775</v>
      </c>
      <c r="BF8" s="5">
        <f aca="true" t="shared" si="29" ref="BF8:BF27">BD8+BE8</f>
        <v>757.790775</v>
      </c>
      <c r="BG8" s="38">
        <f aca="true" t="shared" si="30" ref="BG8:BG27">BE$6*$E8</f>
        <v>326.609982</v>
      </c>
      <c r="BH8" s="38">
        <f aca="true" t="shared" si="31" ref="BH8:BH27">$F8*BE$6</f>
        <v>5.988303</v>
      </c>
      <c r="BI8" s="5"/>
      <c r="BJ8" s="38"/>
      <c r="BK8" s="38">
        <f aca="true" t="shared" si="32" ref="BK8:BK27">C8*$BK$6</f>
        <v>884.3332925</v>
      </c>
      <c r="BL8" s="5">
        <f aca="true" t="shared" si="33" ref="BL8:BL27">BJ8+BK8</f>
        <v>884.3332925</v>
      </c>
      <c r="BM8" s="38">
        <f aca="true" t="shared" si="34" ref="BM8:BM27">BK$6*$E8</f>
        <v>381.1501674</v>
      </c>
      <c r="BN8" s="38">
        <f aca="true" t="shared" si="35" ref="BN8:BN27">$F8*BK$6</f>
        <v>6.9882821</v>
      </c>
      <c r="BO8" s="5"/>
      <c r="BP8" s="38"/>
      <c r="BQ8" s="38">
        <f aca="true" t="shared" si="36" ref="BQ8:BQ27">C8*$BQ$6</f>
        <v>4.5150175</v>
      </c>
      <c r="BR8" s="5">
        <f aca="true" t="shared" si="37" ref="BR8:BR27">BP8+BQ8</f>
        <v>4.5150175</v>
      </c>
      <c r="BS8" s="38">
        <f aca="true" t="shared" si="38" ref="BS8:BS27">BQ$6*$E8</f>
        <v>1.9459854</v>
      </c>
      <c r="BT8" s="38"/>
      <c r="BU8" s="5"/>
      <c r="BV8" s="38"/>
      <c r="BW8" s="38">
        <f aca="true" t="shared" si="39" ref="BW8:BW27">C8*$BW$6</f>
        <v>4681.5850375</v>
      </c>
      <c r="BX8" s="5">
        <f aca="true" t="shared" si="40" ref="BX8:BX27">BV8+BW8</f>
        <v>4681.5850375</v>
      </c>
      <c r="BY8" s="38">
        <f aca="true" t="shared" si="41" ref="BY8:BY27">BW$6*$E8</f>
        <v>2017.776483</v>
      </c>
      <c r="BZ8" s="38">
        <f aca="true" t="shared" si="42" ref="BZ8:BZ27">$F8*BW$6</f>
        <v>36.9953695</v>
      </c>
      <c r="CA8" s="5"/>
      <c r="CB8" s="5"/>
      <c r="CC8" s="5">
        <f aca="true" t="shared" si="43" ref="CC8:CC27">C8*$CC$6</f>
        <v>2672.0361675000004</v>
      </c>
      <c r="CD8" s="5">
        <f aca="true" t="shared" si="44" ref="CD8:CD27">CB8+CC8</f>
        <v>2672.0361675000004</v>
      </c>
      <c r="CE8" s="38">
        <f aca="true" t="shared" si="45" ref="CE8:CE27">CC$6*$E8</f>
        <v>1151.6551974000001</v>
      </c>
      <c r="CF8" s="38">
        <f aca="true" t="shared" si="46" ref="CF8:CF27">$F8*CC$6</f>
        <v>21.1152771</v>
      </c>
      <c r="CG8" s="5"/>
      <c r="CH8" s="38"/>
      <c r="CI8" s="38">
        <f aca="true" t="shared" si="47" ref="CI8:CI27">C8*$CI$6</f>
        <v>29541.7595025</v>
      </c>
      <c r="CJ8" s="5">
        <f aca="true" t="shared" si="48" ref="CJ8:CJ27">CH8+CI8</f>
        <v>29541.7595025</v>
      </c>
      <c r="CK8" s="38">
        <f aca="true" t="shared" si="49" ref="CK8:CK27">CI$6*$E8</f>
        <v>12732.5824722</v>
      </c>
      <c r="CL8" s="38">
        <f aca="true" t="shared" si="50" ref="CL8:CL27">$F8*CI$6</f>
        <v>233.4483513</v>
      </c>
      <c r="CM8" s="5"/>
      <c r="CN8" s="38"/>
      <c r="CO8" s="38">
        <f aca="true" t="shared" si="51" ref="CO8:CO27">C8*$CO$6</f>
        <v>216.5988125</v>
      </c>
      <c r="CP8" s="5">
        <f aca="true" t="shared" si="52" ref="CP8:CP27">CN8+CO8</f>
        <v>216.5988125</v>
      </c>
      <c r="CQ8" s="38">
        <f aca="true" t="shared" si="53" ref="CQ8:CQ27">CO$6*$E8</f>
        <v>93.354705</v>
      </c>
      <c r="CR8" s="38">
        <f aca="true" t="shared" si="54" ref="CR8:CR27">$F8*CO$6</f>
        <v>1.7116325000000001</v>
      </c>
      <c r="CS8" s="5"/>
      <c r="CT8" s="5"/>
      <c r="CU8" s="38">
        <f aca="true" t="shared" si="55" ref="CU8:CU27">C8*$CU$6</f>
        <v>7745.085425</v>
      </c>
      <c r="CV8" s="38">
        <f aca="true" t="shared" si="56" ref="CV8:CV27">CT8+CU8</f>
        <v>7745.085425</v>
      </c>
      <c r="CW8" s="38">
        <f aca="true" t="shared" si="57" ref="CW8:CW27">CU$6*$E8</f>
        <v>3338.153874</v>
      </c>
      <c r="CX8" s="38">
        <f aca="true" t="shared" si="58" ref="CX8:CX27">$F8*CU$6</f>
        <v>61.204121</v>
      </c>
      <c r="CY8" s="5"/>
      <c r="CZ8" s="5"/>
      <c r="DA8" s="38">
        <f aca="true" t="shared" si="59" ref="DA8:DA27">C8*$DA$6</f>
        <v>18242.867195</v>
      </c>
      <c r="DB8" s="38">
        <f aca="true" t="shared" si="60" ref="DB8:DB27">CZ8+DA8</f>
        <v>18242.867195</v>
      </c>
      <c r="DC8" s="38">
        <f aca="true" t="shared" si="61" ref="DC8:DC27">DA$6*$E8</f>
        <v>7862.7277116</v>
      </c>
      <c r="DD8" s="38">
        <f aca="true" t="shared" si="62" ref="DD8:DD27">$F8*DA$6</f>
        <v>144.16092139999998</v>
      </c>
      <c r="DE8" s="5"/>
      <c r="DF8" s="38"/>
      <c r="DG8" s="38">
        <f aca="true" t="shared" si="63" ref="DG8:DG27">C8*$DG$6</f>
        <v>7140.9272725</v>
      </c>
      <c r="DH8" s="5">
        <f aca="true" t="shared" si="64" ref="DH8:DH27">DF8+DG8</f>
        <v>7140.9272725</v>
      </c>
      <c r="DI8" s="38">
        <f aca="true" t="shared" si="65" ref="DI8:DI27">DG$6*$E8</f>
        <v>3077.7599898</v>
      </c>
      <c r="DJ8" s="38">
        <f aca="true" t="shared" si="66" ref="DJ8:DJ27">$F8*DG$6</f>
        <v>56.4298717</v>
      </c>
      <c r="DK8" s="5"/>
      <c r="DL8" s="5"/>
      <c r="DM8" s="38">
        <f aca="true" t="shared" si="67" ref="DM8:DM27">C8*$DM$6</f>
        <v>8846.01753</v>
      </c>
      <c r="DN8" s="38">
        <f aca="true" t="shared" si="68" ref="DN8:DN27">DL8+DM8</f>
        <v>8846.01753</v>
      </c>
      <c r="DO8" s="38">
        <f aca="true" t="shared" si="69" ref="DO8:DO27">DM$6*$E8</f>
        <v>3812.6587464</v>
      </c>
      <c r="DP8" s="38">
        <f aca="true" t="shared" si="70" ref="DP8:DP27">$F8*DM$6</f>
        <v>69.9040356</v>
      </c>
      <c r="DQ8" s="5"/>
      <c r="DR8" s="5"/>
      <c r="DS8" s="5">
        <f aca="true" t="shared" si="71" ref="DS8:DS27">C8*$DS$6</f>
        <v>1023.2005875000001</v>
      </c>
      <c r="DT8" s="5">
        <f aca="true" t="shared" si="72" ref="DT8:DT27">DR8+DS8</f>
        <v>1023.2005875000001</v>
      </c>
      <c r="DU8" s="38">
        <f aca="true" t="shared" si="73" ref="DU8:DU27">DS$6*$E8</f>
        <v>441.00236700000005</v>
      </c>
      <c r="DV8" s="38">
        <f aca="true" t="shared" si="74" ref="DV8:DV27">$F8*DS$6</f>
        <v>8.0856555</v>
      </c>
      <c r="DW8" s="5"/>
      <c r="DX8" s="38"/>
      <c r="DY8" s="38">
        <f aca="true" t="shared" si="75" ref="DY8:DY27">C8*$DY$6</f>
        <v>108161.27112</v>
      </c>
      <c r="DZ8" s="5">
        <f aca="true" t="shared" si="76" ref="DZ8:DZ27">DX8+DY8</f>
        <v>108161.27112</v>
      </c>
      <c r="EA8" s="38">
        <f aca="true" t="shared" si="77" ref="EA8:EA27">DY$6*$E8</f>
        <v>46617.8158656</v>
      </c>
      <c r="EB8" s="38">
        <f aca="true" t="shared" si="78" ref="EB8:EB27">$F8*DY$6</f>
        <v>854.7246624</v>
      </c>
      <c r="EC8" s="5"/>
      <c r="ED8" s="38"/>
      <c r="EE8" s="38">
        <f aca="true" t="shared" si="79" ref="EE8:EE27">C8*$EE$6</f>
        <v>102969.489105</v>
      </c>
      <c r="EF8" s="5">
        <f aca="true" t="shared" si="80" ref="EF8:EF27">ED8+EE8</f>
        <v>102969.489105</v>
      </c>
      <c r="EG8" s="38">
        <f aca="true" t="shared" si="81" ref="EG8:EG27">EE$6*$E8</f>
        <v>44380.1430324</v>
      </c>
      <c r="EH8" s="38">
        <f aca="true" t="shared" si="82" ref="EH8:EH27">$F8*EE$6</f>
        <v>813.6975546</v>
      </c>
      <c r="EI8" s="5"/>
      <c r="EJ8" s="38"/>
      <c r="EK8" s="38">
        <f aca="true" t="shared" si="83" ref="EK8:EK27">C8*$EK$6</f>
        <v>2441.282165</v>
      </c>
      <c r="EL8" s="5">
        <f aca="true" t="shared" si="84" ref="EL8:EL27">EJ8+EK8</f>
        <v>2441.282165</v>
      </c>
      <c r="EM8" s="38">
        <f aca="true" t="shared" si="85" ref="EM8:EM27">EK$6*$E8</f>
        <v>1052.1995652</v>
      </c>
      <c r="EN8" s="38">
        <f aca="true" t="shared" si="86" ref="EN8:EN27">$F8*EK$6</f>
        <v>19.2917858</v>
      </c>
      <c r="EO8" s="5"/>
      <c r="EP8" s="38"/>
      <c r="EQ8" s="38">
        <f aca="true" t="shared" si="87" ref="EQ8:EQ27">C8*$EQ$6</f>
        <v>174909.3374</v>
      </c>
      <c r="ER8" s="5">
        <f aca="true" t="shared" si="88" ref="ER8:ER27">EP8+EQ8</f>
        <v>174909.3374</v>
      </c>
      <c r="ES8" s="38">
        <f aca="true" t="shared" si="89" ref="ES8:ES27">EQ$6*$E8</f>
        <v>75386.42251199999</v>
      </c>
      <c r="ET8" s="38">
        <f aca="true" t="shared" si="90" ref="ET8:ET27">$F8*EQ$6</f>
        <v>1382.189048</v>
      </c>
      <c r="EU8" s="5"/>
      <c r="EV8" s="38"/>
      <c r="EW8" s="38">
        <f aca="true" t="shared" si="91" ref="EW8:EW27">C8*$EW$6</f>
        <v>224918.5254225</v>
      </c>
      <c r="EX8" s="5">
        <f aca="true" t="shared" si="92" ref="EX8:EX27">EV8+EW8</f>
        <v>224918.5254225</v>
      </c>
      <c r="EY8" s="38">
        <f aca="true" t="shared" si="93" ref="EY8:EY27">EW$6*$E8</f>
        <v>96940.52496180001</v>
      </c>
      <c r="EZ8" s="38">
        <f aca="true" t="shared" si="94" ref="EZ8:EZ27">$F8*EW$6</f>
        <v>1777.3775097</v>
      </c>
      <c r="FA8" s="5"/>
      <c r="FB8" s="5"/>
      <c r="FC8" s="38">
        <f aca="true" t="shared" si="95" ref="FC8:FC27">C8*$FC$6</f>
        <v>7018.04558</v>
      </c>
      <c r="FD8" s="38">
        <f aca="true" t="shared" si="96" ref="FD8:FD27">FB8+FC8</f>
        <v>7018.04558</v>
      </c>
      <c r="FE8" s="38">
        <f aca="true" t="shared" si="97" ref="FE8:FE27">FC$6*$E8</f>
        <v>3024.7976304</v>
      </c>
      <c r="FF8" s="38">
        <f aca="true" t="shared" si="98" ref="FF8:FF27">$F8*FC$6</f>
        <v>55.4588216</v>
      </c>
      <c r="FG8" s="5"/>
      <c r="FH8" s="5"/>
      <c r="FI8" s="38">
        <f aca="true" t="shared" si="99" ref="FI8:FI27">C8*$FI$6</f>
        <v>19243.6147225</v>
      </c>
      <c r="FJ8" s="38">
        <f aca="true" t="shared" si="100" ref="FJ8:FJ27">FH8+FI8</f>
        <v>19243.6147225</v>
      </c>
      <c r="FK8" s="38">
        <f aca="true" t="shared" si="101" ref="FK8:FK27">FI$6*$E8</f>
        <v>8294.0527458</v>
      </c>
      <c r="FL8" s="38">
        <f aca="true" t="shared" si="102" ref="FL8:FL27">$F8*FI$6</f>
        <v>152.0691457</v>
      </c>
      <c r="FM8" s="5"/>
      <c r="FN8" s="38"/>
      <c r="FO8" s="38">
        <f aca="true" t="shared" si="103" ref="FO8:FO27">C8*$FO$6</f>
        <v>135834.7895975</v>
      </c>
      <c r="FP8" s="5">
        <f aca="true" t="shared" si="104" ref="FP8:FP27">FN8+FO8</f>
        <v>135834.7895975</v>
      </c>
      <c r="FQ8" s="38">
        <f aca="true" t="shared" si="105" ref="FQ8:FQ27">FO$6*$E8</f>
        <v>58545.1811358</v>
      </c>
      <c r="FR8" s="38">
        <f aca="true" t="shared" si="106" ref="FR8:FR27">$F8*FO$6</f>
        <v>1073.4095806999999</v>
      </c>
      <c r="FS8" s="5"/>
      <c r="FT8" s="38"/>
      <c r="FU8" s="38">
        <f aca="true" t="shared" si="107" ref="FU8:FU27">C8*$FU$6</f>
        <v>98142.32526</v>
      </c>
      <c r="FV8" s="5">
        <f aca="true" t="shared" si="108" ref="FV8:FV27">FT8+FU8</f>
        <v>98142.32526</v>
      </c>
      <c r="FW8" s="38">
        <f aca="true" t="shared" si="109" ref="FW8:FW27">FU$6*$E8</f>
        <v>42299.6216688</v>
      </c>
      <c r="FX8" s="38">
        <f aca="true" t="shared" si="110" ref="FX8:FX27">$F8*FU$6</f>
        <v>775.5517752</v>
      </c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</row>
    <row r="9" spans="1:223" ht="12.75">
      <c r="A9" s="40">
        <v>44287</v>
      </c>
      <c r="C9" s="3">
        <v>1220275</v>
      </c>
      <c r="D9" s="37">
        <f t="shared" si="0"/>
        <v>1220275</v>
      </c>
      <c r="E9" s="37">
        <v>525942</v>
      </c>
      <c r="F9" s="37">
        <v>9643</v>
      </c>
      <c r="H9" s="38">
        <f>'2019C Academic'!I9</f>
        <v>0</v>
      </c>
      <c r="I9" s="38">
        <f>'2019C Academic'!J9</f>
        <v>174881.14904749993</v>
      </c>
      <c r="J9" s="38">
        <f t="shared" si="1"/>
        <v>174881.14904749993</v>
      </c>
      <c r="K9" s="38">
        <f>'2019C Academic'!L9</f>
        <v>75374.27325180001</v>
      </c>
      <c r="L9" s="38">
        <f>'2019C Academic'!M9</f>
        <v>1381.9662947000002</v>
      </c>
      <c r="N9" s="38">
        <f>T9+Z9+AF9+AR9+AX9+BD9+BV9+CB9+CH9+CT9+DF9+DL9+DR9+DX9+ED9+EJ9+EP9+EV9+FB9+FH9+FN9+FT9+FZ9+AL9+BJ9+CN9+CZ9+BP9</f>
        <v>0</v>
      </c>
      <c r="O9" s="37">
        <f t="shared" si="2"/>
        <v>1045393.8509525001</v>
      </c>
      <c r="P9" s="5">
        <f t="shared" si="3"/>
        <v>1045393.8509525001</v>
      </c>
      <c r="Q9" s="37">
        <f t="shared" si="4"/>
        <v>450567.7267482</v>
      </c>
      <c r="R9" s="37">
        <f t="shared" si="5"/>
        <v>8260.608449</v>
      </c>
      <c r="T9" s="38">
        <f aca="true" t="shared" si="111" ref="T9:T27">B9*$U$6</f>
        <v>0</v>
      </c>
      <c r="U9" s="38">
        <f t="shared" si="6"/>
        <v>20721.489775</v>
      </c>
      <c r="V9" s="5">
        <f t="shared" si="7"/>
        <v>20721.489775</v>
      </c>
      <c r="W9" s="38">
        <f t="shared" si="8"/>
        <v>8931.021102</v>
      </c>
      <c r="X9" s="38">
        <f t="shared" si="9"/>
        <v>163.747783</v>
      </c>
      <c r="Z9" s="5">
        <f aca="true" t="shared" si="112" ref="Z9:Z27">B9*$AA$6</f>
        <v>0</v>
      </c>
      <c r="AA9" s="38">
        <f t="shared" si="10"/>
        <v>4935.28021</v>
      </c>
      <c r="AB9" s="38">
        <f t="shared" si="11"/>
        <v>4935.28021</v>
      </c>
      <c r="AC9" s="38">
        <f t="shared" si="12"/>
        <v>2127.1198248</v>
      </c>
      <c r="AD9" s="38">
        <f t="shared" si="13"/>
        <v>39.0001492</v>
      </c>
      <c r="AF9" s="5">
        <f aca="true" t="shared" si="113" ref="AF9:AF27">B9*$AG$6</f>
        <v>0</v>
      </c>
      <c r="AG9" s="5">
        <f t="shared" si="14"/>
        <v>1215.6379550000001</v>
      </c>
      <c r="AH9" s="5">
        <f t="shared" si="15"/>
        <v>1215.6379550000001</v>
      </c>
      <c r="AI9" s="38">
        <f t="shared" si="16"/>
        <v>523.9434204</v>
      </c>
      <c r="AJ9" s="38">
        <f t="shared" si="17"/>
        <v>9.6063566</v>
      </c>
      <c r="AL9" s="5">
        <f aca="true" t="shared" si="114" ref="AL9:AL27">B9*$AM$6</f>
        <v>0</v>
      </c>
      <c r="AM9" s="5">
        <f t="shared" si="18"/>
        <v>44.418009999999995</v>
      </c>
      <c r="AN9" s="5">
        <f t="shared" si="19"/>
        <v>44.418009999999995</v>
      </c>
      <c r="AO9" s="38">
        <f t="shared" si="20"/>
        <v>19.144288799999998</v>
      </c>
      <c r="AP9" s="38"/>
      <c r="AR9" s="38">
        <f aca="true" t="shared" si="115" ref="AR9:AR27">B9*$AS$6</f>
        <v>0</v>
      </c>
      <c r="AS9" s="38">
        <f t="shared" si="21"/>
        <v>4.8811</v>
      </c>
      <c r="AT9" s="5">
        <f t="shared" si="22"/>
        <v>4.8811</v>
      </c>
      <c r="AU9" s="38">
        <f t="shared" si="23"/>
        <v>2.103768</v>
      </c>
      <c r="AV9" s="38"/>
      <c r="AX9" s="38">
        <f aca="true" t="shared" si="116" ref="AX9:AX27">B9*$AY$6</f>
        <v>0</v>
      </c>
      <c r="AY9" s="38">
        <f t="shared" si="24"/>
        <v>63076.746915</v>
      </c>
      <c r="AZ9" s="5">
        <f t="shared" si="25"/>
        <v>63076.746915</v>
      </c>
      <c r="BA9" s="38">
        <f t="shared" si="26"/>
        <v>27186.257545200002</v>
      </c>
      <c r="BB9" s="38">
        <f t="shared" si="27"/>
        <v>498.45245580000005</v>
      </c>
      <c r="BC9" s="5"/>
      <c r="BD9" s="38">
        <f aca="true" t="shared" si="117" ref="BD9:BD27">B9*$BE$6</f>
        <v>0</v>
      </c>
      <c r="BE9" s="38">
        <f t="shared" si="28"/>
        <v>757.790775</v>
      </c>
      <c r="BF9" s="5">
        <f t="shared" si="29"/>
        <v>757.790775</v>
      </c>
      <c r="BG9" s="38">
        <f t="shared" si="30"/>
        <v>326.609982</v>
      </c>
      <c r="BH9" s="38">
        <f t="shared" si="31"/>
        <v>5.988303</v>
      </c>
      <c r="BI9" s="5"/>
      <c r="BJ9" s="38">
        <f aca="true" t="shared" si="118" ref="BJ9:BJ27">B9*$BK$6</f>
        <v>0</v>
      </c>
      <c r="BK9" s="38">
        <f t="shared" si="32"/>
        <v>884.3332925</v>
      </c>
      <c r="BL9" s="5">
        <f t="shared" si="33"/>
        <v>884.3332925</v>
      </c>
      <c r="BM9" s="38">
        <f t="shared" si="34"/>
        <v>381.1501674</v>
      </c>
      <c r="BN9" s="38">
        <f t="shared" si="35"/>
        <v>6.9882821</v>
      </c>
      <c r="BO9" s="5"/>
      <c r="BP9" s="38">
        <f>B9*$BQ$6</f>
        <v>0</v>
      </c>
      <c r="BQ9" s="38">
        <f t="shared" si="36"/>
        <v>4.5150175</v>
      </c>
      <c r="BR9" s="5">
        <f t="shared" si="37"/>
        <v>4.5150175</v>
      </c>
      <c r="BS9" s="38">
        <f t="shared" si="38"/>
        <v>1.9459854</v>
      </c>
      <c r="BT9" s="38"/>
      <c r="BU9" s="5"/>
      <c r="BV9" s="38">
        <f aca="true" t="shared" si="119" ref="BV9:BV27">B9*$BW$6</f>
        <v>0</v>
      </c>
      <c r="BW9" s="38">
        <f t="shared" si="39"/>
        <v>4681.5850375</v>
      </c>
      <c r="BX9" s="5">
        <f t="shared" si="40"/>
        <v>4681.5850375</v>
      </c>
      <c r="BY9" s="38">
        <f t="shared" si="41"/>
        <v>2017.776483</v>
      </c>
      <c r="BZ9" s="38">
        <f t="shared" si="42"/>
        <v>36.9953695</v>
      </c>
      <c r="CA9" s="5"/>
      <c r="CB9" s="5">
        <f aca="true" t="shared" si="120" ref="CB9:CB27">B9*$CC$6</f>
        <v>0</v>
      </c>
      <c r="CC9" s="5">
        <f t="shared" si="43"/>
        <v>2672.0361675000004</v>
      </c>
      <c r="CD9" s="5">
        <f t="shared" si="44"/>
        <v>2672.0361675000004</v>
      </c>
      <c r="CE9" s="38">
        <f t="shared" si="45"/>
        <v>1151.6551974000001</v>
      </c>
      <c r="CF9" s="38">
        <f t="shared" si="46"/>
        <v>21.1152771</v>
      </c>
      <c r="CG9" s="5"/>
      <c r="CH9" s="38">
        <f aca="true" t="shared" si="121" ref="CH9:CH27">B9*$CI$6</f>
        <v>0</v>
      </c>
      <c r="CI9" s="38">
        <f t="shared" si="47"/>
        <v>29541.7595025</v>
      </c>
      <c r="CJ9" s="5">
        <f t="shared" si="48"/>
        <v>29541.7595025</v>
      </c>
      <c r="CK9" s="38">
        <f t="shared" si="49"/>
        <v>12732.5824722</v>
      </c>
      <c r="CL9" s="38">
        <f t="shared" si="50"/>
        <v>233.4483513</v>
      </c>
      <c r="CM9" s="5"/>
      <c r="CN9" s="38">
        <f aca="true" t="shared" si="122" ref="CN9:CN27">B9*$CO$6</f>
        <v>0</v>
      </c>
      <c r="CO9" s="38">
        <f t="shared" si="51"/>
        <v>216.5988125</v>
      </c>
      <c r="CP9" s="5">
        <f t="shared" si="52"/>
        <v>216.5988125</v>
      </c>
      <c r="CQ9" s="38">
        <f t="shared" si="53"/>
        <v>93.354705</v>
      </c>
      <c r="CR9" s="38">
        <f t="shared" si="54"/>
        <v>1.7116325000000001</v>
      </c>
      <c r="CS9" s="5"/>
      <c r="CT9" s="5">
        <f aca="true" t="shared" si="123" ref="CT9:CT27">B9*$CU$6</f>
        <v>0</v>
      </c>
      <c r="CU9" s="38">
        <f t="shared" si="55"/>
        <v>7745.085425</v>
      </c>
      <c r="CV9" s="38">
        <f t="shared" si="56"/>
        <v>7745.085425</v>
      </c>
      <c r="CW9" s="38">
        <f t="shared" si="57"/>
        <v>3338.153874</v>
      </c>
      <c r="CX9" s="38">
        <f t="shared" si="58"/>
        <v>61.204121</v>
      </c>
      <c r="CY9" s="5"/>
      <c r="CZ9" s="5">
        <f aca="true" t="shared" si="124" ref="CZ9:CZ27">B9*$DA$6</f>
        <v>0</v>
      </c>
      <c r="DA9" s="38">
        <f t="shared" si="59"/>
        <v>18242.867195</v>
      </c>
      <c r="DB9" s="38">
        <f t="shared" si="60"/>
        <v>18242.867195</v>
      </c>
      <c r="DC9" s="38">
        <f t="shared" si="61"/>
        <v>7862.7277116</v>
      </c>
      <c r="DD9" s="38">
        <f t="shared" si="62"/>
        <v>144.16092139999998</v>
      </c>
      <c r="DE9" s="5"/>
      <c r="DF9" s="38">
        <f aca="true" t="shared" si="125" ref="DF9:DF27">B9*$DG$6</f>
        <v>0</v>
      </c>
      <c r="DG9" s="38">
        <f t="shared" si="63"/>
        <v>7140.9272725</v>
      </c>
      <c r="DH9" s="5">
        <f t="shared" si="64"/>
        <v>7140.9272725</v>
      </c>
      <c r="DI9" s="38">
        <f t="shared" si="65"/>
        <v>3077.7599898</v>
      </c>
      <c r="DJ9" s="38">
        <f t="shared" si="66"/>
        <v>56.4298717</v>
      </c>
      <c r="DK9" s="5"/>
      <c r="DL9" s="5">
        <f aca="true" t="shared" si="126" ref="DL9:DL27">B9*$DM$6</f>
        <v>0</v>
      </c>
      <c r="DM9" s="38">
        <f t="shared" si="67"/>
        <v>8846.01753</v>
      </c>
      <c r="DN9" s="38">
        <f t="shared" si="68"/>
        <v>8846.01753</v>
      </c>
      <c r="DO9" s="38">
        <f t="shared" si="69"/>
        <v>3812.6587464</v>
      </c>
      <c r="DP9" s="38">
        <f t="shared" si="70"/>
        <v>69.9040356</v>
      </c>
      <c r="DQ9" s="5"/>
      <c r="DR9" s="5">
        <f aca="true" t="shared" si="127" ref="DR9:DR27">B9*$DS$6</f>
        <v>0</v>
      </c>
      <c r="DS9" s="5">
        <f t="shared" si="71"/>
        <v>1023.2005875000001</v>
      </c>
      <c r="DT9" s="5">
        <f t="shared" si="72"/>
        <v>1023.2005875000001</v>
      </c>
      <c r="DU9" s="38">
        <f t="shared" si="73"/>
        <v>441.00236700000005</v>
      </c>
      <c r="DV9" s="38">
        <f t="shared" si="74"/>
        <v>8.0856555</v>
      </c>
      <c r="DW9" s="5"/>
      <c r="DX9" s="38">
        <f aca="true" t="shared" si="128" ref="DX9:DX27">B9*$DY$6</f>
        <v>0</v>
      </c>
      <c r="DY9" s="38">
        <f t="shared" si="75"/>
        <v>108161.27112</v>
      </c>
      <c r="DZ9" s="5">
        <f t="shared" si="76"/>
        <v>108161.27112</v>
      </c>
      <c r="EA9" s="38">
        <f t="shared" si="77"/>
        <v>46617.8158656</v>
      </c>
      <c r="EB9" s="38">
        <f t="shared" si="78"/>
        <v>854.7246624</v>
      </c>
      <c r="EC9" s="5"/>
      <c r="ED9" s="38">
        <f aca="true" t="shared" si="129" ref="ED9:ED27">B9*$EE$6</f>
        <v>0</v>
      </c>
      <c r="EE9" s="38">
        <f t="shared" si="79"/>
        <v>102969.489105</v>
      </c>
      <c r="EF9" s="5">
        <f t="shared" si="80"/>
        <v>102969.489105</v>
      </c>
      <c r="EG9" s="38">
        <f t="shared" si="81"/>
        <v>44380.1430324</v>
      </c>
      <c r="EH9" s="38">
        <f t="shared" si="82"/>
        <v>813.6975546</v>
      </c>
      <c r="EI9" s="5"/>
      <c r="EJ9" s="38">
        <f aca="true" t="shared" si="130" ref="EJ9:EJ27">B9*$EK$6</f>
        <v>0</v>
      </c>
      <c r="EK9" s="38">
        <f t="shared" si="83"/>
        <v>2441.282165</v>
      </c>
      <c r="EL9" s="5">
        <f t="shared" si="84"/>
        <v>2441.282165</v>
      </c>
      <c r="EM9" s="38">
        <f t="shared" si="85"/>
        <v>1052.1995652</v>
      </c>
      <c r="EN9" s="38">
        <f t="shared" si="86"/>
        <v>19.2917858</v>
      </c>
      <c r="EO9" s="5"/>
      <c r="EP9" s="38">
        <f aca="true" t="shared" si="131" ref="EP9:EP27">B9*$EQ$6</f>
        <v>0</v>
      </c>
      <c r="EQ9" s="38">
        <f t="shared" si="87"/>
        <v>174909.3374</v>
      </c>
      <c r="ER9" s="5">
        <f t="shared" si="88"/>
        <v>174909.3374</v>
      </c>
      <c r="ES9" s="38">
        <f t="shared" si="89"/>
        <v>75386.42251199999</v>
      </c>
      <c r="ET9" s="38">
        <f t="shared" si="90"/>
        <v>1382.189048</v>
      </c>
      <c r="EU9" s="5"/>
      <c r="EV9" s="38">
        <f aca="true" t="shared" si="132" ref="EV9:EV27">B9*$EW$6</f>
        <v>0</v>
      </c>
      <c r="EW9" s="38">
        <f t="shared" si="91"/>
        <v>224918.5254225</v>
      </c>
      <c r="EX9" s="5">
        <f t="shared" si="92"/>
        <v>224918.5254225</v>
      </c>
      <c r="EY9" s="38">
        <f t="shared" si="93"/>
        <v>96940.52496180001</v>
      </c>
      <c r="EZ9" s="38">
        <f t="shared" si="94"/>
        <v>1777.3775097</v>
      </c>
      <c r="FA9" s="5"/>
      <c r="FB9" s="5">
        <f aca="true" t="shared" si="133" ref="FB9:FB27">B9*$FC$6</f>
        <v>0</v>
      </c>
      <c r="FC9" s="38">
        <f t="shared" si="95"/>
        <v>7018.04558</v>
      </c>
      <c r="FD9" s="38">
        <f t="shared" si="96"/>
        <v>7018.04558</v>
      </c>
      <c r="FE9" s="38">
        <f t="shared" si="97"/>
        <v>3024.7976304</v>
      </c>
      <c r="FF9" s="38">
        <f t="shared" si="98"/>
        <v>55.4588216</v>
      </c>
      <c r="FG9" s="5"/>
      <c r="FH9" s="5">
        <f aca="true" t="shared" si="134" ref="FH9:FH27">B9*$FI$6</f>
        <v>0</v>
      </c>
      <c r="FI9" s="38">
        <f t="shared" si="99"/>
        <v>19243.6147225</v>
      </c>
      <c r="FJ9" s="38">
        <f t="shared" si="100"/>
        <v>19243.6147225</v>
      </c>
      <c r="FK9" s="38">
        <f t="shared" si="101"/>
        <v>8294.0527458</v>
      </c>
      <c r="FL9" s="38">
        <f t="shared" si="102"/>
        <v>152.0691457</v>
      </c>
      <c r="FM9" s="5"/>
      <c r="FN9" s="38">
        <f aca="true" t="shared" si="135" ref="FN9:FN27">B9*$FO$6</f>
        <v>0</v>
      </c>
      <c r="FO9" s="38">
        <f t="shared" si="103"/>
        <v>135834.7895975</v>
      </c>
      <c r="FP9" s="5">
        <f t="shared" si="104"/>
        <v>135834.7895975</v>
      </c>
      <c r="FQ9" s="38">
        <f t="shared" si="105"/>
        <v>58545.1811358</v>
      </c>
      <c r="FR9" s="38">
        <f t="shared" si="106"/>
        <v>1073.4095806999999</v>
      </c>
      <c r="FS9" s="5"/>
      <c r="FT9" s="38">
        <f aca="true" t="shared" si="136" ref="FT9:FT27">B9*$FU$6</f>
        <v>0</v>
      </c>
      <c r="FU9" s="38">
        <f t="shared" si="107"/>
        <v>98142.32526</v>
      </c>
      <c r="FV9" s="5">
        <f t="shared" si="108"/>
        <v>98142.32526</v>
      </c>
      <c r="FW9" s="38">
        <f t="shared" si="109"/>
        <v>42299.6216688</v>
      </c>
      <c r="FX9" s="38">
        <f t="shared" si="110"/>
        <v>775.5517752</v>
      </c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</row>
    <row r="10" spans="1:223" ht="12.75">
      <c r="A10" s="40">
        <v>44470</v>
      </c>
      <c r="C10" s="3">
        <v>1220275</v>
      </c>
      <c r="D10" s="37">
        <f t="shared" si="0"/>
        <v>1220275</v>
      </c>
      <c r="E10" s="37">
        <v>525942</v>
      </c>
      <c r="F10" s="37">
        <v>9643</v>
      </c>
      <c r="H10" s="38">
        <f>'2019C Academic'!I10</f>
        <v>0</v>
      </c>
      <c r="I10" s="38">
        <f>'2019C Academic'!J10</f>
        <v>174881.14904749993</v>
      </c>
      <c r="J10" s="38">
        <f t="shared" si="1"/>
        <v>174881.14904749993</v>
      </c>
      <c r="K10" s="38">
        <f>'2019C Academic'!L10</f>
        <v>75374.27325180001</v>
      </c>
      <c r="L10" s="38">
        <f>'2019C Academic'!M10</f>
        <v>1381.9662947000002</v>
      </c>
      <c r="N10" s="38"/>
      <c r="O10" s="37">
        <f t="shared" si="2"/>
        <v>1045393.8509525001</v>
      </c>
      <c r="P10" s="5">
        <f t="shared" si="3"/>
        <v>1045393.8509525001</v>
      </c>
      <c r="Q10" s="37">
        <f t="shared" si="4"/>
        <v>450567.7267482</v>
      </c>
      <c r="R10" s="37">
        <f t="shared" si="5"/>
        <v>8260.608449</v>
      </c>
      <c r="T10" s="38"/>
      <c r="U10" s="38">
        <f t="shared" si="6"/>
        <v>20721.489775</v>
      </c>
      <c r="V10" s="5">
        <f t="shared" si="7"/>
        <v>20721.489775</v>
      </c>
      <c r="W10" s="38">
        <f t="shared" si="8"/>
        <v>8931.021102</v>
      </c>
      <c r="X10" s="38">
        <f t="shared" si="9"/>
        <v>163.747783</v>
      </c>
      <c r="AA10" s="38">
        <f t="shared" si="10"/>
        <v>4935.28021</v>
      </c>
      <c r="AB10" s="38">
        <f t="shared" si="11"/>
        <v>4935.28021</v>
      </c>
      <c r="AC10" s="38">
        <f t="shared" si="12"/>
        <v>2127.1198248</v>
      </c>
      <c r="AD10" s="38">
        <f t="shared" si="13"/>
        <v>39.0001492</v>
      </c>
      <c r="AG10" s="5">
        <f t="shared" si="14"/>
        <v>1215.6379550000001</v>
      </c>
      <c r="AH10" s="5">
        <f t="shared" si="15"/>
        <v>1215.6379550000001</v>
      </c>
      <c r="AI10" s="38">
        <f t="shared" si="16"/>
        <v>523.9434204</v>
      </c>
      <c r="AJ10" s="38">
        <f t="shared" si="17"/>
        <v>9.6063566</v>
      </c>
      <c r="AM10" s="5">
        <f t="shared" si="18"/>
        <v>44.418009999999995</v>
      </c>
      <c r="AN10" s="5">
        <f t="shared" si="19"/>
        <v>44.418009999999995</v>
      </c>
      <c r="AO10" s="38">
        <f t="shared" si="20"/>
        <v>19.144288799999998</v>
      </c>
      <c r="AP10" s="38"/>
      <c r="AR10" s="38"/>
      <c r="AS10" s="38">
        <f t="shared" si="21"/>
        <v>4.8811</v>
      </c>
      <c r="AT10" s="5">
        <f t="shared" si="22"/>
        <v>4.8811</v>
      </c>
      <c r="AU10" s="38">
        <f t="shared" si="23"/>
        <v>2.103768</v>
      </c>
      <c r="AV10" s="38"/>
      <c r="AX10" s="38"/>
      <c r="AY10" s="38">
        <f t="shared" si="24"/>
        <v>63076.746915</v>
      </c>
      <c r="AZ10" s="5">
        <f t="shared" si="25"/>
        <v>63076.746915</v>
      </c>
      <c r="BA10" s="38">
        <f t="shared" si="26"/>
        <v>27186.257545200002</v>
      </c>
      <c r="BB10" s="38">
        <f t="shared" si="27"/>
        <v>498.45245580000005</v>
      </c>
      <c r="BC10" s="5"/>
      <c r="BD10" s="38"/>
      <c r="BE10" s="38">
        <f t="shared" si="28"/>
        <v>757.790775</v>
      </c>
      <c r="BF10" s="5">
        <f t="shared" si="29"/>
        <v>757.790775</v>
      </c>
      <c r="BG10" s="38">
        <f t="shared" si="30"/>
        <v>326.609982</v>
      </c>
      <c r="BH10" s="38">
        <f t="shared" si="31"/>
        <v>5.988303</v>
      </c>
      <c r="BI10" s="5"/>
      <c r="BJ10" s="38"/>
      <c r="BK10" s="38">
        <f t="shared" si="32"/>
        <v>884.3332925</v>
      </c>
      <c r="BL10" s="5">
        <f t="shared" si="33"/>
        <v>884.3332925</v>
      </c>
      <c r="BM10" s="38">
        <f t="shared" si="34"/>
        <v>381.1501674</v>
      </c>
      <c r="BN10" s="38">
        <f t="shared" si="35"/>
        <v>6.9882821</v>
      </c>
      <c r="BO10" s="5"/>
      <c r="BP10" s="38"/>
      <c r="BQ10" s="38">
        <f t="shared" si="36"/>
        <v>4.5150175</v>
      </c>
      <c r="BR10" s="5">
        <f t="shared" si="37"/>
        <v>4.5150175</v>
      </c>
      <c r="BS10" s="38">
        <f t="shared" si="38"/>
        <v>1.9459854</v>
      </c>
      <c r="BT10" s="38"/>
      <c r="BU10" s="5"/>
      <c r="BV10" s="38"/>
      <c r="BW10" s="38">
        <f t="shared" si="39"/>
        <v>4681.5850375</v>
      </c>
      <c r="BX10" s="5">
        <f t="shared" si="40"/>
        <v>4681.5850375</v>
      </c>
      <c r="BY10" s="38">
        <f t="shared" si="41"/>
        <v>2017.776483</v>
      </c>
      <c r="BZ10" s="38">
        <f t="shared" si="42"/>
        <v>36.9953695</v>
      </c>
      <c r="CA10" s="5"/>
      <c r="CB10" s="5"/>
      <c r="CC10" s="5">
        <f t="shared" si="43"/>
        <v>2672.0361675000004</v>
      </c>
      <c r="CD10" s="5">
        <f t="shared" si="44"/>
        <v>2672.0361675000004</v>
      </c>
      <c r="CE10" s="38">
        <f t="shared" si="45"/>
        <v>1151.6551974000001</v>
      </c>
      <c r="CF10" s="38">
        <f t="shared" si="46"/>
        <v>21.1152771</v>
      </c>
      <c r="CG10" s="5"/>
      <c r="CH10" s="38"/>
      <c r="CI10" s="38">
        <f t="shared" si="47"/>
        <v>29541.7595025</v>
      </c>
      <c r="CJ10" s="5">
        <f t="shared" si="48"/>
        <v>29541.7595025</v>
      </c>
      <c r="CK10" s="38">
        <f t="shared" si="49"/>
        <v>12732.5824722</v>
      </c>
      <c r="CL10" s="38">
        <f t="shared" si="50"/>
        <v>233.4483513</v>
      </c>
      <c r="CM10" s="5"/>
      <c r="CN10" s="38"/>
      <c r="CO10" s="38">
        <f t="shared" si="51"/>
        <v>216.5988125</v>
      </c>
      <c r="CP10" s="5">
        <f t="shared" si="52"/>
        <v>216.5988125</v>
      </c>
      <c r="CQ10" s="38">
        <f t="shared" si="53"/>
        <v>93.354705</v>
      </c>
      <c r="CR10" s="38">
        <f t="shared" si="54"/>
        <v>1.7116325000000001</v>
      </c>
      <c r="CS10" s="5"/>
      <c r="CT10" s="5"/>
      <c r="CU10" s="38">
        <f t="shared" si="55"/>
        <v>7745.085425</v>
      </c>
      <c r="CV10" s="38">
        <f t="shared" si="56"/>
        <v>7745.085425</v>
      </c>
      <c r="CW10" s="38">
        <f t="shared" si="57"/>
        <v>3338.153874</v>
      </c>
      <c r="CX10" s="38">
        <f t="shared" si="58"/>
        <v>61.204121</v>
      </c>
      <c r="CY10" s="5"/>
      <c r="CZ10" s="5"/>
      <c r="DA10" s="38">
        <f t="shared" si="59"/>
        <v>18242.867195</v>
      </c>
      <c r="DB10" s="38">
        <f t="shared" si="60"/>
        <v>18242.867195</v>
      </c>
      <c r="DC10" s="38">
        <f t="shared" si="61"/>
        <v>7862.7277116</v>
      </c>
      <c r="DD10" s="38">
        <f t="shared" si="62"/>
        <v>144.16092139999998</v>
      </c>
      <c r="DE10" s="5"/>
      <c r="DF10" s="38"/>
      <c r="DG10" s="38">
        <f t="shared" si="63"/>
        <v>7140.9272725</v>
      </c>
      <c r="DH10" s="5">
        <f t="shared" si="64"/>
        <v>7140.9272725</v>
      </c>
      <c r="DI10" s="38">
        <f t="shared" si="65"/>
        <v>3077.7599898</v>
      </c>
      <c r="DJ10" s="38">
        <f t="shared" si="66"/>
        <v>56.4298717</v>
      </c>
      <c r="DK10" s="5"/>
      <c r="DL10" s="5"/>
      <c r="DM10" s="38">
        <f t="shared" si="67"/>
        <v>8846.01753</v>
      </c>
      <c r="DN10" s="38">
        <f t="shared" si="68"/>
        <v>8846.01753</v>
      </c>
      <c r="DO10" s="38">
        <f t="shared" si="69"/>
        <v>3812.6587464</v>
      </c>
      <c r="DP10" s="38">
        <f t="shared" si="70"/>
        <v>69.9040356</v>
      </c>
      <c r="DQ10" s="5"/>
      <c r="DR10" s="5"/>
      <c r="DS10" s="5">
        <f t="shared" si="71"/>
        <v>1023.2005875000001</v>
      </c>
      <c r="DT10" s="5">
        <f t="shared" si="72"/>
        <v>1023.2005875000001</v>
      </c>
      <c r="DU10" s="38">
        <f t="shared" si="73"/>
        <v>441.00236700000005</v>
      </c>
      <c r="DV10" s="38">
        <f t="shared" si="74"/>
        <v>8.0856555</v>
      </c>
      <c r="DW10" s="5"/>
      <c r="DX10" s="38"/>
      <c r="DY10" s="38">
        <f t="shared" si="75"/>
        <v>108161.27112</v>
      </c>
      <c r="DZ10" s="5">
        <f t="shared" si="76"/>
        <v>108161.27112</v>
      </c>
      <c r="EA10" s="38">
        <f t="shared" si="77"/>
        <v>46617.8158656</v>
      </c>
      <c r="EB10" s="38">
        <f t="shared" si="78"/>
        <v>854.7246624</v>
      </c>
      <c r="EC10" s="5"/>
      <c r="ED10" s="38"/>
      <c r="EE10" s="38">
        <f t="shared" si="79"/>
        <v>102969.489105</v>
      </c>
      <c r="EF10" s="5">
        <f t="shared" si="80"/>
        <v>102969.489105</v>
      </c>
      <c r="EG10" s="38">
        <f t="shared" si="81"/>
        <v>44380.1430324</v>
      </c>
      <c r="EH10" s="38">
        <f t="shared" si="82"/>
        <v>813.6975546</v>
      </c>
      <c r="EI10" s="5"/>
      <c r="EJ10" s="38"/>
      <c r="EK10" s="38">
        <f t="shared" si="83"/>
        <v>2441.282165</v>
      </c>
      <c r="EL10" s="5">
        <f t="shared" si="84"/>
        <v>2441.282165</v>
      </c>
      <c r="EM10" s="38">
        <f t="shared" si="85"/>
        <v>1052.1995652</v>
      </c>
      <c r="EN10" s="38">
        <f t="shared" si="86"/>
        <v>19.2917858</v>
      </c>
      <c r="EO10" s="5"/>
      <c r="EP10" s="38"/>
      <c r="EQ10" s="38">
        <f t="shared" si="87"/>
        <v>174909.3374</v>
      </c>
      <c r="ER10" s="5">
        <f t="shared" si="88"/>
        <v>174909.3374</v>
      </c>
      <c r="ES10" s="38">
        <f t="shared" si="89"/>
        <v>75386.42251199999</v>
      </c>
      <c r="ET10" s="38">
        <f t="shared" si="90"/>
        <v>1382.189048</v>
      </c>
      <c r="EU10" s="5"/>
      <c r="EV10" s="38"/>
      <c r="EW10" s="38">
        <f t="shared" si="91"/>
        <v>224918.5254225</v>
      </c>
      <c r="EX10" s="5">
        <f t="shared" si="92"/>
        <v>224918.5254225</v>
      </c>
      <c r="EY10" s="38">
        <f t="shared" si="93"/>
        <v>96940.52496180001</v>
      </c>
      <c r="EZ10" s="38">
        <f t="shared" si="94"/>
        <v>1777.3775097</v>
      </c>
      <c r="FA10" s="5"/>
      <c r="FB10" s="5"/>
      <c r="FC10" s="38">
        <f t="shared" si="95"/>
        <v>7018.04558</v>
      </c>
      <c r="FD10" s="38">
        <f t="shared" si="96"/>
        <v>7018.04558</v>
      </c>
      <c r="FE10" s="38">
        <f t="shared" si="97"/>
        <v>3024.7976304</v>
      </c>
      <c r="FF10" s="38">
        <f t="shared" si="98"/>
        <v>55.4588216</v>
      </c>
      <c r="FG10" s="5"/>
      <c r="FH10" s="5"/>
      <c r="FI10" s="38">
        <f t="shared" si="99"/>
        <v>19243.6147225</v>
      </c>
      <c r="FJ10" s="38">
        <f t="shared" si="100"/>
        <v>19243.6147225</v>
      </c>
      <c r="FK10" s="38">
        <f t="shared" si="101"/>
        <v>8294.0527458</v>
      </c>
      <c r="FL10" s="38">
        <f t="shared" si="102"/>
        <v>152.0691457</v>
      </c>
      <c r="FM10" s="5"/>
      <c r="FN10" s="38"/>
      <c r="FO10" s="38">
        <f t="shared" si="103"/>
        <v>135834.7895975</v>
      </c>
      <c r="FP10" s="5">
        <f t="shared" si="104"/>
        <v>135834.7895975</v>
      </c>
      <c r="FQ10" s="38">
        <f t="shared" si="105"/>
        <v>58545.1811358</v>
      </c>
      <c r="FR10" s="38">
        <f t="shared" si="106"/>
        <v>1073.4095806999999</v>
      </c>
      <c r="FS10" s="5"/>
      <c r="FT10" s="38"/>
      <c r="FU10" s="38">
        <f t="shared" si="107"/>
        <v>98142.32526</v>
      </c>
      <c r="FV10" s="5">
        <f t="shared" si="108"/>
        <v>98142.32526</v>
      </c>
      <c r="FW10" s="38">
        <f t="shared" si="109"/>
        <v>42299.6216688</v>
      </c>
      <c r="FX10" s="38">
        <f t="shared" si="110"/>
        <v>775.5517752</v>
      </c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</row>
    <row r="11" spans="1:223" ht="12.75">
      <c r="A11" s="40">
        <v>44652</v>
      </c>
      <c r="B11" s="3">
        <v>5125000</v>
      </c>
      <c r="C11" s="3">
        <v>1220275</v>
      </c>
      <c r="D11" s="37">
        <f t="shared" si="0"/>
        <v>6345275</v>
      </c>
      <c r="E11" s="37">
        <v>525942</v>
      </c>
      <c r="F11" s="37">
        <v>9643</v>
      </c>
      <c r="H11" s="38">
        <f>'2019C Academic'!I11</f>
        <v>734478.6125000003</v>
      </c>
      <c r="I11" s="38">
        <f>'2019C Academic'!J11</f>
        <v>174881.14904749993</v>
      </c>
      <c r="J11" s="38">
        <f t="shared" si="1"/>
        <v>909359.7615475003</v>
      </c>
      <c r="K11" s="38">
        <f>'2019C Academic'!L11</f>
        <v>75374.27325180001</v>
      </c>
      <c r="L11" s="38">
        <f>'2019C Academic'!M11</f>
        <v>1381.9662947000002</v>
      </c>
      <c r="N11" s="38">
        <f>T11+Z11+AF11+AR11+AX11+BD11+BV11+CB11+CH11+CT11+DF11+DL11+DR11+DX11+ED11+EJ11+EP11+EV11+FB11+FH11+FN11+FT11+FZ11+AL11+BJ11+CN11+CZ11+BP11</f>
        <v>4390521.3875</v>
      </c>
      <c r="O11" s="37">
        <f t="shared" si="2"/>
        <v>1045393.8509525001</v>
      </c>
      <c r="P11" s="5">
        <f t="shared" si="3"/>
        <v>5435915.238452501</v>
      </c>
      <c r="Q11" s="37">
        <f t="shared" si="4"/>
        <v>450567.7267482</v>
      </c>
      <c r="R11" s="37">
        <f t="shared" si="5"/>
        <v>8260.608449</v>
      </c>
      <c r="T11" s="38">
        <f t="shared" si="111"/>
        <v>87027.625</v>
      </c>
      <c r="U11" s="38">
        <f t="shared" si="6"/>
        <v>20721.489775</v>
      </c>
      <c r="V11" s="5">
        <f t="shared" si="7"/>
        <v>107749.114775</v>
      </c>
      <c r="W11" s="38">
        <f t="shared" si="8"/>
        <v>8931.021102</v>
      </c>
      <c r="X11" s="38">
        <f t="shared" si="9"/>
        <v>163.747783</v>
      </c>
      <c r="Z11" s="5">
        <f t="shared" si="112"/>
        <v>20727.55</v>
      </c>
      <c r="AA11" s="38">
        <f t="shared" si="10"/>
        <v>4935.28021</v>
      </c>
      <c r="AB11" s="38">
        <f t="shared" si="11"/>
        <v>25662.83021</v>
      </c>
      <c r="AC11" s="38">
        <f t="shared" si="12"/>
        <v>2127.1198248</v>
      </c>
      <c r="AD11" s="38">
        <f t="shared" si="13"/>
        <v>39.0001492</v>
      </c>
      <c r="AF11" s="5">
        <f t="shared" si="113"/>
        <v>5105.525000000001</v>
      </c>
      <c r="AG11" s="5">
        <f t="shared" si="14"/>
        <v>1215.6379550000001</v>
      </c>
      <c r="AH11" s="5">
        <f t="shared" si="15"/>
        <v>6321.162955000001</v>
      </c>
      <c r="AI11" s="38">
        <f t="shared" si="16"/>
        <v>523.9434204</v>
      </c>
      <c r="AJ11" s="38">
        <f t="shared" si="17"/>
        <v>9.6063566</v>
      </c>
      <c r="AL11" s="5">
        <f t="shared" si="114"/>
        <v>186.54999999999998</v>
      </c>
      <c r="AM11" s="5">
        <f t="shared" si="18"/>
        <v>44.418009999999995</v>
      </c>
      <c r="AN11" s="5">
        <f t="shared" si="19"/>
        <v>230.96801</v>
      </c>
      <c r="AO11" s="38">
        <f t="shared" si="20"/>
        <v>19.144288799999998</v>
      </c>
      <c r="AP11" s="38"/>
      <c r="AR11" s="38">
        <f t="shared" si="115"/>
        <v>20.5</v>
      </c>
      <c r="AS11" s="38">
        <f t="shared" si="21"/>
        <v>4.8811</v>
      </c>
      <c r="AT11" s="5">
        <f t="shared" si="22"/>
        <v>25.3811</v>
      </c>
      <c r="AU11" s="38">
        <f t="shared" si="23"/>
        <v>2.103768</v>
      </c>
      <c r="AV11" s="38"/>
      <c r="AX11" s="38">
        <f t="shared" si="116"/>
        <v>264914.325</v>
      </c>
      <c r="AY11" s="38">
        <f t="shared" si="24"/>
        <v>63076.746915</v>
      </c>
      <c r="AZ11" s="5">
        <f t="shared" si="25"/>
        <v>327991.07191500004</v>
      </c>
      <c r="BA11" s="38">
        <f t="shared" si="26"/>
        <v>27186.257545200002</v>
      </c>
      <c r="BB11" s="38">
        <f t="shared" si="27"/>
        <v>498.45245580000005</v>
      </c>
      <c r="BC11" s="5"/>
      <c r="BD11" s="38">
        <f t="shared" si="117"/>
        <v>3182.625</v>
      </c>
      <c r="BE11" s="38">
        <f t="shared" si="28"/>
        <v>757.790775</v>
      </c>
      <c r="BF11" s="5">
        <f t="shared" si="29"/>
        <v>3940.415775</v>
      </c>
      <c r="BG11" s="38">
        <f t="shared" si="30"/>
        <v>326.609982</v>
      </c>
      <c r="BH11" s="38">
        <f t="shared" si="31"/>
        <v>5.988303</v>
      </c>
      <c r="BI11" s="5"/>
      <c r="BJ11" s="38">
        <f t="shared" si="118"/>
        <v>3714.0875</v>
      </c>
      <c r="BK11" s="38">
        <f t="shared" si="32"/>
        <v>884.3332925</v>
      </c>
      <c r="BL11" s="5">
        <f t="shared" si="33"/>
        <v>4598.4207925</v>
      </c>
      <c r="BM11" s="38">
        <f t="shared" si="34"/>
        <v>381.1501674</v>
      </c>
      <c r="BN11" s="38">
        <f t="shared" si="35"/>
        <v>6.9882821</v>
      </c>
      <c r="BO11" s="5"/>
      <c r="BP11" s="38">
        <f>B11*$BQ$6</f>
        <v>18.962500000000002</v>
      </c>
      <c r="BQ11" s="38">
        <f t="shared" si="36"/>
        <v>4.5150175</v>
      </c>
      <c r="BR11" s="5">
        <f t="shared" si="37"/>
        <v>23.4775175</v>
      </c>
      <c r="BS11" s="38">
        <f t="shared" si="38"/>
        <v>1.9459854</v>
      </c>
      <c r="BT11" s="38"/>
      <c r="BU11" s="5"/>
      <c r="BV11" s="38">
        <f t="shared" si="119"/>
        <v>19662.0625</v>
      </c>
      <c r="BW11" s="38">
        <f t="shared" si="39"/>
        <v>4681.5850375</v>
      </c>
      <c r="BX11" s="5">
        <f t="shared" si="40"/>
        <v>24343.6475375</v>
      </c>
      <c r="BY11" s="38">
        <f t="shared" si="41"/>
        <v>2017.776483</v>
      </c>
      <c r="BZ11" s="38">
        <f t="shared" si="42"/>
        <v>36.9953695</v>
      </c>
      <c r="CA11" s="5"/>
      <c r="CB11" s="5">
        <f t="shared" si="120"/>
        <v>11222.212500000001</v>
      </c>
      <c r="CC11" s="5">
        <f t="shared" si="43"/>
        <v>2672.0361675000004</v>
      </c>
      <c r="CD11" s="5">
        <f t="shared" si="44"/>
        <v>13894.248667500002</v>
      </c>
      <c r="CE11" s="38">
        <f t="shared" si="45"/>
        <v>1151.6551974000001</v>
      </c>
      <c r="CF11" s="38">
        <f t="shared" si="46"/>
        <v>21.1152771</v>
      </c>
      <c r="CG11" s="5"/>
      <c r="CH11" s="38">
        <f t="shared" si="121"/>
        <v>124071.6375</v>
      </c>
      <c r="CI11" s="38">
        <f t="shared" si="47"/>
        <v>29541.7595025</v>
      </c>
      <c r="CJ11" s="5">
        <f t="shared" si="48"/>
        <v>153613.3970025</v>
      </c>
      <c r="CK11" s="38">
        <f t="shared" si="49"/>
        <v>12732.5824722</v>
      </c>
      <c r="CL11" s="38">
        <f t="shared" si="50"/>
        <v>233.4483513</v>
      </c>
      <c r="CM11" s="5"/>
      <c r="CN11" s="38">
        <f t="shared" si="122"/>
        <v>909.6875</v>
      </c>
      <c r="CO11" s="38">
        <f t="shared" si="51"/>
        <v>216.5988125</v>
      </c>
      <c r="CP11" s="5">
        <f t="shared" si="52"/>
        <v>1126.2863125</v>
      </c>
      <c r="CQ11" s="38">
        <f t="shared" si="53"/>
        <v>93.354705</v>
      </c>
      <c r="CR11" s="38">
        <f t="shared" si="54"/>
        <v>1.7116325000000001</v>
      </c>
      <c r="CS11" s="5"/>
      <c r="CT11" s="5">
        <f t="shared" si="123"/>
        <v>32528.375</v>
      </c>
      <c r="CU11" s="38">
        <f t="shared" si="55"/>
        <v>7745.085425</v>
      </c>
      <c r="CV11" s="38">
        <f t="shared" si="56"/>
        <v>40273.460425</v>
      </c>
      <c r="CW11" s="38">
        <f t="shared" si="57"/>
        <v>3338.153874</v>
      </c>
      <c r="CX11" s="38">
        <f t="shared" si="58"/>
        <v>61.204121</v>
      </c>
      <c r="CY11" s="5"/>
      <c r="CZ11" s="5">
        <f t="shared" si="124"/>
        <v>76617.72499999999</v>
      </c>
      <c r="DA11" s="38">
        <f t="shared" si="59"/>
        <v>18242.867195</v>
      </c>
      <c r="DB11" s="38">
        <f t="shared" si="60"/>
        <v>94860.59219499999</v>
      </c>
      <c r="DC11" s="38">
        <f t="shared" si="61"/>
        <v>7862.7277116</v>
      </c>
      <c r="DD11" s="38">
        <f t="shared" si="62"/>
        <v>144.16092139999998</v>
      </c>
      <c r="DE11" s="5"/>
      <c r="DF11" s="38">
        <f t="shared" si="125"/>
        <v>29990.9875</v>
      </c>
      <c r="DG11" s="38">
        <f t="shared" si="63"/>
        <v>7140.9272725</v>
      </c>
      <c r="DH11" s="5">
        <f t="shared" si="64"/>
        <v>37131.9147725</v>
      </c>
      <c r="DI11" s="38">
        <f t="shared" si="65"/>
        <v>3077.7599898</v>
      </c>
      <c r="DJ11" s="38">
        <f t="shared" si="66"/>
        <v>56.4298717</v>
      </c>
      <c r="DK11" s="5"/>
      <c r="DL11" s="5">
        <f t="shared" si="126"/>
        <v>37152.15</v>
      </c>
      <c r="DM11" s="38">
        <f t="shared" si="67"/>
        <v>8846.01753</v>
      </c>
      <c r="DN11" s="38">
        <f t="shared" si="68"/>
        <v>45998.16753</v>
      </c>
      <c r="DO11" s="38">
        <f t="shared" si="69"/>
        <v>3812.6587464</v>
      </c>
      <c r="DP11" s="38">
        <f t="shared" si="70"/>
        <v>69.9040356</v>
      </c>
      <c r="DQ11" s="5"/>
      <c r="DR11" s="5">
        <f t="shared" si="127"/>
        <v>4297.3125</v>
      </c>
      <c r="DS11" s="5">
        <f t="shared" si="71"/>
        <v>1023.2005875000001</v>
      </c>
      <c r="DT11" s="5">
        <f t="shared" si="72"/>
        <v>5320.5130875</v>
      </c>
      <c r="DU11" s="38">
        <f t="shared" si="73"/>
        <v>441.00236700000005</v>
      </c>
      <c r="DV11" s="38">
        <f t="shared" si="74"/>
        <v>8.0856555</v>
      </c>
      <c r="DW11" s="5"/>
      <c r="DX11" s="38">
        <f t="shared" si="128"/>
        <v>454263.60000000003</v>
      </c>
      <c r="DY11" s="38">
        <f t="shared" si="75"/>
        <v>108161.27112</v>
      </c>
      <c r="DZ11" s="5">
        <f t="shared" si="76"/>
        <v>562424.87112</v>
      </c>
      <c r="EA11" s="38">
        <f t="shared" si="77"/>
        <v>46617.8158656</v>
      </c>
      <c r="EB11" s="38">
        <f t="shared" si="78"/>
        <v>854.7246624</v>
      </c>
      <c r="EC11" s="5"/>
      <c r="ED11" s="38">
        <f t="shared" si="129"/>
        <v>432458.775</v>
      </c>
      <c r="EE11" s="38">
        <f t="shared" si="79"/>
        <v>102969.489105</v>
      </c>
      <c r="EF11" s="5">
        <f t="shared" si="80"/>
        <v>535428.2641050001</v>
      </c>
      <c r="EG11" s="38">
        <f t="shared" si="81"/>
        <v>44380.1430324</v>
      </c>
      <c r="EH11" s="38">
        <f t="shared" si="82"/>
        <v>813.6975546</v>
      </c>
      <c r="EI11" s="5"/>
      <c r="EJ11" s="38">
        <f t="shared" si="130"/>
        <v>10253.074999999999</v>
      </c>
      <c r="EK11" s="38">
        <f t="shared" si="83"/>
        <v>2441.282165</v>
      </c>
      <c r="EL11" s="5">
        <f t="shared" si="84"/>
        <v>12694.357165</v>
      </c>
      <c r="EM11" s="38">
        <f t="shared" si="85"/>
        <v>1052.1995652</v>
      </c>
      <c r="EN11" s="38">
        <f t="shared" si="86"/>
        <v>19.2917858</v>
      </c>
      <c r="EO11" s="5"/>
      <c r="EP11" s="38">
        <f t="shared" si="131"/>
        <v>734597</v>
      </c>
      <c r="EQ11" s="38">
        <f t="shared" si="87"/>
        <v>174909.3374</v>
      </c>
      <c r="ER11" s="5">
        <f t="shared" si="88"/>
        <v>909506.3374</v>
      </c>
      <c r="ES11" s="38">
        <f t="shared" si="89"/>
        <v>75386.42251199999</v>
      </c>
      <c r="ET11" s="38">
        <f t="shared" si="90"/>
        <v>1382.189048</v>
      </c>
      <c r="EU11" s="5"/>
      <c r="EV11" s="38">
        <f t="shared" si="132"/>
        <v>944629.2375</v>
      </c>
      <c r="EW11" s="38">
        <f t="shared" si="91"/>
        <v>224918.5254225</v>
      </c>
      <c r="EX11" s="5">
        <f t="shared" si="92"/>
        <v>1169547.7629225</v>
      </c>
      <c r="EY11" s="38">
        <f t="shared" si="93"/>
        <v>96940.52496180001</v>
      </c>
      <c r="EZ11" s="38">
        <f t="shared" si="94"/>
        <v>1777.3775097</v>
      </c>
      <c r="FA11" s="5"/>
      <c r="FB11" s="5">
        <f t="shared" si="133"/>
        <v>29474.899999999998</v>
      </c>
      <c r="FC11" s="38">
        <f t="shared" si="95"/>
        <v>7018.04558</v>
      </c>
      <c r="FD11" s="38">
        <f t="shared" si="96"/>
        <v>36492.94558</v>
      </c>
      <c r="FE11" s="38">
        <f t="shared" si="97"/>
        <v>3024.7976304</v>
      </c>
      <c r="FF11" s="38">
        <f t="shared" si="98"/>
        <v>55.4588216</v>
      </c>
      <c r="FG11" s="5"/>
      <c r="FH11" s="5">
        <f t="shared" si="134"/>
        <v>80820.7375</v>
      </c>
      <c r="FI11" s="38">
        <f t="shared" si="99"/>
        <v>19243.6147225</v>
      </c>
      <c r="FJ11" s="38">
        <f t="shared" si="100"/>
        <v>100064.3522225</v>
      </c>
      <c r="FK11" s="38">
        <f t="shared" si="101"/>
        <v>8294.0527458</v>
      </c>
      <c r="FL11" s="38">
        <f t="shared" si="102"/>
        <v>152.0691457</v>
      </c>
      <c r="FM11" s="5"/>
      <c r="FN11" s="38">
        <f t="shared" si="135"/>
        <v>570488.8624999999</v>
      </c>
      <c r="FO11" s="38">
        <f t="shared" si="103"/>
        <v>135834.7895975</v>
      </c>
      <c r="FP11" s="5">
        <f t="shared" si="104"/>
        <v>706323.6520974999</v>
      </c>
      <c r="FQ11" s="38">
        <f t="shared" si="105"/>
        <v>58545.1811358</v>
      </c>
      <c r="FR11" s="38">
        <f t="shared" si="106"/>
        <v>1073.4095806999999</v>
      </c>
      <c r="FS11" s="5"/>
      <c r="FT11" s="38">
        <f t="shared" si="136"/>
        <v>412185.3</v>
      </c>
      <c r="FU11" s="38">
        <f t="shared" si="107"/>
        <v>98142.32526</v>
      </c>
      <c r="FV11" s="5">
        <f t="shared" si="108"/>
        <v>510327.62526</v>
      </c>
      <c r="FW11" s="38">
        <f t="shared" si="109"/>
        <v>42299.6216688</v>
      </c>
      <c r="FX11" s="38">
        <f t="shared" si="110"/>
        <v>775.5517752</v>
      </c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</row>
    <row r="12" spans="1:223" ht="12.75">
      <c r="A12" s="40">
        <v>44835</v>
      </c>
      <c r="C12" s="3">
        <v>1143400</v>
      </c>
      <c r="D12" s="37">
        <f t="shared" si="0"/>
        <v>1143400</v>
      </c>
      <c r="E12" s="37">
        <v>525942</v>
      </c>
      <c r="F12" s="37">
        <v>9643</v>
      </c>
      <c r="H12" s="38">
        <f>'2019C Academic'!I12</f>
        <v>0</v>
      </c>
      <c r="I12" s="38">
        <f>'2019C Academic'!J12</f>
        <v>163863.96986</v>
      </c>
      <c r="J12" s="38">
        <f t="shared" si="1"/>
        <v>163863.96986</v>
      </c>
      <c r="K12" s="38">
        <f>'2019C Academic'!L12</f>
        <v>75374.27325180001</v>
      </c>
      <c r="L12" s="38">
        <f>'2019C Academic'!M12</f>
        <v>1381.9662947000002</v>
      </c>
      <c r="N12" s="38"/>
      <c r="O12" s="37">
        <f t="shared" si="2"/>
        <v>979536.0301400002</v>
      </c>
      <c r="P12" s="5">
        <f t="shared" si="3"/>
        <v>979536.0301400002</v>
      </c>
      <c r="Q12" s="37">
        <f t="shared" si="4"/>
        <v>450567.7267482</v>
      </c>
      <c r="R12" s="37">
        <f t="shared" si="5"/>
        <v>8260.608449</v>
      </c>
      <c r="T12" s="38"/>
      <c r="U12" s="38">
        <f t="shared" si="6"/>
        <v>19416.075399999998</v>
      </c>
      <c r="V12" s="5">
        <f t="shared" si="7"/>
        <v>19416.075399999998</v>
      </c>
      <c r="W12" s="38">
        <f t="shared" si="8"/>
        <v>8931.021102</v>
      </c>
      <c r="X12" s="38">
        <f t="shared" si="9"/>
        <v>163.747783</v>
      </c>
      <c r="AA12" s="38">
        <f t="shared" si="10"/>
        <v>4624.36696</v>
      </c>
      <c r="AB12" s="38">
        <f t="shared" si="11"/>
        <v>4624.36696</v>
      </c>
      <c r="AC12" s="38">
        <f t="shared" si="12"/>
        <v>2127.1198248</v>
      </c>
      <c r="AD12" s="38">
        <f t="shared" si="13"/>
        <v>39.0001492</v>
      </c>
      <c r="AG12" s="5">
        <f t="shared" si="14"/>
        <v>1139.05508</v>
      </c>
      <c r="AH12" s="5">
        <f t="shared" si="15"/>
        <v>1139.05508</v>
      </c>
      <c r="AI12" s="38">
        <f t="shared" si="16"/>
        <v>523.9434204</v>
      </c>
      <c r="AJ12" s="38">
        <f t="shared" si="17"/>
        <v>9.6063566</v>
      </c>
      <c r="AM12" s="5">
        <f t="shared" si="18"/>
        <v>41.61976</v>
      </c>
      <c r="AN12" s="5">
        <f t="shared" si="19"/>
        <v>41.61976</v>
      </c>
      <c r="AO12" s="38">
        <f t="shared" si="20"/>
        <v>19.144288799999998</v>
      </c>
      <c r="AP12" s="38"/>
      <c r="AR12" s="38"/>
      <c r="AS12" s="38">
        <f t="shared" si="21"/>
        <v>4.5736</v>
      </c>
      <c r="AT12" s="5">
        <f t="shared" si="22"/>
        <v>4.5736</v>
      </c>
      <c r="AU12" s="38">
        <f t="shared" si="23"/>
        <v>2.103768</v>
      </c>
      <c r="AV12" s="38"/>
      <c r="AX12" s="38"/>
      <c r="AY12" s="38">
        <f t="shared" si="24"/>
        <v>59103.032040000006</v>
      </c>
      <c r="AZ12" s="5">
        <f t="shared" si="25"/>
        <v>59103.032040000006</v>
      </c>
      <c r="BA12" s="38">
        <f t="shared" si="26"/>
        <v>27186.257545200002</v>
      </c>
      <c r="BB12" s="38">
        <f t="shared" si="27"/>
        <v>498.45245580000005</v>
      </c>
      <c r="BC12" s="5"/>
      <c r="BD12" s="38"/>
      <c r="BE12" s="38">
        <f t="shared" si="28"/>
        <v>710.0514000000001</v>
      </c>
      <c r="BF12" s="5">
        <f t="shared" si="29"/>
        <v>710.0514000000001</v>
      </c>
      <c r="BG12" s="38">
        <f t="shared" si="30"/>
        <v>326.609982</v>
      </c>
      <c r="BH12" s="38">
        <f t="shared" si="31"/>
        <v>5.988303</v>
      </c>
      <c r="BI12" s="5"/>
      <c r="BJ12" s="38"/>
      <c r="BK12" s="38">
        <f t="shared" si="32"/>
        <v>828.62198</v>
      </c>
      <c r="BL12" s="5">
        <f t="shared" si="33"/>
        <v>828.62198</v>
      </c>
      <c r="BM12" s="38">
        <f t="shared" si="34"/>
        <v>381.1501674</v>
      </c>
      <c r="BN12" s="38">
        <f t="shared" si="35"/>
        <v>6.9882821</v>
      </c>
      <c r="BO12" s="5"/>
      <c r="BP12" s="38"/>
      <c r="BQ12" s="38">
        <f t="shared" si="36"/>
        <v>4.23058</v>
      </c>
      <c r="BR12" s="5">
        <f t="shared" si="37"/>
        <v>4.23058</v>
      </c>
      <c r="BS12" s="38">
        <f t="shared" si="38"/>
        <v>1.9459854</v>
      </c>
      <c r="BT12" s="38"/>
      <c r="BU12" s="5"/>
      <c r="BV12" s="38"/>
      <c r="BW12" s="38">
        <f t="shared" si="39"/>
        <v>4386.6541</v>
      </c>
      <c r="BX12" s="5">
        <f t="shared" si="40"/>
        <v>4386.6541</v>
      </c>
      <c r="BY12" s="38">
        <f t="shared" si="41"/>
        <v>2017.776483</v>
      </c>
      <c r="BZ12" s="38">
        <f t="shared" si="42"/>
        <v>36.9953695</v>
      </c>
      <c r="CA12" s="5"/>
      <c r="CB12" s="5"/>
      <c r="CC12" s="5">
        <f t="shared" si="43"/>
        <v>2503.70298</v>
      </c>
      <c r="CD12" s="5">
        <f t="shared" si="44"/>
        <v>2503.70298</v>
      </c>
      <c r="CE12" s="38">
        <f t="shared" si="45"/>
        <v>1151.6551974000001</v>
      </c>
      <c r="CF12" s="38">
        <f t="shared" si="46"/>
        <v>21.1152771</v>
      </c>
      <c r="CG12" s="5"/>
      <c r="CH12" s="38"/>
      <c r="CI12" s="38">
        <f t="shared" si="47"/>
        <v>27680.68494</v>
      </c>
      <c r="CJ12" s="5">
        <f t="shared" si="48"/>
        <v>27680.68494</v>
      </c>
      <c r="CK12" s="38">
        <f t="shared" si="49"/>
        <v>12732.5824722</v>
      </c>
      <c r="CL12" s="38">
        <f t="shared" si="50"/>
        <v>233.4483513</v>
      </c>
      <c r="CM12" s="5"/>
      <c r="CN12" s="38"/>
      <c r="CO12" s="38">
        <f t="shared" si="51"/>
        <v>202.95350000000002</v>
      </c>
      <c r="CP12" s="5">
        <f t="shared" si="52"/>
        <v>202.95350000000002</v>
      </c>
      <c r="CQ12" s="38">
        <f t="shared" si="53"/>
        <v>93.354705</v>
      </c>
      <c r="CR12" s="38">
        <f t="shared" si="54"/>
        <v>1.7116325000000001</v>
      </c>
      <c r="CS12" s="5"/>
      <c r="CT12" s="5"/>
      <c r="CU12" s="38">
        <f t="shared" si="55"/>
        <v>7257.1598</v>
      </c>
      <c r="CV12" s="38">
        <f t="shared" si="56"/>
        <v>7257.1598</v>
      </c>
      <c r="CW12" s="38">
        <f t="shared" si="57"/>
        <v>3338.153874</v>
      </c>
      <c r="CX12" s="38">
        <f t="shared" si="58"/>
        <v>61.204121</v>
      </c>
      <c r="CY12" s="5"/>
      <c r="CZ12" s="5"/>
      <c r="DA12" s="38">
        <f t="shared" si="59"/>
        <v>17093.601319999998</v>
      </c>
      <c r="DB12" s="38">
        <f t="shared" si="60"/>
        <v>17093.601319999998</v>
      </c>
      <c r="DC12" s="38">
        <f t="shared" si="61"/>
        <v>7862.7277116</v>
      </c>
      <c r="DD12" s="38">
        <f t="shared" si="62"/>
        <v>144.16092139999998</v>
      </c>
      <c r="DE12" s="5"/>
      <c r="DF12" s="38"/>
      <c r="DG12" s="38">
        <f t="shared" si="63"/>
        <v>6691.06246</v>
      </c>
      <c r="DH12" s="5">
        <f t="shared" si="64"/>
        <v>6691.06246</v>
      </c>
      <c r="DI12" s="38">
        <f t="shared" si="65"/>
        <v>3077.7599898</v>
      </c>
      <c r="DJ12" s="38">
        <f t="shared" si="66"/>
        <v>56.4298717</v>
      </c>
      <c r="DK12" s="5"/>
      <c r="DL12" s="5"/>
      <c r="DM12" s="38">
        <f t="shared" si="67"/>
        <v>8288.73528</v>
      </c>
      <c r="DN12" s="38">
        <f t="shared" si="68"/>
        <v>8288.73528</v>
      </c>
      <c r="DO12" s="38">
        <f t="shared" si="69"/>
        <v>3812.6587464</v>
      </c>
      <c r="DP12" s="38">
        <f t="shared" si="70"/>
        <v>69.9040356</v>
      </c>
      <c r="DQ12" s="5"/>
      <c r="DR12" s="5"/>
      <c r="DS12" s="5">
        <f t="shared" si="71"/>
        <v>958.7409</v>
      </c>
      <c r="DT12" s="5">
        <f t="shared" si="72"/>
        <v>958.7409</v>
      </c>
      <c r="DU12" s="38">
        <f t="shared" si="73"/>
        <v>441.00236700000005</v>
      </c>
      <c r="DV12" s="38">
        <f t="shared" si="74"/>
        <v>8.0856555</v>
      </c>
      <c r="DW12" s="5"/>
      <c r="DX12" s="38"/>
      <c r="DY12" s="38">
        <f t="shared" si="75"/>
        <v>101347.31712</v>
      </c>
      <c r="DZ12" s="5">
        <f t="shared" si="76"/>
        <v>101347.31712</v>
      </c>
      <c r="EA12" s="38">
        <f t="shared" si="77"/>
        <v>46617.8158656</v>
      </c>
      <c r="EB12" s="38">
        <f t="shared" si="78"/>
        <v>854.7246624</v>
      </c>
      <c r="EC12" s="5"/>
      <c r="ED12" s="38"/>
      <c r="EE12" s="38">
        <f t="shared" si="79"/>
        <v>96482.60748</v>
      </c>
      <c r="EF12" s="5">
        <f t="shared" si="80"/>
        <v>96482.60748</v>
      </c>
      <c r="EG12" s="38">
        <f t="shared" si="81"/>
        <v>44380.1430324</v>
      </c>
      <c r="EH12" s="38">
        <f t="shared" si="82"/>
        <v>813.6975546</v>
      </c>
      <c r="EI12" s="5"/>
      <c r="EJ12" s="38"/>
      <c r="EK12" s="38">
        <f t="shared" si="83"/>
        <v>2287.48604</v>
      </c>
      <c r="EL12" s="5">
        <f t="shared" si="84"/>
        <v>2287.48604</v>
      </c>
      <c r="EM12" s="38">
        <f t="shared" si="85"/>
        <v>1052.1995652</v>
      </c>
      <c r="EN12" s="38">
        <f t="shared" si="86"/>
        <v>19.2917858</v>
      </c>
      <c r="EO12" s="5"/>
      <c r="EP12" s="38"/>
      <c r="EQ12" s="38">
        <f t="shared" si="87"/>
        <v>163890.3824</v>
      </c>
      <c r="ER12" s="5">
        <f t="shared" si="88"/>
        <v>163890.3824</v>
      </c>
      <c r="ES12" s="38">
        <f t="shared" si="89"/>
        <v>75386.42251199999</v>
      </c>
      <c r="ET12" s="38">
        <f t="shared" si="90"/>
        <v>1382.189048</v>
      </c>
      <c r="EU12" s="5"/>
      <c r="EV12" s="38"/>
      <c r="EW12" s="38">
        <f t="shared" si="91"/>
        <v>210749.08686</v>
      </c>
      <c r="EX12" s="5">
        <f t="shared" si="92"/>
        <v>210749.08686</v>
      </c>
      <c r="EY12" s="38">
        <f t="shared" si="93"/>
        <v>96940.52496180001</v>
      </c>
      <c r="EZ12" s="38">
        <f t="shared" si="94"/>
        <v>1777.3775097</v>
      </c>
      <c r="FA12" s="5"/>
      <c r="FB12" s="5"/>
      <c r="FC12" s="38">
        <f t="shared" si="95"/>
        <v>6575.922079999999</v>
      </c>
      <c r="FD12" s="38">
        <f t="shared" si="96"/>
        <v>6575.922079999999</v>
      </c>
      <c r="FE12" s="38">
        <f t="shared" si="97"/>
        <v>3024.7976304</v>
      </c>
      <c r="FF12" s="38">
        <f t="shared" si="98"/>
        <v>55.4588216</v>
      </c>
      <c r="FG12" s="5"/>
      <c r="FH12" s="5"/>
      <c r="FI12" s="38">
        <f t="shared" si="99"/>
        <v>18031.30366</v>
      </c>
      <c r="FJ12" s="38">
        <f t="shared" si="100"/>
        <v>18031.30366</v>
      </c>
      <c r="FK12" s="38">
        <f t="shared" si="101"/>
        <v>8294.0527458</v>
      </c>
      <c r="FL12" s="38">
        <f t="shared" si="102"/>
        <v>152.0691457</v>
      </c>
      <c r="FM12" s="5"/>
      <c r="FN12" s="38"/>
      <c r="FO12" s="38">
        <f t="shared" si="103"/>
        <v>127277.45666</v>
      </c>
      <c r="FP12" s="5">
        <f t="shared" si="104"/>
        <v>127277.45666</v>
      </c>
      <c r="FQ12" s="38">
        <f t="shared" si="105"/>
        <v>58545.1811358</v>
      </c>
      <c r="FR12" s="38">
        <f t="shared" si="106"/>
        <v>1073.4095806999999</v>
      </c>
      <c r="FS12" s="5"/>
      <c r="FT12" s="38"/>
      <c r="FU12" s="38">
        <f t="shared" si="107"/>
        <v>91959.54576</v>
      </c>
      <c r="FV12" s="5">
        <f t="shared" si="108"/>
        <v>91959.54576</v>
      </c>
      <c r="FW12" s="38">
        <f t="shared" si="109"/>
        <v>42299.6216688</v>
      </c>
      <c r="FX12" s="38">
        <f t="shared" si="110"/>
        <v>775.5517752</v>
      </c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</row>
    <row r="13" spans="1:223" ht="12.75">
      <c r="A13" s="40">
        <v>45017</v>
      </c>
      <c r="B13" s="3">
        <v>5275000</v>
      </c>
      <c r="C13" s="3">
        <v>1143400</v>
      </c>
      <c r="D13" s="37">
        <f t="shared" si="0"/>
        <v>6418400</v>
      </c>
      <c r="E13" s="37">
        <v>525942</v>
      </c>
      <c r="F13" s="37">
        <v>9643</v>
      </c>
      <c r="H13" s="38">
        <f>'2019C Academic'!I13</f>
        <v>755975.5474999999</v>
      </c>
      <c r="I13" s="38">
        <f>'2019C Academic'!J13</f>
        <v>163863.96986</v>
      </c>
      <c r="J13" s="38">
        <f t="shared" si="1"/>
        <v>919839.5173599999</v>
      </c>
      <c r="K13" s="38">
        <f>'2019C Academic'!L13</f>
        <v>75374.27325180001</v>
      </c>
      <c r="L13" s="38">
        <f>'2019C Academic'!M13</f>
        <v>1381.9662947000002</v>
      </c>
      <c r="N13" s="38">
        <f>T13+Z13+AF13+AR13+AX13+BD13+BV13+CB13+CH13+CT13+DF13+DL13+DR13+DX13+ED13+EJ13+EP13+EV13+FB13+FH13+FN13+FT13+FZ13+AL13+BJ13+CN13+CZ13+BP13</f>
        <v>4519024.452500001</v>
      </c>
      <c r="O13" s="37">
        <f t="shared" si="2"/>
        <v>979536.0301400002</v>
      </c>
      <c r="P13" s="5">
        <f t="shared" si="3"/>
        <v>5498560.482640001</v>
      </c>
      <c r="Q13" s="37">
        <f t="shared" si="4"/>
        <v>450567.7267482</v>
      </c>
      <c r="R13" s="37">
        <f t="shared" si="5"/>
        <v>8260.608449</v>
      </c>
      <c r="T13" s="38">
        <f t="shared" si="111"/>
        <v>89574.775</v>
      </c>
      <c r="U13" s="38">
        <f t="shared" si="6"/>
        <v>19416.075399999998</v>
      </c>
      <c r="V13" s="5">
        <f t="shared" si="7"/>
        <v>108990.8504</v>
      </c>
      <c r="W13" s="38">
        <f t="shared" si="8"/>
        <v>8931.021102</v>
      </c>
      <c r="X13" s="38">
        <f t="shared" si="9"/>
        <v>163.747783</v>
      </c>
      <c r="Z13" s="5">
        <f t="shared" si="112"/>
        <v>21334.21</v>
      </c>
      <c r="AA13" s="38">
        <f t="shared" si="10"/>
        <v>4624.36696</v>
      </c>
      <c r="AB13" s="38">
        <f t="shared" si="11"/>
        <v>25958.57696</v>
      </c>
      <c r="AC13" s="38">
        <f t="shared" si="12"/>
        <v>2127.1198248</v>
      </c>
      <c r="AD13" s="38">
        <f t="shared" si="13"/>
        <v>39.0001492</v>
      </c>
      <c r="AF13" s="5">
        <f t="shared" si="113"/>
        <v>5254.955</v>
      </c>
      <c r="AG13" s="5">
        <f t="shared" si="14"/>
        <v>1139.05508</v>
      </c>
      <c r="AH13" s="5">
        <f t="shared" si="15"/>
        <v>6394.01008</v>
      </c>
      <c r="AI13" s="38">
        <f t="shared" si="16"/>
        <v>523.9434204</v>
      </c>
      <c r="AJ13" s="38">
        <f t="shared" si="17"/>
        <v>9.6063566</v>
      </c>
      <c r="AL13" s="5">
        <f t="shared" si="114"/>
        <v>192.01</v>
      </c>
      <c r="AM13" s="5">
        <f t="shared" si="18"/>
        <v>41.61976</v>
      </c>
      <c r="AN13" s="5">
        <f t="shared" si="19"/>
        <v>233.62975999999998</v>
      </c>
      <c r="AO13" s="38">
        <f t="shared" si="20"/>
        <v>19.144288799999998</v>
      </c>
      <c r="AP13" s="38"/>
      <c r="AR13" s="38">
        <f t="shared" si="115"/>
        <v>21.099999999999998</v>
      </c>
      <c r="AS13" s="38">
        <f t="shared" si="21"/>
        <v>4.5736</v>
      </c>
      <c r="AT13" s="5">
        <f t="shared" si="22"/>
        <v>25.673599999999997</v>
      </c>
      <c r="AU13" s="38">
        <f t="shared" si="23"/>
        <v>2.103768</v>
      </c>
      <c r="AV13" s="38"/>
      <c r="AX13" s="38">
        <f t="shared" si="116"/>
        <v>272667.91500000004</v>
      </c>
      <c r="AY13" s="38">
        <f t="shared" si="24"/>
        <v>59103.032040000006</v>
      </c>
      <c r="AZ13" s="5">
        <f t="shared" si="25"/>
        <v>331770.94704000006</v>
      </c>
      <c r="BA13" s="38">
        <f t="shared" si="26"/>
        <v>27186.257545200002</v>
      </c>
      <c r="BB13" s="38">
        <f t="shared" si="27"/>
        <v>498.45245580000005</v>
      </c>
      <c r="BC13" s="5"/>
      <c r="BD13" s="38">
        <f t="shared" si="117"/>
        <v>3275.775</v>
      </c>
      <c r="BE13" s="38">
        <f t="shared" si="28"/>
        <v>710.0514000000001</v>
      </c>
      <c r="BF13" s="5">
        <f t="shared" si="29"/>
        <v>3985.8264</v>
      </c>
      <c r="BG13" s="38">
        <f t="shared" si="30"/>
        <v>326.609982</v>
      </c>
      <c r="BH13" s="38">
        <f t="shared" si="31"/>
        <v>5.988303</v>
      </c>
      <c r="BI13" s="5"/>
      <c r="BJ13" s="38">
        <f t="shared" si="118"/>
        <v>3822.7925</v>
      </c>
      <c r="BK13" s="38">
        <f t="shared" si="32"/>
        <v>828.62198</v>
      </c>
      <c r="BL13" s="5">
        <f t="shared" si="33"/>
        <v>4651.41448</v>
      </c>
      <c r="BM13" s="38">
        <f t="shared" si="34"/>
        <v>381.1501674</v>
      </c>
      <c r="BN13" s="38">
        <f t="shared" si="35"/>
        <v>6.9882821</v>
      </c>
      <c r="BO13" s="5"/>
      <c r="BP13" s="38">
        <f>B13*$BQ$6</f>
        <v>19.517500000000002</v>
      </c>
      <c r="BQ13" s="38">
        <f t="shared" si="36"/>
        <v>4.23058</v>
      </c>
      <c r="BR13" s="5">
        <f t="shared" si="37"/>
        <v>23.74808</v>
      </c>
      <c r="BS13" s="38">
        <f t="shared" si="38"/>
        <v>1.9459854</v>
      </c>
      <c r="BT13" s="38"/>
      <c r="BU13" s="5"/>
      <c r="BV13" s="38">
        <f t="shared" si="119"/>
        <v>20237.5375</v>
      </c>
      <c r="BW13" s="38">
        <f t="shared" si="39"/>
        <v>4386.6541</v>
      </c>
      <c r="BX13" s="5">
        <f t="shared" si="40"/>
        <v>24624.1916</v>
      </c>
      <c r="BY13" s="38">
        <f t="shared" si="41"/>
        <v>2017.776483</v>
      </c>
      <c r="BZ13" s="38">
        <f t="shared" si="42"/>
        <v>36.9953695</v>
      </c>
      <c r="CA13" s="5"/>
      <c r="CB13" s="5">
        <f t="shared" si="120"/>
        <v>11550.667500000001</v>
      </c>
      <c r="CC13" s="5">
        <f t="shared" si="43"/>
        <v>2503.70298</v>
      </c>
      <c r="CD13" s="5">
        <f t="shared" si="44"/>
        <v>14054.370480000001</v>
      </c>
      <c r="CE13" s="38">
        <f t="shared" si="45"/>
        <v>1151.6551974000001</v>
      </c>
      <c r="CF13" s="38">
        <f t="shared" si="46"/>
        <v>21.1152771</v>
      </c>
      <c r="CG13" s="5"/>
      <c r="CH13" s="38">
        <f t="shared" si="121"/>
        <v>127703.0025</v>
      </c>
      <c r="CI13" s="38">
        <f t="shared" si="47"/>
        <v>27680.68494</v>
      </c>
      <c r="CJ13" s="5">
        <f t="shared" si="48"/>
        <v>155383.68744</v>
      </c>
      <c r="CK13" s="38">
        <f t="shared" si="49"/>
        <v>12732.5824722</v>
      </c>
      <c r="CL13" s="38">
        <f t="shared" si="50"/>
        <v>233.4483513</v>
      </c>
      <c r="CM13" s="5"/>
      <c r="CN13" s="38">
        <f t="shared" si="122"/>
        <v>936.3125</v>
      </c>
      <c r="CO13" s="38">
        <f t="shared" si="51"/>
        <v>202.95350000000002</v>
      </c>
      <c r="CP13" s="5">
        <f t="shared" si="52"/>
        <v>1139.266</v>
      </c>
      <c r="CQ13" s="38">
        <f t="shared" si="53"/>
        <v>93.354705</v>
      </c>
      <c r="CR13" s="38">
        <f t="shared" si="54"/>
        <v>1.7116325000000001</v>
      </c>
      <c r="CS13" s="5"/>
      <c r="CT13" s="5">
        <f t="shared" si="123"/>
        <v>33480.425</v>
      </c>
      <c r="CU13" s="38">
        <f t="shared" si="55"/>
        <v>7257.1598</v>
      </c>
      <c r="CV13" s="38">
        <f t="shared" si="56"/>
        <v>40737.584800000004</v>
      </c>
      <c r="CW13" s="38">
        <f t="shared" si="57"/>
        <v>3338.153874</v>
      </c>
      <c r="CX13" s="38">
        <f t="shared" si="58"/>
        <v>61.204121</v>
      </c>
      <c r="CY13" s="5"/>
      <c r="CZ13" s="5">
        <f t="shared" si="124"/>
        <v>78860.19499999999</v>
      </c>
      <c r="DA13" s="38">
        <f t="shared" si="59"/>
        <v>17093.601319999998</v>
      </c>
      <c r="DB13" s="38">
        <f t="shared" si="60"/>
        <v>95953.79632</v>
      </c>
      <c r="DC13" s="38">
        <f t="shared" si="61"/>
        <v>7862.7277116</v>
      </c>
      <c r="DD13" s="38">
        <f t="shared" si="62"/>
        <v>144.16092139999998</v>
      </c>
      <c r="DE13" s="5"/>
      <c r="DF13" s="38">
        <f t="shared" si="125"/>
        <v>30868.7725</v>
      </c>
      <c r="DG13" s="38">
        <f t="shared" si="63"/>
        <v>6691.06246</v>
      </c>
      <c r="DH13" s="5">
        <f t="shared" si="64"/>
        <v>37559.83496</v>
      </c>
      <c r="DI13" s="38">
        <f t="shared" si="65"/>
        <v>3077.7599898</v>
      </c>
      <c r="DJ13" s="38">
        <f t="shared" si="66"/>
        <v>56.4298717</v>
      </c>
      <c r="DK13" s="5"/>
      <c r="DL13" s="5">
        <f t="shared" si="126"/>
        <v>38239.53</v>
      </c>
      <c r="DM13" s="38">
        <f t="shared" si="67"/>
        <v>8288.73528</v>
      </c>
      <c r="DN13" s="38">
        <f t="shared" si="68"/>
        <v>46528.26528</v>
      </c>
      <c r="DO13" s="38">
        <f t="shared" si="69"/>
        <v>3812.6587464</v>
      </c>
      <c r="DP13" s="38">
        <f t="shared" si="70"/>
        <v>69.9040356</v>
      </c>
      <c r="DQ13" s="5"/>
      <c r="DR13" s="5">
        <f t="shared" si="127"/>
        <v>4423.087500000001</v>
      </c>
      <c r="DS13" s="5">
        <f t="shared" si="71"/>
        <v>958.7409</v>
      </c>
      <c r="DT13" s="5">
        <f t="shared" si="72"/>
        <v>5381.8284</v>
      </c>
      <c r="DU13" s="38">
        <f t="shared" si="73"/>
        <v>441.00236700000005</v>
      </c>
      <c r="DV13" s="38">
        <f t="shared" si="74"/>
        <v>8.0856555</v>
      </c>
      <c r="DW13" s="5"/>
      <c r="DX13" s="38">
        <f t="shared" si="128"/>
        <v>467559.12</v>
      </c>
      <c r="DY13" s="38">
        <f t="shared" si="75"/>
        <v>101347.31712</v>
      </c>
      <c r="DZ13" s="5">
        <f t="shared" si="76"/>
        <v>568906.43712</v>
      </c>
      <c r="EA13" s="38">
        <f t="shared" si="77"/>
        <v>46617.8158656</v>
      </c>
      <c r="EB13" s="38">
        <f t="shared" si="78"/>
        <v>854.7246624</v>
      </c>
      <c r="EC13" s="5"/>
      <c r="ED13" s="38">
        <f t="shared" si="129"/>
        <v>445116.10500000004</v>
      </c>
      <c r="EE13" s="38">
        <f t="shared" si="79"/>
        <v>96482.60748</v>
      </c>
      <c r="EF13" s="5">
        <f t="shared" si="80"/>
        <v>541598.71248</v>
      </c>
      <c r="EG13" s="38">
        <f t="shared" si="81"/>
        <v>44380.1430324</v>
      </c>
      <c r="EH13" s="38">
        <f t="shared" si="82"/>
        <v>813.6975546</v>
      </c>
      <c r="EI13" s="5"/>
      <c r="EJ13" s="38">
        <f t="shared" si="130"/>
        <v>10553.164999999999</v>
      </c>
      <c r="EK13" s="38">
        <f t="shared" si="83"/>
        <v>2287.48604</v>
      </c>
      <c r="EL13" s="5">
        <f t="shared" si="84"/>
        <v>12840.651039999999</v>
      </c>
      <c r="EM13" s="38">
        <f t="shared" si="85"/>
        <v>1052.1995652</v>
      </c>
      <c r="EN13" s="38">
        <f t="shared" si="86"/>
        <v>19.2917858</v>
      </c>
      <c r="EO13" s="5"/>
      <c r="EP13" s="38">
        <f t="shared" si="131"/>
        <v>756097.3999999999</v>
      </c>
      <c r="EQ13" s="38">
        <f t="shared" si="87"/>
        <v>163890.3824</v>
      </c>
      <c r="ER13" s="5">
        <f t="shared" si="88"/>
        <v>919987.7823999999</v>
      </c>
      <c r="ES13" s="38">
        <f t="shared" si="89"/>
        <v>75386.42251199999</v>
      </c>
      <c r="ET13" s="38">
        <f t="shared" si="90"/>
        <v>1382.189048</v>
      </c>
      <c r="EU13" s="5"/>
      <c r="EV13" s="38">
        <f t="shared" si="132"/>
        <v>972276.9225</v>
      </c>
      <c r="EW13" s="38">
        <f t="shared" si="91"/>
        <v>210749.08686</v>
      </c>
      <c r="EX13" s="5">
        <f t="shared" si="92"/>
        <v>1183026.00936</v>
      </c>
      <c r="EY13" s="38">
        <f t="shared" si="93"/>
        <v>96940.52496180001</v>
      </c>
      <c r="EZ13" s="38">
        <f t="shared" si="94"/>
        <v>1777.3775097</v>
      </c>
      <c r="FA13" s="5"/>
      <c r="FB13" s="5">
        <f t="shared" si="133"/>
        <v>30337.579999999998</v>
      </c>
      <c r="FC13" s="38">
        <f t="shared" si="95"/>
        <v>6575.922079999999</v>
      </c>
      <c r="FD13" s="38">
        <f t="shared" si="96"/>
        <v>36913.50208</v>
      </c>
      <c r="FE13" s="38">
        <f t="shared" si="97"/>
        <v>3024.7976304</v>
      </c>
      <c r="FF13" s="38">
        <f t="shared" si="98"/>
        <v>55.4588216</v>
      </c>
      <c r="FG13" s="5"/>
      <c r="FH13" s="5">
        <f t="shared" si="134"/>
        <v>83186.2225</v>
      </c>
      <c r="FI13" s="38">
        <f t="shared" si="99"/>
        <v>18031.30366</v>
      </c>
      <c r="FJ13" s="38">
        <f t="shared" si="100"/>
        <v>101217.52616000001</v>
      </c>
      <c r="FK13" s="38">
        <f t="shared" si="101"/>
        <v>8294.0527458</v>
      </c>
      <c r="FL13" s="38">
        <f t="shared" si="102"/>
        <v>152.0691457</v>
      </c>
      <c r="FM13" s="5"/>
      <c r="FN13" s="38">
        <f t="shared" si="135"/>
        <v>587186.0974999999</v>
      </c>
      <c r="FO13" s="38">
        <f t="shared" si="103"/>
        <v>127277.45666</v>
      </c>
      <c r="FP13" s="5">
        <f t="shared" si="104"/>
        <v>714463.5541599999</v>
      </c>
      <c r="FQ13" s="38">
        <f t="shared" si="105"/>
        <v>58545.1811358</v>
      </c>
      <c r="FR13" s="38">
        <f t="shared" si="106"/>
        <v>1073.4095806999999</v>
      </c>
      <c r="FS13" s="5"/>
      <c r="FT13" s="38">
        <f t="shared" si="136"/>
        <v>424249.25999999995</v>
      </c>
      <c r="FU13" s="38">
        <f t="shared" si="107"/>
        <v>91959.54576</v>
      </c>
      <c r="FV13" s="5">
        <f t="shared" si="108"/>
        <v>516208.80575999996</v>
      </c>
      <c r="FW13" s="38">
        <f t="shared" si="109"/>
        <v>42299.6216688</v>
      </c>
      <c r="FX13" s="38">
        <f t="shared" si="110"/>
        <v>775.5517752</v>
      </c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</row>
    <row r="14" spans="1:223" ht="12.75">
      <c r="A14" s="40">
        <v>45200</v>
      </c>
      <c r="C14" s="3">
        <v>1037900</v>
      </c>
      <c r="D14" s="37">
        <f t="shared" si="0"/>
        <v>1037900</v>
      </c>
      <c r="E14" s="37">
        <v>525942</v>
      </c>
      <c r="F14" s="37">
        <v>9643</v>
      </c>
      <c r="H14" s="38">
        <f>'2019C Academic'!I14</f>
        <v>0</v>
      </c>
      <c r="I14" s="38">
        <f>'2019C Academic'!J14</f>
        <v>148744.45891</v>
      </c>
      <c r="J14" s="38">
        <f t="shared" si="1"/>
        <v>148744.45891</v>
      </c>
      <c r="K14" s="38">
        <f>'2019C Academic'!L14</f>
        <v>75374.27325180001</v>
      </c>
      <c r="L14" s="38">
        <f>'2019C Academic'!M14</f>
        <v>1381.9662947000002</v>
      </c>
      <c r="N14" s="38"/>
      <c r="O14" s="37">
        <f t="shared" si="2"/>
        <v>889155.5410900001</v>
      </c>
      <c r="P14" s="5">
        <f t="shared" si="3"/>
        <v>889155.5410900001</v>
      </c>
      <c r="Q14" s="37">
        <f t="shared" si="4"/>
        <v>450567.7267482</v>
      </c>
      <c r="R14" s="37">
        <f t="shared" si="5"/>
        <v>8260.608449</v>
      </c>
      <c r="T14" s="38"/>
      <c r="U14" s="38">
        <f t="shared" si="6"/>
        <v>17624.5799</v>
      </c>
      <c r="V14" s="5">
        <f t="shared" si="7"/>
        <v>17624.5799</v>
      </c>
      <c r="W14" s="38">
        <f t="shared" si="8"/>
        <v>8931.021102</v>
      </c>
      <c r="X14" s="38">
        <f t="shared" si="9"/>
        <v>163.747783</v>
      </c>
      <c r="AA14" s="38">
        <f t="shared" si="10"/>
        <v>4197.68276</v>
      </c>
      <c r="AB14" s="38">
        <f t="shared" si="11"/>
        <v>4197.68276</v>
      </c>
      <c r="AC14" s="38">
        <f t="shared" si="12"/>
        <v>2127.1198248</v>
      </c>
      <c r="AD14" s="38">
        <f t="shared" si="13"/>
        <v>39.0001492</v>
      </c>
      <c r="AG14" s="5">
        <f t="shared" si="14"/>
        <v>1033.95598</v>
      </c>
      <c r="AH14" s="5">
        <f t="shared" si="15"/>
        <v>1033.95598</v>
      </c>
      <c r="AI14" s="38">
        <f t="shared" si="16"/>
        <v>523.9434204</v>
      </c>
      <c r="AJ14" s="38">
        <f t="shared" si="17"/>
        <v>9.6063566</v>
      </c>
      <c r="AM14" s="5">
        <f t="shared" si="18"/>
        <v>37.77956</v>
      </c>
      <c r="AN14" s="5">
        <f t="shared" si="19"/>
        <v>37.77956</v>
      </c>
      <c r="AO14" s="38">
        <f t="shared" si="20"/>
        <v>19.144288799999998</v>
      </c>
      <c r="AP14" s="38"/>
      <c r="AR14" s="38"/>
      <c r="AS14" s="38">
        <f t="shared" si="21"/>
        <v>4.1516</v>
      </c>
      <c r="AT14" s="5">
        <f t="shared" si="22"/>
        <v>4.1516</v>
      </c>
      <c r="AU14" s="38">
        <f t="shared" si="23"/>
        <v>2.103768</v>
      </c>
      <c r="AV14" s="38"/>
      <c r="AX14" s="38"/>
      <c r="AY14" s="38">
        <f t="shared" si="24"/>
        <v>53649.673740000006</v>
      </c>
      <c r="AZ14" s="5">
        <f t="shared" si="25"/>
        <v>53649.673740000006</v>
      </c>
      <c r="BA14" s="38">
        <f t="shared" si="26"/>
        <v>27186.257545200002</v>
      </c>
      <c r="BB14" s="38">
        <f t="shared" si="27"/>
        <v>498.45245580000005</v>
      </c>
      <c r="BC14" s="5"/>
      <c r="BD14" s="38"/>
      <c r="BE14" s="38">
        <f t="shared" si="28"/>
        <v>644.5359</v>
      </c>
      <c r="BF14" s="5">
        <f t="shared" si="29"/>
        <v>644.5359</v>
      </c>
      <c r="BG14" s="38">
        <f t="shared" si="30"/>
        <v>326.609982</v>
      </c>
      <c r="BH14" s="38">
        <f t="shared" si="31"/>
        <v>5.988303</v>
      </c>
      <c r="BI14" s="5"/>
      <c r="BJ14" s="38"/>
      <c r="BK14" s="38">
        <f t="shared" si="32"/>
        <v>752.16613</v>
      </c>
      <c r="BL14" s="5">
        <f t="shared" si="33"/>
        <v>752.16613</v>
      </c>
      <c r="BM14" s="38">
        <f t="shared" si="34"/>
        <v>381.1501674</v>
      </c>
      <c r="BN14" s="38">
        <f t="shared" si="35"/>
        <v>6.9882821</v>
      </c>
      <c r="BO14" s="5"/>
      <c r="BP14" s="38"/>
      <c r="BQ14" s="38">
        <f t="shared" si="36"/>
        <v>3.84023</v>
      </c>
      <c r="BR14" s="5">
        <f t="shared" si="37"/>
        <v>3.84023</v>
      </c>
      <c r="BS14" s="38">
        <f t="shared" si="38"/>
        <v>1.9459854</v>
      </c>
      <c r="BT14" s="38"/>
      <c r="BU14" s="5"/>
      <c r="BV14" s="38"/>
      <c r="BW14" s="38">
        <f t="shared" si="39"/>
        <v>3981.90335</v>
      </c>
      <c r="BX14" s="5">
        <f t="shared" si="40"/>
        <v>3981.90335</v>
      </c>
      <c r="BY14" s="38">
        <f t="shared" si="41"/>
        <v>2017.776483</v>
      </c>
      <c r="BZ14" s="38">
        <f t="shared" si="42"/>
        <v>36.9953695</v>
      </c>
      <c r="CA14" s="5"/>
      <c r="CB14" s="5"/>
      <c r="CC14" s="5">
        <f t="shared" si="43"/>
        <v>2272.6896300000003</v>
      </c>
      <c r="CD14" s="5">
        <f t="shared" si="44"/>
        <v>2272.6896300000003</v>
      </c>
      <c r="CE14" s="38">
        <f t="shared" si="45"/>
        <v>1151.6551974000001</v>
      </c>
      <c r="CF14" s="38">
        <f t="shared" si="46"/>
        <v>21.1152771</v>
      </c>
      <c r="CG14" s="5"/>
      <c r="CH14" s="38"/>
      <c r="CI14" s="38">
        <f t="shared" si="47"/>
        <v>25126.62489</v>
      </c>
      <c r="CJ14" s="5">
        <f t="shared" si="48"/>
        <v>25126.62489</v>
      </c>
      <c r="CK14" s="38">
        <f t="shared" si="49"/>
        <v>12732.5824722</v>
      </c>
      <c r="CL14" s="38">
        <f t="shared" si="50"/>
        <v>233.4483513</v>
      </c>
      <c r="CM14" s="5"/>
      <c r="CN14" s="38"/>
      <c r="CO14" s="38">
        <f t="shared" si="51"/>
        <v>184.22725</v>
      </c>
      <c r="CP14" s="5">
        <f t="shared" si="52"/>
        <v>184.22725</v>
      </c>
      <c r="CQ14" s="38">
        <f t="shared" si="53"/>
        <v>93.354705</v>
      </c>
      <c r="CR14" s="38">
        <f t="shared" si="54"/>
        <v>1.7116325000000001</v>
      </c>
      <c r="CS14" s="5"/>
      <c r="CT14" s="5"/>
      <c r="CU14" s="38">
        <f t="shared" si="55"/>
        <v>6587.5513</v>
      </c>
      <c r="CV14" s="38">
        <f t="shared" si="56"/>
        <v>6587.5513</v>
      </c>
      <c r="CW14" s="38">
        <f t="shared" si="57"/>
        <v>3338.153874</v>
      </c>
      <c r="CX14" s="38">
        <f t="shared" si="58"/>
        <v>61.204121</v>
      </c>
      <c r="CY14" s="5"/>
      <c r="CZ14" s="5"/>
      <c r="DA14" s="38">
        <f t="shared" si="59"/>
        <v>15516.39742</v>
      </c>
      <c r="DB14" s="38">
        <f t="shared" si="60"/>
        <v>15516.39742</v>
      </c>
      <c r="DC14" s="38">
        <f t="shared" si="61"/>
        <v>7862.7277116</v>
      </c>
      <c r="DD14" s="38">
        <f t="shared" si="62"/>
        <v>144.16092139999998</v>
      </c>
      <c r="DE14" s="5"/>
      <c r="DF14" s="38"/>
      <c r="DG14" s="38">
        <f t="shared" si="63"/>
        <v>6073.687010000001</v>
      </c>
      <c r="DH14" s="5">
        <f t="shared" si="64"/>
        <v>6073.687010000001</v>
      </c>
      <c r="DI14" s="38">
        <f t="shared" si="65"/>
        <v>3077.7599898</v>
      </c>
      <c r="DJ14" s="38">
        <f t="shared" si="66"/>
        <v>56.4298717</v>
      </c>
      <c r="DK14" s="5"/>
      <c r="DL14" s="5"/>
      <c r="DM14" s="38">
        <f t="shared" si="67"/>
        <v>7523.94468</v>
      </c>
      <c r="DN14" s="38">
        <f t="shared" si="68"/>
        <v>7523.94468</v>
      </c>
      <c r="DO14" s="38">
        <f t="shared" si="69"/>
        <v>3812.6587464</v>
      </c>
      <c r="DP14" s="38">
        <f t="shared" si="70"/>
        <v>69.9040356</v>
      </c>
      <c r="DQ14" s="5"/>
      <c r="DR14" s="5"/>
      <c r="DS14" s="5">
        <f t="shared" si="71"/>
        <v>870.2791500000001</v>
      </c>
      <c r="DT14" s="5">
        <f t="shared" si="72"/>
        <v>870.2791500000001</v>
      </c>
      <c r="DU14" s="38">
        <f t="shared" si="73"/>
        <v>441.00236700000005</v>
      </c>
      <c r="DV14" s="38">
        <f t="shared" si="74"/>
        <v>8.0856555</v>
      </c>
      <c r="DW14" s="5"/>
      <c r="DX14" s="38"/>
      <c r="DY14" s="38">
        <f t="shared" si="75"/>
        <v>91996.13472</v>
      </c>
      <c r="DZ14" s="5">
        <f t="shared" si="76"/>
        <v>91996.13472</v>
      </c>
      <c r="EA14" s="38">
        <f t="shared" si="77"/>
        <v>46617.8158656</v>
      </c>
      <c r="EB14" s="38">
        <f t="shared" si="78"/>
        <v>854.7246624</v>
      </c>
      <c r="EC14" s="5"/>
      <c r="ED14" s="38"/>
      <c r="EE14" s="38">
        <f t="shared" si="79"/>
        <v>87580.28538</v>
      </c>
      <c r="EF14" s="5">
        <f t="shared" si="80"/>
        <v>87580.28538</v>
      </c>
      <c r="EG14" s="38">
        <f t="shared" si="81"/>
        <v>44380.1430324</v>
      </c>
      <c r="EH14" s="38">
        <f t="shared" si="82"/>
        <v>813.6975546</v>
      </c>
      <c r="EI14" s="5"/>
      <c r="EJ14" s="38"/>
      <c r="EK14" s="38">
        <f t="shared" si="83"/>
        <v>2076.42274</v>
      </c>
      <c r="EL14" s="5">
        <f t="shared" si="84"/>
        <v>2076.42274</v>
      </c>
      <c r="EM14" s="38">
        <f t="shared" si="85"/>
        <v>1052.1995652</v>
      </c>
      <c r="EN14" s="38">
        <f t="shared" si="86"/>
        <v>19.2917858</v>
      </c>
      <c r="EO14" s="5"/>
      <c r="EP14" s="38"/>
      <c r="EQ14" s="38">
        <f t="shared" si="87"/>
        <v>148768.4344</v>
      </c>
      <c r="ER14" s="5">
        <f t="shared" si="88"/>
        <v>148768.4344</v>
      </c>
      <c r="ES14" s="38">
        <f t="shared" si="89"/>
        <v>75386.42251199999</v>
      </c>
      <c r="ET14" s="38">
        <f t="shared" si="90"/>
        <v>1382.189048</v>
      </c>
      <c r="EU14" s="5"/>
      <c r="EV14" s="38"/>
      <c r="EW14" s="38">
        <f t="shared" si="91"/>
        <v>191303.54841000002</v>
      </c>
      <c r="EX14" s="5">
        <f t="shared" si="92"/>
        <v>191303.54841000002</v>
      </c>
      <c r="EY14" s="38">
        <f t="shared" si="93"/>
        <v>96940.52496180001</v>
      </c>
      <c r="EZ14" s="38">
        <f t="shared" si="94"/>
        <v>1777.3775097</v>
      </c>
      <c r="FA14" s="5"/>
      <c r="FB14" s="5"/>
      <c r="FC14" s="38">
        <f t="shared" si="95"/>
        <v>5969.17048</v>
      </c>
      <c r="FD14" s="38">
        <f t="shared" si="96"/>
        <v>5969.17048</v>
      </c>
      <c r="FE14" s="38">
        <f t="shared" si="97"/>
        <v>3024.7976304</v>
      </c>
      <c r="FF14" s="38">
        <f t="shared" si="98"/>
        <v>55.4588216</v>
      </c>
      <c r="FG14" s="5"/>
      <c r="FH14" s="5"/>
      <c r="FI14" s="38">
        <f t="shared" si="99"/>
        <v>16367.57921</v>
      </c>
      <c r="FJ14" s="38">
        <f t="shared" si="100"/>
        <v>16367.57921</v>
      </c>
      <c r="FK14" s="38">
        <f t="shared" si="101"/>
        <v>8294.0527458</v>
      </c>
      <c r="FL14" s="38">
        <f t="shared" si="102"/>
        <v>152.0691457</v>
      </c>
      <c r="FM14" s="5"/>
      <c r="FN14" s="38"/>
      <c r="FO14" s="38">
        <f t="shared" si="103"/>
        <v>115533.73470999999</v>
      </c>
      <c r="FP14" s="5">
        <f t="shared" si="104"/>
        <v>115533.73470999999</v>
      </c>
      <c r="FQ14" s="38">
        <f t="shared" si="105"/>
        <v>58545.1811358</v>
      </c>
      <c r="FR14" s="38">
        <f t="shared" si="106"/>
        <v>1073.4095806999999</v>
      </c>
      <c r="FS14" s="5"/>
      <c r="FT14" s="38"/>
      <c r="FU14" s="38">
        <f t="shared" si="107"/>
        <v>83474.56056</v>
      </c>
      <c r="FV14" s="5">
        <f t="shared" si="108"/>
        <v>83474.56056</v>
      </c>
      <c r="FW14" s="38">
        <f t="shared" si="109"/>
        <v>42299.6216688</v>
      </c>
      <c r="FX14" s="38">
        <f t="shared" si="110"/>
        <v>775.5517752</v>
      </c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</row>
    <row r="15" spans="1:223" ht="12.75">
      <c r="A15" s="40">
        <v>45383</v>
      </c>
      <c r="B15" s="3">
        <v>5480000</v>
      </c>
      <c r="C15" s="3">
        <v>1037900</v>
      </c>
      <c r="D15" s="37">
        <f t="shared" si="0"/>
        <v>6517900</v>
      </c>
      <c r="E15" s="37">
        <v>525942</v>
      </c>
      <c r="F15" s="37">
        <v>9643</v>
      </c>
      <c r="H15" s="38">
        <f>'2019C Academic'!I15</f>
        <v>785354.6920000002</v>
      </c>
      <c r="I15" s="38">
        <f>'2019C Academic'!J15</f>
        <v>148744.45891</v>
      </c>
      <c r="J15" s="38">
        <f t="shared" si="1"/>
        <v>934099.1509100001</v>
      </c>
      <c r="K15" s="38">
        <f>'2019C Academic'!L15</f>
        <v>75374.27325180001</v>
      </c>
      <c r="L15" s="38">
        <f>'2019C Academic'!M15</f>
        <v>1381.9662947000002</v>
      </c>
      <c r="N15" s="38">
        <f>T15+Z15+AF15+AR15+AX15+BD15+BV15+CB15+CH15+CT15+DF15+DL15+DR15+DX15+ED15+EJ15+EP15+EV15+FB15+FH15+FN15+FT15+FZ15+AL15+BJ15+CN15+CZ15+BP15</f>
        <v>4694645.308</v>
      </c>
      <c r="O15" s="37">
        <f t="shared" si="2"/>
        <v>889155.5410900001</v>
      </c>
      <c r="P15" s="5">
        <f t="shared" si="3"/>
        <v>5583800.849090001</v>
      </c>
      <c r="Q15" s="37">
        <f t="shared" si="4"/>
        <v>450567.7267482</v>
      </c>
      <c r="R15" s="37">
        <f t="shared" si="5"/>
        <v>8260.608449</v>
      </c>
      <c r="T15" s="38">
        <f t="shared" si="111"/>
        <v>93055.88</v>
      </c>
      <c r="U15" s="38">
        <f t="shared" si="6"/>
        <v>17624.5799</v>
      </c>
      <c r="V15" s="5">
        <f t="shared" si="7"/>
        <v>110680.4599</v>
      </c>
      <c r="W15" s="38">
        <f t="shared" si="8"/>
        <v>8931.021102</v>
      </c>
      <c r="X15" s="38">
        <f t="shared" si="9"/>
        <v>163.747783</v>
      </c>
      <c r="Z15" s="5">
        <f t="shared" si="112"/>
        <v>22163.312</v>
      </c>
      <c r="AA15" s="38">
        <f t="shared" si="10"/>
        <v>4197.68276</v>
      </c>
      <c r="AB15" s="38">
        <f t="shared" si="11"/>
        <v>26360.99476</v>
      </c>
      <c r="AC15" s="38">
        <f t="shared" si="12"/>
        <v>2127.1198248</v>
      </c>
      <c r="AD15" s="38">
        <f t="shared" si="13"/>
        <v>39.0001492</v>
      </c>
      <c r="AF15" s="5">
        <f t="shared" si="113"/>
        <v>5459.176</v>
      </c>
      <c r="AG15" s="5">
        <f t="shared" si="14"/>
        <v>1033.95598</v>
      </c>
      <c r="AH15" s="5">
        <f t="shared" si="15"/>
        <v>6493.13198</v>
      </c>
      <c r="AI15" s="38">
        <f t="shared" si="16"/>
        <v>523.9434204</v>
      </c>
      <c r="AJ15" s="38">
        <f t="shared" si="17"/>
        <v>9.6063566</v>
      </c>
      <c r="AL15" s="5">
        <f t="shared" si="114"/>
        <v>199.47199999999998</v>
      </c>
      <c r="AM15" s="5">
        <f t="shared" si="18"/>
        <v>37.77956</v>
      </c>
      <c r="AN15" s="5">
        <f t="shared" si="19"/>
        <v>237.25155999999998</v>
      </c>
      <c r="AO15" s="38">
        <f t="shared" si="20"/>
        <v>19.144288799999998</v>
      </c>
      <c r="AP15" s="38"/>
      <c r="AR15" s="38">
        <f t="shared" si="115"/>
        <v>21.919999999999998</v>
      </c>
      <c r="AS15" s="38">
        <f t="shared" si="21"/>
        <v>4.1516</v>
      </c>
      <c r="AT15" s="5">
        <f t="shared" si="22"/>
        <v>26.071599999999997</v>
      </c>
      <c r="AU15" s="38">
        <f t="shared" si="23"/>
        <v>2.103768</v>
      </c>
      <c r="AV15" s="38"/>
      <c r="AX15" s="38">
        <f t="shared" si="116"/>
        <v>283264.488</v>
      </c>
      <c r="AY15" s="38">
        <f t="shared" si="24"/>
        <v>53649.673740000006</v>
      </c>
      <c r="AZ15" s="5">
        <f t="shared" si="25"/>
        <v>336914.16174</v>
      </c>
      <c r="BA15" s="38">
        <f t="shared" si="26"/>
        <v>27186.257545200002</v>
      </c>
      <c r="BB15" s="38">
        <f t="shared" si="27"/>
        <v>498.45245580000005</v>
      </c>
      <c r="BC15" s="5"/>
      <c r="BD15" s="38">
        <f t="shared" si="117"/>
        <v>3403.08</v>
      </c>
      <c r="BE15" s="38">
        <f t="shared" si="28"/>
        <v>644.5359</v>
      </c>
      <c r="BF15" s="5">
        <f t="shared" si="29"/>
        <v>4047.6159</v>
      </c>
      <c r="BG15" s="38">
        <f t="shared" si="30"/>
        <v>326.609982</v>
      </c>
      <c r="BH15" s="38">
        <f t="shared" si="31"/>
        <v>5.988303</v>
      </c>
      <c r="BI15" s="5"/>
      <c r="BJ15" s="38">
        <f t="shared" si="118"/>
        <v>3971.3559999999998</v>
      </c>
      <c r="BK15" s="38">
        <f t="shared" si="32"/>
        <v>752.16613</v>
      </c>
      <c r="BL15" s="5">
        <f t="shared" si="33"/>
        <v>4723.522129999999</v>
      </c>
      <c r="BM15" s="38">
        <f t="shared" si="34"/>
        <v>381.1501674</v>
      </c>
      <c r="BN15" s="38">
        <f t="shared" si="35"/>
        <v>6.9882821</v>
      </c>
      <c r="BO15" s="5"/>
      <c r="BP15" s="38">
        <f>B15*$BQ$6</f>
        <v>20.276</v>
      </c>
      <c r="BQ15" s="38">
        <f t="shared" si="36"/>
        <v>3.84023</v>
      </c>
      <c r="BR15" s="5">
        <f t="shared" si="37"/>
        <v>24.11623</v>
      </c>
      <c r="BS15" s="38">
        <f t="shared" si="38"/>
        <v>1.9459854</v>
      </c>
      <c r="BT15" s="38"/>
      <c r="BU15" s="5"/>
      <c r="BV15" s="38">
        <f t="shared" si="119"/>
        <v>21024.02</v>
      </c>
      <c r="BW15" s="38">
        <f t="shared" si="39"/>
        <v>3981.90335</v>
      </c>
      <c r="BX15" s="5">
        <f t="shared" si="40"/>
        <v>25005.92335</v>
      </c>
      <c r="BY15" s="38">
        <f t="shared" si="41"/>
        <v>2017.776483</v>
      </c>
      <c r="BZ15" s="38">
        <f t="shared" si="42"/>
        <v>36.9953695</v>
      </c>
      <c r="CA15" s="5"/>
      <c r="CB15" s="5">
        <f t="shared" si="120"/>
        <v>11999.556</v>
      </c>
      <c r="CC15" s="5">
        <f t="shared" si="43"/>
        <v>2272.6896300000003</v>
      </c>
      <c r="CD15" s="5">
        <f t="shared" si="44"/>
        <v>14272.245630000001</v>
      </c>
      <c r="CE15" s="38">
        <f t="shared" si="45"/>
        <v>1151.6551974000001</v>
      </c>
      <c r="CF15" s="38">
        <f t="shared" si="46"/>
        <v>21.1152771</v>
      </c>
      <c r="CG15" s="5"/>
      <c r="CH15" s="38">
        <f t="shared" si="121"/>
        <v>132665.86800000002</v>
      </c>
      <c r="CI15" s="38">
        <f t="shared" si="47"/>
        <v>25126.62489</v>
      </c>
      <c r="CJ15" s="5">
        <f t="shared" si="48"/>
        <v>157792.49289000002</v>
      </c>
      <c r="CK15" s="38">
        <f t="shared" si="49"/>
        <v>12732.5824722</v>
      </c>
      <c r="CL15" s="38">
        <f t="shared" si="50"/>
        <v>233.4483513</v>
      </c>
      <c r="CM15" s="5"/>
      <c r="CN15" s="38">
        <f t="shared" si="122"/>
        <v>972.7</v>
      </c>
      <c r="CO15" s="38">
        <f t="shared" si="51"/>
        <v>184.22725</v>
      </c>
      <c r="CP15" s="5">
        <f t="shared" si="52"/>
        <v>1156.92725</v>
      </c>
      <c r="CQ15" s="38">
        <f t="shared" si="53"/>
        <v>93.354705</v>
      </c>
      <c r="CR15" s="38">
        <f t="shared" si="54"/>
        <v>1.7116325000000001</v>
      </c>
      <c r="CS15" s="5"/>
      <c r="CT15" s="5">
        <f t="shared" si="123"/>
        <v>34781.56</v>
      </c>
      <c r="CU15" s="38">
        <f t="shared" si="55"/>
        <v>6587.5513</v>
      </c>
      <c r="CV15" s="38">
        <f t="shared" si="56"/>
        <v>41369.1113</v>
      </c>
      <c r="CW15" s="38">
        <f t="shared" si="57"/>
        <v>3338.153874</v>
      </c>
      <c r="CX15" s="38">
        <f t="shared" si="58"/>
        <v>61.204121</v>
      </c>
      <c r="CY15" s="5"/>
      <c r="CZ15" s="5">
        <f t="shared" si="124"/>
        <v>81924.904</v>
      </c>
      <c r="DA15" s="38">
        <f t="shared" si="59"/>
        <v>15516.39742</v>
      </c>
      <c r="DB15" s="38">
        <f t="shared" si="60"/>
        <v>97441.30141999999</v>
      </c>
      <c r="DC15" s="38">
        <f t="shared" si="61"/>
        <v>7862.7277116</v>
      </c>
      <c r="DD15" s="38">
        <f t="shared" si="62"/>
        <v>144.16092139999998</v>
      </c>
      <c r="DE15" s="5"/>
      <c r="DF15" s="38">
        <f t="shared" si="125"/>
        <v>32068.412</v>
      </c>
      <c r="DG15" s="38">
        <f t="shared" si="63"/>
        <v>6073.687010000001</v>
      </c>
      <c r="DH15" s="5">
        <f t="shared" si="64"/>
        <v>38142.09901</v>
      </c>
      <c r="DI15" s="38">
        <f t="shared" si="65"/>
        <v>3077.7599898</v>
      </c>
      <c r="DJ15" s="38">
        <f t="shared" si="66"/>
        <v>56.4298717</v>
      </c>
      <c r="DK15" s="5"/>
      <c r="DL15" s="5">
        <f t="shared" si="126"/>
        <v>39725.616</v>
      </c>
      <c r="DM15" s="38">
        <f t="shared" si="67"/>
        <v>7523.94468</v>
      </c>
      <c r="DN15" s="38">
        <f t="shared" si="68"/>
        <v>47249.56068</v>
      </c>
      <c r="DO15" s="38">
        <f t="shared" si="69"/>
        <v>3812.6587464</v>
      </c>
      <c r="DP15" s="38">
        <f t="shared" si="70"/>
        <v>69.9040356</v>
      </c>
      <c r="DQ15" s="5"/>
      <c r="DR15" s="5">
        <f t="shared" si="127"/>
        <v>4594.9800000000005</v>
      </c>
      <c r="DS15" s="5">
        <f t="shared" si="71"/>
        <v>870.2791500000001</v>
      </c>
      <c r="DT15" s="5">
        <f t="shared" si="72"/>
        <v>5465.259150000001</v>
      </c>
      <c r="DU15" s="38">
        <f t="shared" si="73"/>
        <v>441.00236700000005</v>
      </c>
      <c r="DV15" s="38">
        <f t="shared" si="74"/>
        <v>8.0856555</v>
      </c>
      <c r="DW15" s="5"/>
      <c r="DX15" s="38">
        <f t="shared" si="128"/>
        <v>485729.664</v>
      </c>
      <c r="DY15" s="38">
        <f t="shared" si="75"/>
        <v>91996.13472</v>
      </c>
      <c r="DZ15" s="5">
        <f t="shared" si="76"/>
        <v>577725.79872</v>
      </c>
      <c r="EA15" s="38">
        <f t="shared" si="77"/>
        <v>46617.8158656</v>
      </c>
      <c r="EB15" s="38">
        <f t="shared" si="78"/>
        <v>854.7246624</v>
      </c>
      <c r="EC15" s="5"/>
      <c r="ED15" s="38">
        <f t="shared" si="129"/>
        <v>462414.456</v>
      </c>
      <c r="EE15" s="38">
        <f t="shared" si="79"/>
        <v>87580.28538</v>
      </c>
      <c r="EF15" s="5">
        <f t="shared" si="80"/>
        <v>549994.74138</v>
      </c>
      <c r="EG15" s="38">
        <f t="shared" si="81"/>
        <v>44380.1430324</v>
      </c>
      <c r="EH15" s="38">
        <f t="shared" si="82"/>
        <v>813.6975546</v>
      </c>
      <c r="EI15" s="5"/>
      <c r="EJ15" s="38">
        <f t="shared" si="130"/>
        <v>10963.288</v>
      </c>
      <c r="EK15" s="38">
        <f t="shared" si="83"/>
        <v>2076.42274</v>
      </c>
      <c r="EL15" s="5">
        <f t="shared" si="84"/>
        <v>13039.71074</v>
      </c>
      <c r="EM15" s="38">
        <f t="shared" si="85"/>
        <v>1052.1995652</v>
      </c>
      <c r="EN15" s="38">
        <f t="shared" si="86"/>
        <v>19.2917858</v>
      </c>
      <c r="EO15" s="5"/>
      <c r="EP15" s="38">
        <f t="shared" si="131"/>
        <v>785481.2799999999</v>
      </c>
      <c r="EQ15" s="38">
        <f t="shared" si="87"/>
        <v>148768.4344</v>
      </c>
      <c r="ER15" s="5">
        <f t="shared" si="88"/>
        <v>934249.7143999999</v>
      </c>
      <c r="ES15" s="38">
        <f t="shared" si="89"/>
        <v>75386.42251199999</v>
      </c>
      <c r="ET15" s="38">
        <f t="shared" si="90"/>
        <v>1382.189048</v>
      </c>
      <c r="EU15" s="5"/>
      <c r="EV15" s="38">
        <f t="shared" si="132"/>
        <v>1010062.0920000001</v>
      </c>
      <c r="EW15" s="38">
        <f t="shared" si="91"/>
        <v>191303.54841000002</v>
      </c>
      <c r="EX15" s="5">
        <f t="shared" si="92"/>
        <v>1201365.64041</v>
      </c>
      <c r="EY15" s="38">
        <f t="shared" si="93"/>
        <v>96940.52496180001</v>
      </c>
      <c r="EZ15" s="38">
        <f t="shared" si="94"/>
        <v>1777.3775097</v>
      </c>
      <c r="FA15" s="5"/>
      <c r="FB15" s="5">
        <f t="shared" si="133"/>
        <v>31516.575999999997</v>
      </c>
      <c r="FC15" s="38">
        <f t="shared" si="95"/>
        <v>5969.17048</v>
      </c>
      <c r="FD15" s="38">
        <f t="shared" si="96"/>
        <v>37485.746479999994</v>
      </c>
      <c r="FE15" s="38">
        <f t="shared" si="97"/>
        <v>3024.7976304</v>
      </c>
      <c r="FF15" s="38">
        <f t="shared" si="98"/>
        <v>55.4588216</v>
      </c>
      <c r="FG15" s="5"/>
      <c r="FH15" s="5">
        <f t="shared" si="134"/>
        <v>86419.052</v>
      </c>
      <c r="FI15" s="38">
        <f t="shared" si="99"/>
        <v>16367.57921</v>
      </c>
      <c r="FJ15" s="38">
        <f t="shared" si="100"/>
        <v>102786.63120999999</v>
      </c>
      <c r="FK15" s="38">
        <f t="shared" si="101"/>
        <v>8294.0527458</v>
      </c>
      <c r="FL15" s="38">
        <f t="shared" si="102"/>
        <v>152.0691457</v>
      </c>
      <c r="FM15" s="5"/>
      <c r="FN15" s="38">
        <f t="shared" si="135"/>
        <v>610005.652</v>
      </c>
      <c r="FO15" s="38">
        <f t="shared" si="103"/>
        <v>115533.73470999999</v>
      </c>
      <c r="FP15" s="5">
        <f t="shared" si="104"/>
        <v>725539.38671</v>
      </c>
      <c r="FQ15" s="38">
        <f t="shared" si="105"/>
        <v>58545.1811358</v>
      </c>
      <c r="FR15" s="38">
        <f t="shared" si="106"/>
        <v>1073.4095806999999</v>
      </c>
      <c r="FS15" s="5"/>
      <c r="FT15" s="38">
        <f t="shared" si="136"/>
        <v>440736.67199999996</v>
      </c>
      <c r="FU15" s="38">
        <f t="shared" si="107"/>
        <v>83474.56056</v>
      </c>
      <c r="FV15" s="5">
        <f t="shared" si="108"/>
        <v>524211.23256</v>
      </c>
      <c r="FW15" s="38">
        <f t="shared" si="109"/>
        <v>42299.6216688</v>
      </c>
      <c r="FX15" s="38">
        <f t="shared" si="110"/>
        <v>775.5517752</v>
      </c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</row>
    <row r="16" spans="1:223" ht="12.75">
      <c r="A16" s="40">
        <v>45566</v>
      </c>
      <c r="C16" s="3">
        <v>928300</v>
      </c>
      <c r="D16" s="37">
        <f t="shared" si="0"/>
        <v>928300</v>
      </c>
      <c r="E16" s="37">
        <v>525942</v>
      </c>
      <c r="F16" s="37">
        <v>9643</v>
      </c>
      <c r="H16" s="38">
        <f>'2019C Academic'!I16</f>
        <v>0</v>
      </c>
      <c r="I16" s="38">
        <f>'2019C Academic'!J16</f>
        <v>133037.36507000003</v>
      </c>
      <c r="J16" s="38">
        <f t="shared" si="1"/>
        <v>133037.36507000003</v>
      </c>
      <c r="K16" s="38">
        <f>'2019C Academic'!L16</f>
        <v>75374.27325180001</v>
      </c>
      <c r="L16" s="38">
        <f>'2019C Academic'!M16</f>
        <v>1381.9662947000002</v>
      </c>
      <c r="N16" s="38"/>
      <c r="O16" s="37">
        <f t="shared" si="2"/>
        <v>795262.63493</v>
      </c>
      <c r="P16" s="5">
        <f t="shared" si="3"/>
        <v>795262.63493</v>
      </c>
      <c r="Q16" s="37">
        <f t="shared" si="4"/>
        <v>450567.7267482</v>
      </c>
      <c r="R16" s="37">
        <f t="shared" si="5"/>
        <v>8260.608449</v>
      </c>
      <c r="T16" s="38"/>
      <c r="U16" s="38">
        <f t="shared" si="6"/>
        <v>15763.4623</v>
      </c>
      <c r="V16" s="5">
        <f t="shared" si="7"/>
        <v>15763.4623</v>
      </c>
      <c r="W16" s="38">
        <f t="shared" si="8"/>
        <v>8931.021102</v>
      </c>
      <c r="X16" s="38">
        <f t="shared" si="9"/>
        <v>163.747783</v>
      </c>
      <c r="AA16" s="38">
        <f t="shared" si="10"/>
        <v>3754.41652</v>
      </c>
      <c r="AB16" s="38">
        <f t="shared" si="11"/>
        <v>3754.41652</v>
      </c>
      <c r="AC16" s="38">
        <f t="shared" si="12"/>
        <v>2127.1198248</v>
      </c>
      <c r="AD16" s="38">
        <f t="shared" si="13"/>
        <v>39.0001492</v>
      </c>
      <c r="AG16" s="5">
        <f t="shared" si="14"/>
        <v>924.77246</v>
      </c>
      <c r="AH16" s="5">
        <f t="shared" si="15"/>
        <v>924.77246</v>
      </c>
      <c r="AI16" s="38">
        <f t="shared" si="16"/>
        <v>523.9434204</v>
      </c>
      <c r="AJ16" s="38">
        <f t="shared" si="17"/>
        <v>9.6063566</v>
      </c>
      <c r="AM16" s="5">
        <f t="shared" si="18"/>
        <v>33.790119999999995</v>
      </c>
      <c r="AN16" s="5">
        <f t="shared" si="19"/>
        <v>33.790119999999995</v>
      </c>
      <c r="AO16" s="38">
        <f t="shared" si="20"/>
        <v>19.144288799999998</v>
      </c>
      <c r="AP16" s="38"/>
      <c r="AR16" s="38"/>
      <c r="AS16" s="38">
        <f t="shared" si="21"/>
        <v>3.7131999999999996</v>
      </c>
      <c r="AT16" s="5">
        <f t="shared" si="22"/>
        <v>3.7131999999999996</v>
      </c>
      <c r="AU16" s="38">
        <f t="shared" si="23"/>
        <v>2.103768</v>
      </c>
      <c r="AV16" s="38"/>
      <c r="AX16" s="38"/>
      <c r="AY16" s="38">
        <f t="shared" si="24"/>
        <v>47984.383980000006</v>
      </c>
      <c r="AZ16" s="5">
        <f t="shared" si="25"/>
        <v>47984.383980000006</v>
      </c>
      <c r="BA16" s="38">
        <f t="shared" si="26"/>
        <v>27186.257545200002</v>
      </c>
      <c r="BB16" s="38">
        <f t="shared" si="27"/>
        <v>498.45245580000005</v>
      </c>
      <c r="BC16" s="5"/>
      <c r="BD16" s="38"/>
      <c r="BE16" s="38">
        <f t="shared" si="28"/>
        <v>576.4743</v>
      </c>
      <c r="BF16" s="5">
        <f t="shared" si="29"/>
        <v>576.4743</v>
      </c>
      <c r="BG16" s="38">
        <f t="shared" si="30"/>
        <v>326.609982</v>
      </c>
      <c r="BH16" s="38">
        <f t="shared" si="31"/>
        <v>5.988303</v>
      </c>
      <c r="BI16" s="5"/>
      <c r="BJ16" s="38"/>
      <c r="BK16" s="38">
        <f t="shared" si="32"/>
        <v>672.73901</v>
      </c>
      <c r="BL16" s="5">
        <f t="shared" si="33"/>
        <v>672.73901</v>
      </c>
      <c r="BM16" s="38">
        <f t="shared" si="34"/>
        <v>381.1501674</v>
      </c>
      <c r="BN16" s="38">
        <f t="shared" si="35"/>
        <v>6.9882821</v>
      </c>
      <c r="BO16" s="5"/>
      <c r="BP16" s="38"/>
      <c r="BQ16" s="38">
        <f t="shared" si="36"/>
        <v>3.43471</v>
      </c>
      <c r="BR16" s="5">
        <f t="shared" si="37"/>
        <v>3.43471</v>
      </c>
      <c r="BS16" s="38">
        <f t="shared" si="38"/>
        <v>1.9459854</v>
      </c>
      <c r="BT16" s="38"/>
      <c r="BU16" s="5"/>
      <c r="BV16" s="38"/>
      <c r="BW16" s="38">
        <f t="shared" si="39"/>
        <v>3561.42295</v>
      </c>
      <c r="BX16" s="5">
        <f t="shared" si="40"/>
        <v>3561.42295</v>
      </c>
      <c r="BY16" s="38">
        <f t="shared" si="41"/>
        <v>2017.776483</v>
      </c>
      <c r="BZ16" s="38">
        <f t="shared" si="42"/>
        <v>36.9953695</v>
      </c>
      <c r="CA16" s="5"/>
      <c r="CB16" s="5"/>
      <c r="CC16" s="5">
        <f t="shared" si="43"/>
        <v>2032.6985100000002</v>
      </c>
      <c r="CD16" s="5">
        <f t="shared" si="44"/>
        <v>2032.6985100000002</v>
      </c>
      <c r="CE16" s="38">
        <f t="shared" si="45"/>
        <v>1151.6551974000001</v>
      </c>
      <c r="CF16" s="38">
        <f t="shared" si="46"/>
        <v>21.1152771</v>
      </c>
      <c r="CG16" s="5"/>
      <c r="CH16" s="38"/>
      <c r="CI16" s="38">
        <f t="shared" si="47"/>
        <v>22473.307530000002</v>
      </c>
      <c r="CJ16" s="5">
        <f t="shared" si="48"/>
        <v>22473.307530000002</v>
      </c>
      <c r="CK16" s="38">
        <f t="shared" si="49"/>
        <v>12732.5824722</v>
      </c>
      <c r="CL16" s="38">
        <f t="shared" si="50"/>
        <v>233.4483513</v>
      </c>
      <c r="CM16" s="5"/>
      <c r="CN16" s="38"/>
      <c r="CO16" s="38">
        <f t="shared" si="51"/>
        <v>164.77325000000002</v>
      </c>
      <c r="CP16" s="5">
        <f t="shared" si="52"/>
        <v>164.77325000000002</v>
      </c>
      <c r="CQ16" s="38">
        <f t="shared" si="53"/>
        <v>93.354705</v>
      </c>
      <c r="CR16" s="38">
        <f t="shared" si="54"/>
        <v>1.7116325000000001</v>
      </c>
      <c r="CS16" s="5"/>
      <c r="CT16" s="5"/>
      <c r="CU16" s="38">
        <f t="shared" si="55"/>
        <v>5891.9201</v>
      </c>
      <c r="CV16" s="38">
        <f t="shared" si="56"/>
        <v>5891.9201</v>
      </c>
      <c r="CW16" s="38">
        <f t="shared" si="57"/>
        <v>3338.153874</v>
      </c>
      <c r="CX16" s="38">
        <f t="shared" si="58"/>
        <v>61.204121</v>
      </c>
      <c r="CY16" s="5"/>
      <c r="CZ16" s="5"/>
      <c r="DA16" s="38">
        <f t="shared" si="59"/>
        <v>13877.89934</v>
      </c>
      <c r="DB16" s="38">
        <f t="shared" si="60"/>
        <v>13877.89934</v>
      </c>
      <c r="DC16" s="38">
        <f t="shared" si="61"/>
        <v>7862.7277116</v>
      </c>
      <c r="DD16" s="38">
        <f t="shared" si="62"/>
        <v>144.16092139999998</v>
      </c>
      <c r="DE16" s="5"/>
      <c r="DF16" s="38"/>
      <c r="DG16" s="38">
        <f t="shared" si="63"/>
        <v>5432.31877</v>
      </c>
      <c r="DH16" s="5">
        <f t="shared" si="64"/>
        <v>5432.31877</v>
      </c>
      <c r="DI16" s="38">
        <f t="shared" si="65"/>
        <v>3077.7599898</v>
      </c>
      <c r="DJ16" s="38">
        <f t="shared" si="66"/>
        <v>56.4298717</v>
      </c>
      <c r="DK16" s="5"/>
      <c r="DL16" s="5"/>
      <c r="DM16" s="38">
        <f t="shared" si="67"/>
        <v>6729.43236</v>
      </c>
      <c r="DN16" s="38">
        <f t="shared" si="68"/>
        <v>6729.43236</v>
      </c>
      <c r="DO16" s="38">
        <f t="shared" si="69"/>
        <v>3812.6587464</v>
      </c>
      <c r="DP16" s="38">
        <f t="shared" si="70"/>
        <v>69.9040356</v>
      </c>
      <c r="DQ16" s="5"/>
      <c r="DR16" s="5"/>
      <c r="DS16" s="5">
        <f t="shared" si="71"/>
        <v>778.37955</v>
      </c>
      <c r="DT16" s="5">
        <f t="shared" si="72"/>
        <v>778.37955</v>
      </c>
      <c r="DU16" s="38">
        <f t="shared" si="73"/>
        <v>441.00236700000005</v>
      </c>
      <c r="DV16" s="38">
        <f t="shared" si="74"/>
        <v>8.0856555</v>
      </c>
      <c r="DW16" s="5"/>
      <c r="DX16" s="38"/>
      <c r="DY16" s="38">
        <f t="shared" si="75"/>
        <v>82281.54144</v>
      </c>
      <c r="DZ16" s="5">
        <f t="shared" si="76"/>
        <v>82281.54144</v>
      </c>
      <c r="EA16" s="38">
        <f t="shared" si="77"/>
        <v>46617.8158656</v>
      </c>
      <c r="EB16" s="38">
        <f t="shared" si="78"/>
        <v>854.7246624</v>
      </c>
      <c r="EC16" s="5"/>
      <c r="ED16" s="38"/>
      <c r="EE16" s="38">
        <f t="shared" si="79"/>
        <v>78331.99626</v>
      </c>
      <c r="EF16" s="5">
        <f t="shared" si="80"/>
        <v>78331.99626</v>
      </c>
      <c r="EG16" s="38">
        <f t="shared" si="81"/>
        <v>44380.1430324</v>
      </c>
      <c r="EH16" s="38">
        <f t="shared" si="82"/>
        <v>813.6975546</v>
      </c>
      <c r="EI16" s="5"/>
      <c r="EJ16" s="38"/>
      <c r="EK16" s="38">
        <f t="shared" si="83"/>
        <v>1857.15698</v>
      </c>
      <c r="EL16" s="5">
        <f t="shared" si="84"/>
        <v>1857.15698</v>
      </c>
      <c r="EM16" s="38">
        <f t="shared" si="85"/>
        <v>1052.1995652</v>
      </c>
      <c r="EN16" s="38">
        <f t="shared" si="86"/>
        <v>19.2917858</v>
      </c>
      <c r="EO16" s="5"/>
      <c r="EP16" s="38"/>
      <c r="EQ16" s="38">
        <f t="shared" si="87"/>
        <v>133058.8088</v>
      </c>
      <c r="ER16" s="5">
        <f t="shared" si="88"/>
        <v>133058.8088</v>
      </c>
      <c r="ES16" s="38">
        <f t="shared" si="89"/>
        <v>75386.42251199999</v>
      </c>
      <c r="ET16" s="38">
        <f t="shared" si="90"/>
        <v>1382.189048</v>
      </c>
      <c r="EU16" s="5"/>
      <c r="EV16" s="38"/>
      <c r="EW16" s="38">
        <f t="shared" si="91"/>
        <v>171102.30657000002</v>
      </c>
      <c r="EX16" s="5">
        <f t="shared" si="92"/>
        <v>171102.30657000002</v>
      </c>
      <c r="EY16" s="38">
        <f t="shared" si="93"/>
        <v>96940.52496180001</v>
      </c>
      <c r="EZ16" s="38">
        <f t="shared" si="94"/>
        <v>1777.3775097</v>
      </c>
      <c r="FA16" s="5"/>
      <c r="FB16" s="5"/>
      <c r="FC16" s="38">
        <f t="shared" si="95"/>
        <v>5338.83896</v>
      </c>
      <c r="FD16" s="38">
        <f t="shared" si="96"/>
        <v>5338.83896</v>
      </c>
      <c r="FE16" s="38">
        <f t="shared" si="97"/>
        <v>3024.7976304</v>
      </c>
      <c r="FF16" s="38">
        <f t="shared" si="98"/>
        <v>55.4588216</v>
      </c>
      <c r="FG16" s="5"/>
      <c r="FH16" s="5"/>
      <c r="FI16" s="38">
        <f t="shared" si="99"/>
        <v>14639.19817</v>
      </c>
      <c r="FJ16" s="38">
        <f t="shared" si="100"/>
        <v>14639.19817</v>
      </c>
      <c r="FK16" s="38">
        <f t="shared" si="101"/>
        <v>8294.0527458</v>
      </c>
      <c r="FL16" s="38">
        <f t="shared" si="102"/>
        <v>152.0691457</v>
      </c>
      <c r="FM16" s="5"/>
      <c r="FN16" s="38"/>
      <c r="FO16" s="38">
        <f t="shared" si="103"/>
        <v>103333.62167</v>
      </c>
      <c r="FP16" s="5">
        <f t="shared" si="104"/>
        <v>103333.62167</v>
      </c>
      <c r="FQ16" s="38">
        <f t="shared" si="105"/>
        <v>58545.1811358</v>
      </c>
      <c r="FR16" s="38">
        <f t="shared" si="106"/>
        <v>1073.4095806999999</v>
      </c>
      <c r="FS16" s="5"/>
      <c r="FT16" s="38"/>
      <c r="FU16" s="38">
        <f t="shared" si="107"/>
        <v>74659.82712</v>
      </c>
      <c r="FV16" s="5">
        <f t="shared" si="108"/>
        <v>74659.82712</v>
      </c>
      <c r="FW16" s="38">
        <f t="shared" si="109"/>
        <v>42299.6216688</v>
      </c>
      <c r="FX16" s="38">
        <f t="shared" si="110"/>
        <v>775.5517752</v>
      </c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</row>
    <row r="17" spans="1:223" ht="12.75">
      <c r="A17" s="40">
        <v>45748</v>
      </c>
      <c r="B17" s="3">
        <v>5690000</v>
      </c>
      <c r="C17" s="3">
        <v>928300</v>
      </c>
      <c r="D17" s="37">
        <f t="shared" si="0"/>
        <v>6618300</v>
      </c>
      <c r="E17" s="37">
        <v>525942</v>
      </c>
      <c r="F17" s="37">
        <v>9643</v>
      </c>
      <c r="H17" s="38">
        <f>'2019C Academic'!I17</f>
        <v>815450.401</v>
      </c>
      <c r="I17" s="38">
        <f>'2019C Academic'!J17</f>
        <v>133037.36507000003</v>
      </c>
      <c r="J17" s="38">
        <f t="shared" si="1"/>
        <v>948487.76607</v>
      </c>
      <c r="K17" s="38">
        <f>'2019C Academic'!L17</f>
        <v>75374.27325180001</v>
      </c>
      <c r="L17" s="38">
        <f>'2019C Academic'!M17</f>
        <v>1381.9662947000002</v>
      </c>
      <c r="N17" s="38">
        <f>T17+Z17+AF17+AR17+AX17+BD17+BV17+CB17+CH17+CT17+DF17+DL17+DR17+DX17+ED17+EJ17+EP17+EV17+FB17+FH17+FN17+FT17+FZ17+AL17+BJ17+CN17+CZ17+BP17</f>
        <v>4874549.599</v>
      </c>
      <c r="O17" s="37">
        <f t="shared" si="2"/>
        <v>795262.63493</v>
      </c>
      <c r="P17" s="5">
        <f t="shared" si="3"/>
        <v>5669812.23393</v>
      </c>
      <c r="Q17" s="37">
        <f t="shared" si="4"/>
        <v>450567.7267482</v>
      </c>
      <c r="R17" s="37">
        <f t="shared" si="5"/>
        <v>8260.608449</v>
      </c>
      <c r="T17" s="38">
        <f t="shared" si="111"/>
        <v>96621.89</v>
      </c>
      <c r="U17" s="38">
        <f t="shared" si="6"/>
        <v>15763.4623</v>
      </c>
      <c r="V17" s="5">
        <f t="shared" si="7"/>
        <v>112385.3523</v>
      </c>
      <c r="W17" s="38">
        <f t="shared" si="8"/>
        <v>8931.021102</v>
      </c>
      <c r="X17" s="38">
        <f t="shared" si="9"/>
        <v>163.747783</v>
      </c>
      <c r="Z17" s="5">
        <f t="shared" si="112"/>
        <v>23012.636000000002</v>
      </c>
      <c r="AA17" s="38">
        <f t="shared" si="10"/>
        <v>3754.41652</v>
      </c>
      <c r="AB17" s="38">
        <f t="shared" si="11"/>
        <v>26767.05252</v>
      </c>
      <c r="AC17" s="38">
        <f t="shared" si="12"/>
        <v>2127.1198248</v>
      </c>
      <c r="AD17" s="38">
        <f t="shared" si="13"/>
        <v>39.0001492</v>
      </c>
      <c r="AF17" s="5">
        <f t="shared" si="113"/>
        <v>5668.378000000001</v>
      </c>
      <c r="AG17" s="5">
        <f t="shared" si="14"/>
        <v>924.77246</v>
      </c>
      <c r="AH17" s="5">
        <f t="shared" si="15"/>
        <v>6593.150460000001</v>
      </c>
      <c r="AI17" s="38">
        <f t="shared" si="16"/>
        <v>523.9434204</v>
      </c>
      <c r="AJ17" s="38">
        <f t="shared" si="17"/>
        <v>9.6063566</v>
      </c>
      <c r="AL17" s="5">
        <f t="shared" si="114"/>
        <v>207.11599999999999</v>
      </c>
      <c r="AM17" s="5">
        <f t="shared" si="18"/>
        <v>33.790119999999995</v>
      </c>
      <c r="AN17" s="5">
        <f t="shared" si="19"/>
        <v>240.90612</v>
      </c>
      <c r="AO17" s="38">
        <f t="shared" si="20"/>
        <v>19.144288799999998</v>
      </c>
      <c r="AP17" s="38"/>
      <c r="AR17" s="38">
        <f t="shared" si="115"/>
        <v>22.759999999999998</v>
      </c>
      <c r="AS17" s="38">
        <f t="shared" si="21"/>
        <v>3.7131999999999996</v>
      </c>
      <c r="AT17" s="5">
        <f t="shared" si="22"/>
        <v>26.4732</v>
      </c>
      <c r="AU17" s="38">
        <f t="shared" si="23"/>
        <v>2.103768</v>
      </c>
      <c r="AV17" s="38"/>
      <c r="AX17" s="38">
        <f t="shared" si="116"/>
        <v>294119.514</v>
      </c>
      <c r="AY17" s="38">
        <f t="shared" si="24"/>
        <v>47984.383980000006</v>
      </c>
      <c r="AZ17" s="5">
        <f t="shared" si="25"/>
        <v>342103.89798</v>
      </c>
      <c r="BA17" s="38">
        <f t="shared" si="26"/>
        <v>27186.257545200002</v>
      </c>
      <c r="BB17" s="38">
        <f t="shared" si="27"/>
        <v>498.45245580000005</v>
      </c>
      <c r="BC17" s="5"/>
      <c r="BD17" s="38">
        <f t="shared" si="117"/>
        <v>3533.4900000000002</v>
      </c>
      <c r="BE17" s="38">
        <f t="shared" si="28"/>
        <v>576.4743</v>
      </c>
      <c r="BF17" s="5">
        <f t="shared" si="29"/>
        <v>4109.964300000001</v>
      </c>
      <c r="BG17" s="38">
        <f t="shared" si="30"/>
        <v>326.609982</v>
      </c>
      <c r="BH17" s="38">
        <f t="shared" si="31"/>
        <v>5.988303</v>
      </c>
      <c r="BI17" s="5"/>
      <c r="BJ17" s="38">
        <f t="shared" si="118"/>
        <v>4123.543</v>
      </c>
      <c r="BK17" s="38">
        <f t="shared" si="32"/>
        <v>672.73901</v>
      </c>
      <c r="BL17" s="5">
        <f t="shared" si="33"/>
        <v>4796.28201</v>
      </c>
      <c r="BM17" s="38">
        <f t="shared" si="34"/>
        <v>381.1501674</v>
      </c>
      <c r="BN17" s="38">
        <f t="shared" si="35"/>
        <v>6.9882821</v>
      </c>
      <c r="BO17" s="5"/>
      <c r="BP17" s="38">
        <f>B17*$BQ$6</f>
        <v>21.053</v>
      </c>
      <c r="BQ17" s="38">
        <f t="shared" si="36"/>
        <v>3.43471</v>
      </c>
      <c r="BR17" s="5">
        <f t="shared" si="37"/>
        <v>24.48771</v>
      </c>
      <c r="BS17" s="38">
        <f t="shared" si="38"/>
        <v>1.9459854</v>
      </c>
      <c r="BT17" s="38"/>
      <c r="BU17" s="5"/>
      <c r="BV17" s="38">
        <f t="shared" si="119"/>
        <v>21829.685</v>
      </c>
      <c r="BW17" s="38">
        <f t="shared" si="39"/>
        <v>3561.42295</v>
      </c>
      <c r="BX17" s="5">
        <f t="shared" si="40"/>
        <v>25391.10795</v>
      </c>
      <c r="BY17" s="38">
        <f t="shared" si="41"/>
        <v>2017.776483</v>
      </c>
      <c r="BZ17" s="38">
        <f t="shared" si="42"/>
        <v>36.9953695</v>
      </c>
      <c r="CA17" s="5"/>
      <c r="CB17" s="5">
        <f t="shared" si="120"/>
        <v>12459.393</v>
      </c>
      <c r="CC17" s="5">
        <f t="shared" si="43"/>
        <v>2032.6985100000002</v>
      </c>
      <c r="CD17" s="5">
        <f t="shared" si="44"/>
        <v>14492.09151</v>
      </c>
      <c r="CE17" s="38">
        <f t="shared" si="45"/>
        <v>1151.6551974000001</v>
      </c>
      <c r="CF17" s="38">
        <f t="shared" si="46"/>
        <v>21.1152771</v>
      </c>
      <c r="CG17" s="5"/>
      <c r="CH17" s="38">
        <f t="shared" si="121"/>
        <v>137749.779</v>
      </c>
      <c r="CI17" s="38">
        <f t="shared" si="47"/>
        <v>22473.307530000002</v>
      </c>
      <c r="CJ17" s="5">
        <f t="shared" si="48"/>
        <v>160223.08653</v>
      </c>
      <c r="CK17" s="38">
        <f t="shared" si="49"/>
        <v>12732.5824722</v>
      </c>
      <c r="CL17" s="38">
        <f t="shared" si="50"/>
        <v>233.4483513</v>
      </c>
      <c r="CM17" s="5"/>
      <c r="CN17" s="38">
        <f t="shared" si="122"/>
        <v>1009.975</v>
      </c>
      <c r="CO17" s="38">
        <f t="shared" si="51"/>
        <v>164.77325000000002</v>
      </c>
      <c r="CP17" s="5">
        <f t="shared" si="52"/>
        <v>1174.74825</v>
      </c>
      <c r="CQ17" s="38">
        <f t="shared" si="53"/>
        <v>93.354705</v>
      </c>
      <c r="CR17" s="38">
        <f t="shared" si="54"/>
        <v>1.7116325000000001</v>
      </c>
      <c r="CS17" s="5"/>
      <c r="CT17" s="5">
        <f t="shared" si="123"/>
        <v>36114.43</v>
      </c>
      <c r="CU17" s="38">
        <f t="shared" si="55"/>
        <v>5891.9201</v>
      </c>
      <c r="CV17" s="38">
        <f t="shared" si="56"/>
        <v>42006.3501</v>
      </c>
      <c r="CW17" s="38">
        <f t="shared" si="57"/>
        <v>3338.153874</v>
      </c>
      <c r="CX17" s="38">
        <f t="shared" si="58"/>
        <v>61.204121</v>
      </c>
      <c r="CY17" s="5"/>
      <c r="CZ17" s="5">
        <f t="shared" si="124"/>
        <v>85064.362</v>
      </c>
      <c r="DA17" s="38">
        <f t="shared" si="59"/>
        <v>13877.89934</v>
      </c>
      <c r="DB17" s="38">
        <f t="shared" si="60"/>
        <v>98942.26134</v>
      </c>
      <c r="DC17" s="38">
        <f t="shared" si="61"/>
        <v>7862.7277116</v>
      </c>
      <c r="DD17" s="38">
        <f t="shared" si="62"/>
        <v>144.16092139999998</v>
      </c>
      <c r="DE17" s="5"/>
      <c r="DF17" s="38">
        <f t="shared" si="125"/>
        <v>33297.311</v>
      </c>
      <c r="DG17" s="38">
        <f t="shared" si="63"/>
        <v>5432.31877</v>
      </c>
      <c r="DH17" s="5">
        <f t="shared" si="64"/>
        <v>38729.62977</v>
      </c>
      <c r="DI17" s="38">
        <f t="shared" si="65"/>
        <v>3077.7599898</v>
      </c>
      <c r="DJ17" s="38">
        <f t="shared" si="66"/>
        <v>56.4298717</v>
      </c>
      <c r="DK17" s="5"/>
      <c r="DL17" s="5">
        <f t="shared" si="126"/>
        <v>41247.948</v>
      </c>
      <c r="DM17" s="38">
        <f t="shared" si="67"/>
        <v>6729.43236</v>
      </c>
      <c r="DN17" s="38">
        <f t="shared" si="68"/>
        <v>47977.380359999996</v>
      </c>
      <c r="DO17" s="38">
        <f t="shared" si="69"/>
        <v>3812.6587464</v>
      </c>
      <c r="DP17" s="38">
        <f t="shared" si="70"/>
        <v>69.9040356</v>
      </c>
      <c r="DQ17" s="5"/>
      <c r="DR17" s="5">
        <f t="shared" si="127"/>
        <v>4771.0650000000005</v>
      </c>
      <c r="DS17" s="5">
        <f t="shared" si="71"/>
        <v>778.37955</v>
      </c>
      <c r="DT17" s="5">
        <f t="shared" si="72"/>
        <v>5549.44455</v>
      </c>
      <c r="DU17" s="38">
        <f t="shared" si="73"/>
        <v>441.00236700000005</v>
      </c>
      <c r="DV17" s="38">
        <f t="shared" si="74"/>
        <v>8.0856555</v>
      </c>
      <c r="DW17" s="5"/>
      <c r="DX17" s="38">
        <f t="shared" si="128"/>
        <v>504343.392</v>
      </c>
      <c r="DY17" s="38">
        <f t="shared" si="75"/>
        <v>82281.54144</v>
      </c>
      <c r="DZ17" s="5">
        <f t="shared" si="76"/>
        <v>586624.93344</v>
      </c>
      <c r="EA17" s="38">
        <f t="shared" si="77"/>
        <v>46617.8158656</v>
      </c>
      <c r="EB17" s="38">
        <f t="shared" si="78"/>
        <v>854.7246624</v>
      </c>
      <c r="EC17" s="5"/>
      <c r="ED17" s="38">
        <f t="shared" si="129"/>
        <v>480134.71800000005</v>
      </c>
      <c r="EE17" s="38">
        <f t="shared" si="79"/>
        <v>78331.99626</v>
      </c>
      <c r="EF17" s="5">
        <f t="shared" si="80"/>
        <v>558466.71426</v>
      </c>
      <c r="EG17" s="38">
        <f t="shared" si="81"/>
        <v>44380.1430324</v>
      </c>
      <c r="EH17" s="38">
        <f t="shared" si="82"/>
        <v>813.6975546</v>
      </c>
      <c r="EI17" s="5"/>
      <c r="EJ17" s="38">
        <f t="shared" si="130"/>
        <v>11383.413999999999</v>
      </c>
      <c r="EK17" s="38">
        <f t="shared" si="83"/>
        <v>1857.15698</v>
      </c>
      <c r="EL17" s="5">
        <f t="shared" si="84"/>
        <v>13240.570979999999</v>
      </c>
      <c r="EM17" s="38">
        <f t="shared" si="85"/>
        <v>1052.1995652</v>
      </c>
      <c r="EN17" s="38">
        <f t="shared" si="86"/>
        <v>19.2917858</v>
      </c>
      <c r="EO17" s="5"/>
      <c r="EP17" s="38">
        <f t="shared" si="131"/>
        <v>815581.84</v>
      </c>
      <c r="EQ17" s="38">
        <f t="shared" si="87"/>
        <v>133058.8088</v>
      </c>
      <c r="ER17" s="5">
        <f t="shared" si="88"/>
        <v>948640.6488</v>
      </c>
      <c r="ES17" s="38">
        <f t="shared" si="89"/>
        <v>75386.42251199999</v>
      </c>
      <c r="ET17" s="38">
        <f t="shared" si="90"/>
        <v>1382.189048</v>
      </c>
      <c r="EU17" s="5"/>
      <c r="EV17" s="38">
        <f t="shared" si="132"/>
        <v>1048768.851</v>
      </c>
      <c r="EW17" s="38">
        <f t="shared" si="91"/>
        <v>171102.30657000002</v>
      </c>
      <c r="EX17" s="5">
        <f t="shared" si="92"/>
        <v>1219871.15757</v>
      </c>
      <c r="EY17" s="38">
        <f t="shared" si="93"/>
        <v>96940.52496180001</v>
      </c>
      <c r="EZ17" s="38">
        <f t="shared" si="94"/>
        <v>1777.3775097</v>
      </c>
      <c r="FA17" s="5"/>
      <c r="FB17" s="5">
        <f t="shared" si="133"/>
        <v>32724.327999999998</v>
      </c>
      <c r="FC17" s="38">
        <f t="shared" si="95"/>
        <v>5338.83896</v>
      </c>
      <c r="FD17" s="38">
        <f t="shared" si="96"/>
        <v>38063.166959999995</v>
      </c>
      <c r="FE17" s="38">
        <f t="shared" si="97"/>
        <v>3024.7976304</v>
      </c>
      <c r="FF17" s="38">
        <f t="shared" si="98"/>
        <v>55.4588216</v>
      </c>
      <c r="FG17" s="5"/>
      <c r="FH17" s="5">
        <f t="shared" si="134"/>
        <v>89730.731</v>
      </c>
      <c r="FI17" s="38">
        <f t="shared" si="99"/>
        <v>14639.19817</v>
      </c>
      <c r="FJ17" s="38">
        <f t="shared" si="100"/>
        <v>104369.92917</v>
      </c>
      <c r="FK17" s="38">
        <f t="shared" si="101"/>
        <v>8294.0527458</v>
      </c>
      <c r="FL17" s="38">
        <f t="shared" si="102"/>
        <v>152.0691457</v>
      </c>
      <c r="FM17" s="5"/>
      <c r="FN17" s="38">
        <f t="shared" si="135"/>
        <v>633381.781</v>
      </c>
      <c r="FO17" s="38">
        <f t="shared" si="103"/>
        <v>103333.62167</v>
      </c>
      <c r="FP17" s="5">
        <f t="shared" si="104"/>
        <v>736715.40267</v>
      </c>
      <c r="FQ17" s="38">
        <f t="shared" si="105"/>
        <v>58545.1811358</v>
      </c>
      <c r="FR17" s="38">
        <f t="shared" si="106"/>
        <v>1073.4095806999999</v>
      </c>
      <c r="FS17" s="5"/>
      <c r="FT17" s="38">
        <f t="shared" si="136"/>
        <v>457626.21599999996</v>
      </c>
      <c r="FU17" s="38">
        <f t="shared" si="107"/>
        <v>74659.82712</v>
      </c>
      <c r="FV17" s="5">
        <f t="shared" si="108"/>
        <v>532286.0431199999</v>
      </c>
      <c r="FW17" s="38">
        <f t="shared" si="109"/>
        <v>42299.6216688</v>
      </c>
      <c r="FX17" s="38">
        <f t="shared" si="110"/>
        <v>775.5517752</v>
      </c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</row>
    <row r="18" spans="1:223" ht="12.75">
      <c r="A18" s="40">
        <v>45931</v>
      </c>
      <c r="C18" s="3">
        <v>814500</v>
      </c>
      <c r="D18" s="37">
        <f t="shared" si="0"/>
        <v>814500</v>
      </c>
      <c r="E18" s="37">
        <v>525942</v>
      </c>
      <c r="F18" s="37">
        <v>9643</v>
      </c>
      <c r="H18" s="38">
        <f>'2019C Academic'!I18</f>
        <v>0</v>
      </c>
      <c r="I18" s="38">
        <f>'2019C Academic'!J18</f>
        <v>116728.35704999999</v>
      </c>
      <c r="J18" s="38">
        <f t="shared" si="1"/>
        <v>116728.35704999999</v>
      </c>
      <c r="K18" s="38">
        <f>'2019C Academic'!L18</f>
        <v>75374.27325180001</v>
      </c>
      <c r="L18" s="38">
        <f>'2019C Academic'!M18</f>
        <v>1381.9662947000002</v>
      </c>
      <c r="N18" s="38"/>
      <c r="O18" s="37">
        <f t="shared" si="2"/>
        <v>697771.6429499999</v>
      </c>
      <c r="P18" s="5">
        <f t="shared" si="3"/>
        <v>697771.6429499999</v>
      </c>
      <c r="Q18" s="37">
        <f t="shared" si="4"/>
        <v>450567.7267482</v>
      </c>
      <c r="R18" s="37">
        <f t="shared" si="5"/>
        <v>8260.608449</v>
      </c>
      <c r="T18" s="38"/>
      <c r="U18" s="38">
        <f t="shared" si="6"/>
        <v>13831.0245</v>
      </c>
      <c r="V18" s="5">
        <f t="shared" si="7"/>
        <v>13831.0245</v>
      </c>
      <c r="W18" s="38">
        <f t="shared" si="8"/>
        <v>8931.021102</v>
      </c>
      <c r="X18" s="38">
        <f t="shared" si="9"/>
        <v>163.747783</v>
      </c>
      <c r="AA18" s="38">
        <f t="shared" si="10"/>
        <v>3294.1638000000003</v>
      </c>
      <c r="AB18" s="38">
        <f t="shared" si="11"/>
        <v>3294.1638000000003</v>
      </c>
      <c r="AC18" s="38">
        <f t="shared" si="12"/>
        <v>2127.1198248</v>
      </c>
      <c r="AD18" s="38">
        <f t="shared" si="13"/>
        <v>39.0001492</v>
      </c>
      <c r="AG18" s="5">
        <f t="shared" si="14"/>
        <v>811.4049</v>
      </c>
      <c r="AH18" s="5">
        <f t="shared" si="15"/>
        <v>811.4049</v>
      </c>
      <c r="AI18" s="38">
        <f t="shared" si="16"/>
        <v>523.9434204</v>
      </c>
      <c r="AJ18" s="38">
        <f t="shared" si="17"/>
        <v>9.6063566</v>
      </c>
      <c r="AM18" s="5">
        <f t="shared" si="18"/>
        <v>29.647799999999997</v>
      </c>
      <c r="AN18" s="5">
        <f t="shared" si="19"/>
        <v>29.647799999999997</v>
      </c>
      <c r="AO18" s="38">
        <f t="shared" si="20"/>
        <v>19.144288799999998</v>
      </c>
      <c r="AP18" s="38"/>
      <c r="AR18" s="38"/>
      <c r="AS18" s="38">
        <f t="shared" si="21"/>
        <v>3.258</v>
      </c>
      <c r="AT18" s="5">
        <f t="shared" si="22"/>
        <v>3.258</v>
      </c>
      <c r="AU18" s="38">
        <f t="shared" si="23"/>
        <v>2.103768</v>
      </c>
      <c r="AV18" s="38"/>
      <c r="AX18" s="38"/>
      <c r="AY18" s="38">
        <f t="shared" si="24"/>
        <v>42101.9937</v>
      </c>
      <c r="AZ18" s="5">
        <f t="shared" si="25"/>
        <v>42101.9937</v>
      </c>
      <c r="BA18" s="38">
        <f t="shared" si="26"/>
        <v>27186.257545200002</v>
      </c>
      <c r="BB18" s="38">
        <f t="shared" si="27"/>
        <v>498.45245580000005</v>
      </c>
      <c r="BC18" s="5"/>
      <c r="BD18" s="38"/>
      <c r="BE18" s="38">
        <f t="shared" si="28"/>
        <v>505.8045</v>
      </c>
      <c r="BF18" s="5">
        <f t="shared" si="29"/>
        <v>505.8045</v>
      </c>
      <c r="BG18" s="38">
        <f t="shared" si="30"/>
        <v>326.609982</v>
      </c>
      <c r="BH18" s="38">
        <f t="shared" si="31"/>
        <v>5.988303</v>
      </c>
      <c r="BI18" s="5"/>
      <c r="BJ18" s="38"/>
      <c r="BK18" s="38">
        <f t="shared" si="32"/>
        <v>590.26815</v>
      </c>
      <c r="BL18" s="5">
        <f t="shared" si="33"/>
        <v>590.26815</v>
      </c>
      <c r="BM18" s="38">
        <f t="shared" si="34"/>
        <v>381.1501674</v>
      </c>
      <c r="BN18" s="38">
        <f t="shared" si="35"/>
        <v>6.9882821</v>
      </c>
      <c r="BO18" s="5"/>
      <c r="BP18" s="38"/>
      <c r="BQ18" s="38">
        <f t="shared" si="36"/>
        <v>3.01365</v>
      </c>
      <c r="BR18" s="5">
        <f t="shared" si="37"/>
        <v>3.01365</v>
      </c>
      <c r="BS18" s="38">
        <f t="shared" si="38"/>
        <v>1.9459854</v>
      </c>
      <c r="BT18" s="38"/>
      <c r="BU18" s="5"/>
      <c r="BV18" s="38"/>
      <c r="BW18" s="38">
        <f t="shared" si="39"/>
        <v>3124.8292500000002</v>
      </c>
      <c r="BX18" s="5">
        <f t="shared" si="40"/>
        <v>3124.8292500000002</v>
      </c>
      <c r="BY18" s="38">
        <f t="shared" si="41"/>
        <v>2017.776483</v>
      </c>
      <c r="BZ18" s="38">
        <f t="shared" si="42"/>
        <v>36.9953695</v>
      </c>
      <c r="CA18" s="5"/>
      <c r="CB18" s="5"/>
      <c r="CC18" s="5">
        <f t="shared" si="43"/>
        <v>1783.5106500000002</v>
      </c>
      <c r="CD18" s="5">
        <f t="shared" si="44"/>
        <v>1783.5106500000002</v>
      </c>
      <c r="CE18" s="38">
        <f t="shared" si="45"/>
        <v>1151.6551974000001</v>
      </c>
      <c r="CF18" s="38">
        <f t="shared" si="46"/>
        <v>21.1152771</v>
      </c>
      <c r="CG18" s="5"/>
      <c r="CH18" s="38"/>
      <c r="CI18" s="38">
        <f t="shared" si="47"/>
        <v>19718.31195</v>
      </c>
      <c r="CJ18" s="5">
        <f t="shared" si="48"/>
        <v>19718.31195</v>
      </c>
      <c r="CK18" s="38">
        <f t="shared" si="49"/>
        <v>12732.5824722</v>
      </c>
      <c r="CL18" s="38">
        <f t="shared" si="50"/>
        <v>233.4483513</v>
      </c>
      <c r="CM18" s="5"/>
      <c r="CN18" s="38"/>
      <c r="CO18" s="38">
        <f t="shared" si="51"/>
        <v>144.57375</v>
      </c>
      <c r="CP18" s="5">
        <f t="shared" si="52"/>
        <v>144.57375</v>
      </c>
      <c r="CQ18" s="38">
        <f t="shared" si="53"/>
        <v>93.354705</v>
      </c>
      <c r="CR18" s="38">
        <f t="shared" si="54"/>
        <v>1.7116325000000001</v>
      </c>
      <c r="CS18" s="5"/>
      <c r="CT18" s="5"/>
      <c r="CU18" s="38">
        <f t="shared" si="55"/>
        <v>5169.6315</v>
      </c>
      <c r="CV18" s="38">
        <f t="shared" si="56"/>
        <v>5169.6315</v>
      </c>
      <c r="CW18" s="38">
        <f t="shared" si="57"/>
        <v>3338.153874</v>
      </c>
      <c r="CX18" s="38">
        <f t="shared" si="58"/>
        <v>61.204121</v>
      </c>
      <c r="CY18" s="5"/>
      <c r="CZ18" s="5"/>
      <c r="DA18" s="38">
        <f t="shared" si="59"/>
        <v>12176.612099999998</v>
      </c>
      <c r="DB18" s="38">
        <f t="shared" si="60"/>
        <v>12176.612099999998</v>
      </c>
      <c r="DC18" s="38">
        <f t="shared" si="61"/>
        <v>7862.7277116</v>
      </c>
      <c r="DD18" s="38">
        <f t="shared" si="62"/>
        <v>144.16092139999998</v>
      </c>
      <c r="DE18" s="5"/>
      <c r="DF18" s="38"/>
      <c r="DG18" s="38">
        <f t="shared" si="63"/>
        <v>4766.37255</v>
      </c>
      <c r="DH18" s="5">
        <f t="shared" si="64"/>
        <v>4766.37255</v>
      </c>
      <c r="DI18" s="38">
        <f t="shared" si="65"/>
        <v>3077.7599898</v>
      </c>
      <c r="DJ18" s="38">
        <f t="shared" si="66"/>
        <v>56.4298717</v>
      </c>
      <c r="DK18" s="5"/>
      <c r="DL18" s="5"/>
      <c r="DM18" s="38">
        <f t="shared" si="67"/>
        <v>5904.4734</v>
      </c>
      <c r="DN18" s="38">
        <f t="shared" si="68"/>
        <v>5904.4734</v>
      </c>
      <c r="DO18" s="38">
        <f t="shared" si="69"/>
        <v>3812.6587464</v>
      </c>
      <c r="DP18" s="38">
        <f t="shared" si="70"/>
        <v>69.9040356</v>
      </c>
      <c r="DQ18" s="5"/>
      <c r="DR18" s="5"/>
      <c r="DS18" s="5">
        <f t="shared" si="71"/>
        <v>682.95825</v>
      </c>
      <c r="DT18" s="5">
        <f t="shared" si="72"/>
        <v>682.95825</v>
      </c>
      <c r="DU18" s="38">
        <f t="shared" si="73"/>
        <v>441.00236700000005</v>
      </c>
      <c r="DV18" s="38">
        <f t="shared" si="74"/>
        <v>8.0856555</v>
      </c>
      <c r="DW18" s="5"/>
      <c r="DX18" s="38"/>
      <c r="DY18" s="38">
        <f t="shared" si="75"/>
        <v>72194.6736</v>
      </c>
      <c r="DZ18" s="5">
        <f t="shared" si="76"/>
        <v>72194.6736</v>
      </c>
      <c r="EA18" s="38">
        <f t="shared" si="77"/>
        <v>46617.8158656</v>
      </c>
      <c r="EB18" s="38">
        <f t="shared" si="78"/>
        <v>854.7246624</v>
      </c>
      <c r="EC18" s="5"/>
      <c r="ED18" s="38"/>
      <c r="EE18" s="38">
        <f t="shared" si="79"/>
        <v>68729.3019</v>
      </c>
      <c r="EF18" s="5">
        <f t="shared" si="80"/>
        <v>68729.3019</v>
      </c>
      <c r="EG18" s="38">
        <f t="shared" si="81"/>
        <v>44380.1430324</v>
      </c>
      <c r="EH18" s="38">
        <f t="shared" si="82"/>
        <v>813.6975546</v>
      </c>
      <c r="EI18" s="5"/>
      <c r="EJ18" s="38"/>
      <c r="EK18" s="38">
        <f t="shared" si="83"/>
        <v>1629.4886999999999</v>
      </c>
      <c r="EL18" s="5">
        <f t="shared" si="84"/>
        <v>1629.4886999999999</v>
      </c>
      <c r="EM18" s="38">
        <f t="shared" si="85"/>
        <v>1052.1995652</v>
      </c>
      <c r="EN18" s="38">
        <f t="shared" si="86"/>
        <v>19.2917858</v>
      </c>
      <c r="EO18" s="5"/>
      <c r="EP18" s="38"/>
      <c r="EQ18" s="38">
        <f t="shared" si="87"/>
        <v>116747.17199999999</v>
      </c>
      <c r="ER18" s="5">
        <f t="shared" si="88"/>
        <v>116747.17199999999</v>
      </c>
      <c r="ES18" s="38">
        <f t="shared" si="89"/>
        <v>75386.42251199999</v>
      </c>
      <c r="ET18" s="38">
        <f t="shared" si="90"/>
        <v>1382.189048</v>
      </c>
      <c r="EU18" s="5"/>
      <c r="EV18" s="38"/>
      <c r="EW18" s="38">
        <f t="shared" si="91"/>
        <v>150126.92955</v>
      </c>
      <c r="EX18" s="5">
        <f t="shared" si="92"/>
        <v>150126.92955</v>
      </c>
      <c r="EY18" s="38">
        <f t="shared" si="93"/>
        <v>96940.52496180001</v>
      </c>
      <c r="EZ18" s="38">
        <f t="shared" si="94"/>
        <v>1777.3775097</v>
      </c>
      <c r="FA18" s="5"/>
      <c r="FB18" s="5"/>
      <c r="FC18" s="38">
        <f t="shared" si="95"/>
        <v>4684.3524</v>
      </c>
      <c r="FD18" s="38">
        <f t="shared" si="96"/>
        <v>4684.3524</v>
      </c>
      <c r="FE18" s="38">
        <f t="shared" si="97"/>
        <v>3024.7976304</v>
      </c>
      <c r="FF18" s="38">
        <f t="shared" si="98"/>
        <v>55.4588216</v>
      </c>
      <c r="FG18" s="5"/>
      <c r="FH18" s="5"/>
      <c r="FI18" s="38">
        <f t="shared" si="99"/>
        <v>12844.58355</v>
      </c>
      <c r="FJ18" s="38">
        <f t="shared" si="100"/>
        <v>12844.58355</v>
      </c>
      <c r="FK18" s="38">
        <f t="shared" si="101"/>
        <v>8294.0527458</v>
      </c>
      <c r="FL18" s="38">
        <f t="shared" si="102"/>
        <v>152.0691457</v>
      </c>
      <c r="FM18" s="5"/>
      <c r="FN18" s="38"/>
      <c r="FO18" s="38">
        <f t="shared" si="103"/>
        <v>90665.98604999999</v>
      </c>
      <c r="FP18" s="5">
        <f t="shared" si="104"/>
        <v>90665.98604999999</v>
      </c>
      <c r="FQ18" s="38">
        <f t="shared" si="105"/>
        <v>58545.1811358</v>
      </c>
      <c r="FR18" s="38">
        <f t="shared" si="106"/>
        <v>1073.4095806999999</v>
      </c>
      <c r="FS18" s="5"/>
      <c r="FT18" s="38"/>
      <c r="FU18" s="38">
        <f t="shared" si="107"/>
        <v>65507.3028</v>
      </c>
      <c r="FV18" s="5">
        <f t="shared" si="108"/>
        <v>65507.3028</v>
      </c>
      <c r="FW18" s="38">
        <f t="shared" si="109"/>
        <v>42299.6216688</v>
      </c>
      <c r="FX18" s="38">
        <f t="shared" si="110"/>
        <v>775.5517752</v>
      </c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</row>
    <row r="19" spans="1:223" ht="12.75">
      <c r="A19" s="40">
        <v>46113</v>
      </c>
      <c r="B19" s="3">
        <v>5910000</v>
      </c>
      <c r="C19" s="3">
        <v>814500</v>
      </c>
      <c r="D19" s="37">
        <f t="shared" si="0"/>
        <v>6724500</v>
      </c>
      <c r="E19" s="37">
        <v>525942</v>
      </c>
      <c r="F19" s="37">
        <v>9643</v>
      </c>
      <c r="H19" s="38">
        <f>'2019C Academic'!I19</f>
        <v>846979.2390000002</v>
      </c>
      <c r="I19" s="38">
        <f>'2019C Academic'!J19</f>
        <v>116728.35704999999</v>
      </c>
      <c r="J19" s="38">
        <f t="shared" si="1"/>
        <v>963707.5960500002</v>
      </c>
      <c r="K19" s="38">
        <f>'2019C Academic'!L19</f>
        <v>75374.27325180001</v>
      </c>
      <c r="L19" s="38">
        <f>'2019C Academic'!M19</f>
        <v>1381.9662947000002</v>
      </c>
      <c r="N19" s="38">
        <f>T19+Z19+AF19+AR19+AX19+BD19+BV19+CB19+CH19+CT19+DF19+DL19+DR19+DX19+ED19+EJ19+EP19+EV19+FB19+FH19+FN19+FT19+FZ19+AL19+BJ19+CN19+CZ19+BP19</f>
        <v>5063020.761000001</v>
      </c>
      <c r="O19" s="37">
        <f t="shared" si="2"/>
        <v>697771.6429499999</v>
      </c>
      <c r="P19" s="5">
        <f t="shared" si="3"/>
        <v>5760792.403950001</v>
      </c>
      <c r="Q19" s="37">
        <f t="shared" si="4"/>
        <v>450567.7267482</v>
      </c>
      <c r="R19" s="37">
        <f t="shared" si="5"/>
        <v>8260.608449</v>
      </c>
      <c r="T19" s="38">
        <f t="shared" si="111"/>
        <v>100357.70999999999</v>
      </c>
      <c r="U19" s="38">
        <f t="shared" si="6"/>
        <v>13831.0245</v>
      </c>
      <c r="V19" s="5">
        <f t="shared" si="7"/>
        <v>114188.73449999999</v>
      </c>
      <c r="W19" s="38">
        <f t="shared" si="8"/>
        <v>8931.021102</v>
      </c>
      <c r="X19" s="38">
        <f t="shared" si="9"/>
        <v>163.747783</v>
      </c>
      <c r="Z19" s="5">
        <f t="shared" si="112"/>
        <v>23902.404000000002</v>
      </c>
      <c r="AA19" s="38">
        <f t="shared" si="10"/>
        <v>3294.1638000000003</v>
      </c>
      <c r="AB19" s="38">
        <f t="shared" si="11"/>
        <v>27196.567800000004</v>
      </c>
      <c r="AC19" s="38">
        <f t="shared" si="12"/>
        <v>2127.1198248</v>
      </c>
      <c r="AD19" s="38">
        <f t="shared" si="13"/>
        <v>39.0001492</v>
      </c>
      <c r="AF19" s="5">
        <f t="shared" si="113"/>
        <v>5887.542</v>
      </c>
      <c r="AG19" s="5">
        <f t="shared" si="14"/>
        <v>811.4049</v>
      </c>
      <c r="AH19" s="5">
        <f t="shared" si="15"/>
        <v>6698.946900000001</v>
      </c>
      <c r="AI19" s="38">
        <f t="shared" si="16"/>
        <v>523.9434204</v>
      </c>
      <c r="AJ19" s="38">
        <f t="shared" si="17"/>
        <v>9.6063566</v>
      </c>
      <c r="AL19" s="5">
        <f t="shared" si="114"/>
        <v>215.124</v>
      </c>
      <c r="AM19" s="5">
        <f t="shared" si="18"/>
        <v>29.647799999999997</v>
      </c>
      <c r="AN19" s="5">
        <f t="shared" si="19"/>
        <v>244.77179999999998</v>
      </c>
      <c r="AO19" s="38">
        <f t="shared" si="20"/>
        <v>19.144288799999998</v>
      </c>
      <c r="AP19" s="38"/>
      <c r="AR19" s="38">
        <f t="shared" si="115"/>
        <v>23.64</v>
      </c>
      <c r="AS19" s="38">
        <f t="shared" si="21"/>
        <v>3.258</v>
      </c>
      <c r="AT19" s="5">
        <f t="shared" si="22"/>
        <v>26.898</v>
      </c>
      <c r="AU19" s="38">
        <f t="shared" si="23"/>
        <v>2.103768</v>
      </c>
      <c r="AV19" s="38"/>
      <c r="AX19" s="38">
        <f t="shared" si="116"/>
        <v>305491.446</v>
      </c>
      <c r="AY19" s="38">
        <f t="shared" si="24"/>
        <v>42101.9937</v>
      </c>
      <c r="AZ19" s="5">
        <f t="shared" si="25"/>
        <v>347593.4397</v>
      </c>
      <c r="BA19" s="38">
        <f t="shared" si="26"/>
        <v>27186.257545200002</v>
      </c>
      <c r="BB19" s="38">
        <f t="shared" si="27"/>
        <v>498.45245580000005</v>
      </c>
      <c r="BC19" s="5"/>
      <c r="BD19" s="38">
        <f t="shared" si="117"/>
        <v>3670.11</v>
      </c>
      <c r="BE19" s="38">
        <f t="shared" si="28"/>
        <v>505.8045</v>
      </c>
      <c r="BF19" s="5">
        <f t="shared" si="29"/>
        <v>4175.9145</v>
      </c>
      <c r="BG19" s="38">
        <f t="shared" si="30"/>
        <v>326.609982</v>
      </c>
      <c r="BH19" s="38">
        <f t="shared" si="31"/>
        <v>5.988303</v>
      </c>
      <c r="BI19" s="5"/>
      <c r="BJ19" s="38">
        <f t="shared" si="118"/>
        <v>4282.977</v>
      </c>
      <c r="BK19" s="38">
        <f t="shared" si="32"/>
        <v>590.26815</v>
      </c>
      <c r="BL19" s="5">
        <f t="shared" si="33"/>
        <v>4873.24515</v>
      </c>
      <c r="BM19" s="38">
        <f t="shared" si="34"/>
        <v>381.1501674</v>
      </c>
      <c r="BN19" s="38">
        <f t="shared" si="35"/>
        <v>6.9882821</v>
      </c>
      <c r="BO19" s="5"/>
      <c r="BP19" s="38">
        <f>B19*$BQ$6</f>
        <v>21.867</v>
      </c>
      <c r="BQ19" s="38">
        <f t="shared" si="36"/>
        <v>3.01365</v>
      </c>
      <c r="BR19" s="5">
        <f t="shared" si="37"/>
        <v>24.880650000000003</v>
      </c>
      <c r="BS19" s="38">
        <f t="shared" si="38"/>
        <v>1.9459854</v>
      </c>
      <c r="BT19" s="38"/>
      <c r="BU19" s="5"/>
      <c r="BV19" s="38">
        <f t="shared" si="119"/>
        <v>22673.715</v>
      </c>
      <c r="BW19" s="38">
        <f t="shared" si="39"/>
        <v>3124.8292500000002</v>
      </c>
      <c r="BX19" s="5">
        <f t="shared" si="40"/>
        <v>25798.54425</v>
      </c>
      <c r="BY19" s="38">
        <f t="shared" si="41"/>
        <v>2017.776483</v>
      </c>
      <c r="BZ19" s="38">
        <f t="shared" si="42"/>
        <v>36.9953695</v>
      </c>
      <c r="CA19" s="5"/>
      <c r="CB19" s="5">
        <f t="shared" si="120"/>
        <v>12941.127</v>
      </c>
      <c r="CC19" s="5">
        <f t="shared" si="43"/>
        <v>1783.5106500000002</v>
      </c>
      <c r="CD19" s="5">
        <f t="shared" si="44"/>
        <v>14724.63765</v>
      </c>
      <c r="CE19" s="38">
        <f t="shared" si="45"/>
        <v>1151.6551974000001</v>
      </c>
      <c r="CF19" s="38">
        <f t="shared" si="46"/>
        <v>21.1152771</v>
      </c>
      <c r="CG19" s="5"/>
      <c r="CH19" s="38">
        <f t="shared" si="121"/>
        <v>143075.78100000002</v>
      </c>
      <c r="CI19" s="38">
        <f t="shared" si="47"/>
        <v>19718.31195</v>
      </c>
      <c r="CJ19" s="5">
        <f t="shared" si="48"/>
        <v>162794.09295000002</v>
      </c>
      <c r="CK19" s="38">
        <f t="shared" si="49"/>
        <v>12732.5824722</v>
      </c>
      <c r="CL19" s="38">
        <f t="shared" si="50"/>
        <v>233.4483513</v>
      </c>
      <c r="CM19" s="5"/>
      <c r="CN19" s="38">
        <f t="shared" si="122"/>
        <v>1049.025</v>
      </c>
      <c r="CO19" s="38">
        <f t="shared" si="51"/>
        <v>144.57375</v>
      </c>
      <c r="CP19" s="5">
        <f t="shared" si="52"/>
        <v>1193.59875</v>
      </c>
      <c r="CQ19" s="38">
        <f t="shared" si="53"/>
        <v>93.354705</v>
      </c>
      <c r="CR19" s="38">
        <f t="shared" si="54"/>
        <v>1.7116325000000001</v>
      </c>
      <c r="CS19" s="5"/>
      <c r="CT19" s="5">
        <f t="shared" si="123"/>
        <v>37510.770000000004</v>
      </c>
      <c r="CU19" s="38">
        <f t="shared" si="55"/>
        <v>5169.6315</v>
      </c>
      <c r="CV19" s="38">
        <f t="shared" si="56"/>
        <v>42680.40150000001</v>
      </c>
      <c r="CW19" s="38">
        <f t="shared" si="57"/>
        <v>3338.153874</v>
      </c>
      <c r="CX19" s="38">
        <f t="shared" si="58"/>
        <v>61.204121</v>
      </c>
      <c r="CY19" s="5"/>
      <c r="CZ19" s="5">
        <f t="shared" si="124"/>
        <v>88353.318</v>
      </c>
      <c r="DA19" s="38">
        <f t="shared" si="59"/>
        <v>12176.612099999998</v>
      </c>
      <c r="DB19" s="38">
        <f t="shared" si="60"/>
        <v>100529.9301</v>
      </c>
      <c r="DC19" s="38">
        <f t="shared" si="61"/>
        <v>7862.7277116</v>
      </c>
      <c r="DD19" s="38">
        <f t="shared" si="62"/>
        <v>144.16092139999998</v>
      </c>
      <c r="DE19" s="5"/>
      <c r="DF19" s="38">
        <f t="shared" si="125"/>
        <v>34584.729</v>
      </c>
      <c r="DG19" s="38">
        <f t="shared" si="63"/>
        <v>4766.37255</v>
      </c>
      <c r="DH19" s="5">
        <f t="shared" si="64"/>
        <v>39351.10155</v>
      </c>
      <c r="DI19" s="38">
        <f t="shared" si="65"/>
        <v>3077.7599898</v>
      </c>
      <c r="DJ19" s="38">
        <f t="shared" si="66"/>
        <v>56.4298717</v>
      </c>
      <c r="DK19" s="5"/>
      <c r="DL19" s="5">
        <f t="shared" si="126"/>
        <v>42842.772</v>
      </c>
      <c r="DM19" s="38">
        <f t="shared" si="67"/>
        <v>5904.4734</v>
      </c>
      <c r="DN19" s="38">
        <f t="shared" si="68"/>
        <v>48747.2454</v>
      </c>
      <c r="DO19" s="38">
        <f t="shared" si="69"/>
        <v>3812.6587464</v>
      </c>
      <c r="DP19" s="38">
        <f t="shared" si="70"/>
        <v>69.9040356</v>
      </c>
      <c r="DQ19" s="5"/>
      <c r="DR19" s="5">
        <f t="shared" si="127"/>
        <v>4955.535000000001</v>
      </c>
      <c r="DS19" s="5">
        <f t="shared" si="71"/>
        <v>682.95825</v>
      </c>
      <c r="DT19" s="5">
        <f t="shared" si="72"/>
        <v>5638.49325</v>
      </c>
      <c r="DU19" s="38">
        <f t="shared" si="73"/>
        <v>441.00236700000005</v>
      </c>
      <c r="DV19" s="38">
        <f t="shared" si="74"/>
        <v>8.0856555</v>
      </c>
      <c r="DW19" s="5"/>
      <c r="DX19" s="38">
        <f t="shared" si="128"/>
        <v>523843.488</v>
      </c>
      <c r="DY19" s="38">
        <f t="shared" si="75"/>
        <v>72194.6736</v>
      </c>
      <c r="DZ19" s="5">
        <f t="shared" si="76"/>
        <v>596038.1616</v>
      </c>
      <c r="EA19" s="38">
        <f t="shared" si="77"/>
        <v>46617.8158656</v>
      </c>
      <c r="EB19" s="38">
        <f t="shared" si="78"/>
        <v>854.7246624</v>
      </c>
      <c r="EC19" s="5"/>
      <c r="ED19" s="38">
        <f t="shared" si="129"/>
        <v>498698.802</v>
      </c>
      <c r="EE19" s="38">
        <f t="shared" si="79"/>
        <v>68729.3019</v>
      </c>
      <c r="EF19" s="5">
        <f t="shared" si="80"/>
        <v>567428.1039</v>
      </c>
      <c r="EG19" s="38">
        <f t="shared" si="81"/>
        <v>44380.1430324</v>
      </c>
      <c r="EH19" s="38">
        <f t="shared" si="82"/>
        <v>813.6975546</v>
      </c>
      <c r="EI19" s="5"/>
      <c r="EJ19" s="38">
        <f t="shared" si="130"/>
        <v>11823.546</v>
      </c>
      <c r="EK19" s="38">
        <f t="shared" si="83"/>
        <v>1629.4886999999999</v>
      </c>
      <c r="EL19" s="5">
        <f t="shared" si="84"/>
        <v>13453.0347</v>
      </c>
      <c r="EM19" s="38">
        <f t="shared" si="85"/>
        <v>1052.1995652</v>
      </c>
      <c r="EN19" s="38">
        <f t="shared" si="86"/>
        <v>19.2917858</v>
      </c>
      <c r="EO19" s="5"/>
      <c r="EP19" s="38">
        <f t="shared" si="131"/>
        <v>847115.7599999999</v>
      </c>
      <c r="EQ19" s="38">
        <f t="shared" si="87"/>
        <v>116747.17199999999</v>
      </c>
      <c r="ER19" s="5">
        <f t="shared" si="88"/>
        <v>963862.9319999999</v>
      </c>
      <c r="ES19" s="38">
        <f t="shared" si="89"/>
        <v>75386.42251199999</v>
      </c>
      <c r="ET19" s="38">
        <f t="shared" si="90"/>
        <v>1382.189048</v>
      </c>
      <c r="EU19" s="5"/>
      <c r="EV19" s="38">
        <f t="shared" si="132"/>
        <v>1089318.789</v>
      </c>
      <c r="EW19" s="38">
        <f t="shared" si="91"/>
        <v>150126.92955</v>
      </c>
      <c r="EX19" s="5">
        <f t="shared" si="92"/>
        <v>1239445.71855</v>
      </c>
      <c r="EY19" s="38">
        <f t="shared" si="93"/>
        <v>96940.52496180001</v>
      </c>
      <c r="EZ19" s="38">
        <f t="shared" si="94"/>
        <v>1777.3775097</v>
      </c>
      <c r="FA19" s="5"/>
      <c r="FB19" s="5">
        <f t="shared" si="133"/>
        <v>33989.592</v>
      </c>
      <c r="FC19" s="38">
        <f t="shared" si="95"/>
        <v>4684.3524</v>
      </c>
      <c r="FD19" s="38">
        <f t="shared" si="96"/>
        <v>38673.94439999999</v>
      </c>
      <c r="FE19" s="38">
        <f t="shared" si="97"/>
        <v>3024.7976304</v>
      </c>
      <c r="FF19" s="38">
        <f t="shared" si="98"/>
        <v>55.4588216</v>
      </c>
      <c r="FG19" s="5"/>
      <c r="FH19" s="5">
        <f t="shared" si="134"/>
        <v>93200.109</v>
      </c>
      <c r="FI19" s="38">
        <f t="shared" si="99"/>
        <v>12844.58355</v>
      </c>
      <c r="FJ19" s="38">
        <f t="shared" si="100"/>
        <v>106044.69254999999</v>
      </c>
      <c r="FK19" s="38">
        <f t="shared" si="101"/>
        <v>8294.0527458</v>
      </c>
      <c r="FL19" s="38">
        <f t="shared" si="102"/>
        <v>152.0691457</v>
      </c>
      <c r="FM19" s="5"/>
      <c r="FN19" s="38">
        <f t="shared" si="135"/>
        <v>657871.059</v>
      </c>
      <c r="FO19" s="38">
        <f t="shared" si="103"/>
        <v>90665.98604999999</v>
      </c>
      <c r="FP19" s="5">
        <f t="shared" si="104"/>
        <v>748537.04505</v>
      </c>
      <c r="FQ19" s="38">
        <f t="shared" si="105"/>
        <v>58545.1811358</v>
      </c>
      <c r="FR19" s="38">
        <f t="shared" si="106"/>
        <v>1073.4095806999999</v>
      </c>
      <c r="FS19" s="5"/>
      <c r="FT19" s="38">
        <f t="shared" si="136"/>
        <v>475320.024</v>
      </c>
      <c r="FU19" s="38">
        <f t="shared" si="107"/>
        <v>65507.3028</v>
      </c>
      <c r="FV19" s="5">
        <f t="shared" si="108"/>
        <v>540827.3267999999</v>
      </c>
      <c r="FW19" s="38">
        <f t="shared" si="109"/>
        <v>42299.6216688</v>
      </c>
      <c r="FX19" s="38">
        <f t="shared" si="110"/>
        <v>775.5517752</v>
      </c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</row>
    <row r="20" spans="1:223" ht="12.75">
      <c r="A20" s="40">
        <v>46296</v>
      </c>
      <c r="C20" s="3">
        <v>666750</v>
      </c>
      <c r="D20" s="37">
        <f t="shared" si="0"/>
        <v>666750</v>
      </c>
      <c r="E20" s="37">
        <v>525942</v>
      </c>
      <c r="F20" s="37">
        <v>9643</v>
      </c>
      <c r="H20" s="38">
        <f>'2019C Academic'!I20</f>
        <v>0</v>
      </c>
      <c r="I20" s="38">
        <f>'2019C Academic'!J20</f>
        <v>95553.87607499998</v>
      </c>
      <c r="J20" s="38">
        <f t="shared" si="1"/>
        <v>95553.87607499998</v>
      </c>
      <c r="K20" s="38">
        <f>'2019C Academic'!L20</f>
        <v>75374.27325180001</v>
      </c>
      <c r="L20" s="38">
        <f>'2019C Academic'!M20</f>
        <v>1381.9662947000002</v>
      </c>
      <c r="N20" s="38"/>
      <c r="O20" s="37">
        <f t="shared" si="2"/>
        <v>571196.123925</v>
      </c>
      <c r="P20" s="5">
        <f t="shared" si="3"/>
        <v>571196.123925</v>
      </c>
      <c r="Q20" s="37">
        <f t="shared" si="4"/>
        <v>450567.7267482</v>
      </c>
      <c r="R20" s="37">
        <f t="shared" si="5"/>
        <v>8260.608449</v>
      </c>
      <c r="T20" s="38"/>
      <c r="U20" s="38">
        <f t="shared" si="6"/>
        <v>11322.08175</v>
      </c>
      <c r="V20" s="5">
        <f t="shared" si="7"/>
        <v>11322.08175</v>
      </c>
      <c r="W20" s="38">
        <f t="shared" si="8"/>
        <v>8931.021102</v>
      </c>
      <c r="X20" s="38">
        <f t="shared" si="9"/>
        <v>163.747783</v>
      </c>
      <c r="AA20" s="38">
        <f t="shared" si="10"/>
        <v>2696.6037</v>
      </c>
      <c r="AB20" s="38">
        <f t="shared" si="11"/>
        <v>2696.6037</v>
      </c>
      <c r="AC20" s="38">
        <f t="shared" si="12"/>
        <v>2127.1198248</v>
      </c>
      <c r="AD20" s="38">
        <f t="shared" si="13"/>
        <v>39.0001492</v>
      </c>
      <c r="AG20" s="5">
        <f t="shared" si="14"/>
        <v>664.21635</v>
      </c>
      <c r="AH20" s="5">
        <f t="shared" si="15"/>
        <v>664.21635</v>
      </c>
      <c r="AI20" s="38">
        <f t="shared" si="16"/>
        <v>523.9434204</v>
      </c>
      <c r="AJ20" s="38">
        <f t="shared" si="17"/>
        <v>9.6063566</v>
      </c>
      <c r="AM20" s="5">
        <f t="shared" si="18"/>
        <v>24.269699999999997</v>
      </c>
      <c r="AN20" s="5">
        <f t="shared" si="19"/>
        <v>24.269699999999997</v>
      </c>
      <c r="AO20" s="38">
        <f t="shared" si="20"/>
        <v>19.144288799999998</v>
      </c>
      <c r="AP20" s="38"/>
      <c r="AR20" s="38"/>
      <c r="AS20" s="38">
        <f t="shared" si="21"/>
        <v>2.667</v>
      </c>
      <c r="AT20" s="5">
        <f t="shared" si="22"/>
        <v>2.667</v>
      </c>
      <c r="AU20" s="38">
        <f t="shared" si="23"/>
        <v>2.103768</v>
      </c>
      <c r="AV20" s="38"/>
      <c r="AX20" s="38"/>
      <c r="AY20" s="38">
        <f t="shared" si="24"/>
        <v>34464.70755</v>
      </c>
      <c r="AZ20" s="5">
        <f t="shared" si="25"/>
        <v>34464.70755</v>
      </c>
      <c r="BA20" s="38">
        <f t="shared" si="26"/>
        <v>27186.257545200002</v>
      </c>
      <c r="BB20" s="38">
        <f t="shared" si="27"/>
        <v>498.45245580000005</v>
      </c>
      <c r="BC20" s="5"/>
      <c r="BD20" s="38"/>
      <c r="BE20" s="38">
        <f t="shared" si="28"/>
        <v>414.05175</v>
      </c>
      <c r="BF20" s="5">
        <f t="shared" si="29"/>
        <v>414.05175</v>
      </c>
      <c r="BG20" s="38">
        <f t="shared" si="30"/>
        <v>326.609982</v>
      </c>
      <c r="BH20" s="38">
        <f t="shared" si="31"/>
        <v>5.988303</v>
      </c>
      <c r="BI20" s="5"/>
      <c r="BJ20" s="38"/>
      <c r="BK20" s="38">
        <f t="shared" si="32"/>
        <v>483.193725</v>
      </c>
      <c r="BL20" s="5">
        <f t="shared" si="33"/>
        <v>483.193725</v>
      </c>
      <c r="BM20" s="38">
        <f t="shared" si="34"/>
        <v>381.1501674</v>
      </c>
      <c r="BN20" s="38">
        <f t="shared" si="35"/>
        <v>6.9882821</v>
      </c>
      <c r="BO20" s="5"/>
      <c r="BP20" s="38"/>
      <c r="BQ20" s="38">
        <f t="shared" si="36"/>
        <v>2.466975</v>
      </c>
      <c r="BR20" s="5">
        <f t="shared" si="37"/>
        <v>2.466975</v>
      </c>
      <c r="BS20" s="38">
        <f t="shared" si="38"/>
        <v>1.9459854</v>
      </c>
      <c r="BT20" s="38"/>
      <c r="BU20" s="5"/>
      <c r="BV20" s="38"/>
      <c r="BW20" s="38">
        <f t="shared" si="39"/>
        <v>2557.986375</v>
      </c>
      <c r="BX20" s="5">
        <f t="shared" si="40"/>
        <v>2557.986375</v>
      </c>
      <c r="BY20" s="38">
        <f t="shared" si="41"/>
        <v>2017.776483</v>
      </c>
      <c r="BZ20" s="38">
        <f t="shared" si="42"/>
        <v>36.9953695</v>
      </c>
      <c r="CA20" s="5"/>
      <c r="CB20" s="5"/>
      <c r="CC20" s="5">
        <f t="shared" si="43"/>
        <v>1459.982475</v>
      </c>
      <c r="CD20" s="5">
        <f t="shared" si="44"/>
        <v>1459.982475</v>
      </c>
      <c r="CE20" s="38">
        <f t="shared" si="45"/>
        <v>1151.6551974000001</v>
      </c>
      <c r="CF20" s="38">
        <f t="shared" si="46"/>
        <v>21.1152771</v>
      </c>
      <c r="CG20" s="5"/>
      <c r="CH20" s="38"/>
      <c r="CI20" s="38">
        <f t="shared" si="47"/>
        <v>16141.417425</v>
      </c>
      <c r="CJ20" s="5">
        <f t="shared" si="48"/>
        <v>16141.417425</v>
      </c>
      <c r="CK20" s="38">
        <f t="shared" si="49"/>
        <v>12732.5824722</v>
      </c>
      <c r="CL20" s="38">
        <f t="shared" si="50"/>
        <v>233.4483513</v>
      </c>
      <c r="CM20" s="5"/>
      <c r="CN20" s="38"/>
      <c r="CO20" s="38">
        <f t="shared" si="51"/>
        <v>118.34812500000001</v>
      </c>
      <c r="CP20" s="5">
        <f t="shared" si="52"/>
        <v>118.34812500000001</v>
      </c>
      <c r="CQ20" s="38">
        <f t="shared" si="53"/>
        <v>93.354705</v>
      </c>
      <c r="CR20" s="38">
        <f t="shared" si="54"/>
        <v>1.7116325000000001</v>
      </c>
      <c r="CS20" s="5"/>
      <c r="CT20" s="5"/>
      <c r="CU20" s="38">
        <f t="shared" si="55"/>
        <v>4231.86225</v>
      </c>
      <c r="CV20" s="38">
        <f t="shared" si="56"/>
        <v>4231.86225</v>
      </c>
      <c r="CW20" s="38">
        <f t="shared" si="57"/>
        <v>3338.153874</v>
      </c>
      <c r="CX20" s="38">
        <f t="shared" si="58"/>
        <v>61.204121</v>
      </c>
      <c r="CY20" s="5"/>
      <c r="CZ20" s="5"/>
      <c r="DA20" s="38">
        <f t="shared" si="59"/>
        <v>9967.77915</v>
      </c>
      <c r="DB20" s="38">
        <f t="shared" si="60"/>
        <v>9967.77915</v>
      </c>
      <c r="DC20" s="38">
        <f t="shared" si="61"/>
        <v>7862.7277116</v>
      </c>
      <c r="DD20" s="38">
        <f t="shared" si="62"/>
        <v>144.16092139999998</v>
      </c>
      <c r="DE20" s="5"/>
      <c r="DF20" s="38"/>
      <c r="DG20" s="38">
        <f t="shared" si="63"/>
        <v>3901.754325</v>
      </c>
      <c r="DH20" s="5">
        <f t="shared" si="64"/>
        <v>3901.754325</v>
      </c>
      <c r="DI20" s="38">
        <f t="shared" si="65"/>
        <v>3077.7599898</v>
      </c>
      <c r="DJ20" s="38">
        <f t="shared" si="66"/>
        <v>56.4298717</v>
      </c>
      <c r="DK20" s="5"/>
      <c r="DL20" s="5"/>
      <c r="DM20" s="38">
        <f t="shared" si="67"/>
        <v>4833.4041</v>
      </c>
      <c r="DN20" s="38">
        <f t="shared" si="68"/>
        <v>4833.4041</v>
      </c>
      <c r="DO20" s="38">
        <f t="shared" si="69"/>
        <v>3812.6587464</v>
      </c>
      <c r="DP20" s="38">
        <f t="shared" si="70"/>
        <v>69.9040356</v>
      </c>
      <c r="DQ20" s="5"/>
      <c r="DR20" s="5"/>
      <c r="DS20" s="5">
        <f t="shared" si="71"/>
        <v>559.069875</v>
      </c>
      <c r="DT20" s="5">
        <f t="shared" si="72"/>
        <v>559.069875</v>
      </c>
      <c r="DU20" s="38">
        <f t="shared" si="73"/>
        <v>441.00236700000005</v>
      </c>
      <c r="DV20" s="38">
        <f t="shared" si="74"/>
        <v>8.0856555</v>
      </c>
      <c r="DW20" s="5"/>
      <c r="DX20" s="38"/>
      <c r="DY20" s="38">
        <f t="shared" si="75"/>
        <v>59098.5864</v>
      </c>
      <c r="DZ20" s="5">
        <f t="shared" si="76"/>
        <v>59098.5864</v>
      </c>
      <c r="EA20" s="38">
        <f t="shared" si="77"/>
        <v>46617.8158656</v>
      </c>
      <c r="EB20" s="38">
        <f t="shared" si="78"/>
        <v>854.7246624</v>
      </c>
      <c r="EC20" s="5"/>
      <c r="ED20" s="38"/>
      <c r="EE20" s="38">
        <f t="shared" si="79"/>
        <v>56261.83185</v>
      </c>
      <c r="EF20" s="5">
        <f t="shared" si="80"/>
        <v>56261.83185</v>
      </c>
      <c r="EG20" s="38">
        <f t="shared" si="81"/>
        <v>44380.1430324</v>
      </c>
      <c r="EH20" s="38">
        <f t="shared" si="82"/>
        <v>813.6975546</v>
      </c>
      <c r="EI20" s="5"/>
      <c r="EJ20" s="38"/>
      <c r="EK20" s="38">
        <f t="shared" si="83"/>
        <v>1333.90005</v>
      </c>
      <c r="EL20" s="5">
        <f t="shared" si="84"/>
        <v>1333.90005</v>
      </c>
      <c r="EM20" s="38">
        <f t="shared" si="85"/>
        <v>1052.1995652</v>
      </c>
      <c r="EN20" s="38">
        <f t="shared" si="86"/>
        <v>19.2917858</v>
      </c>
      <c r="EO20" s="5"/>
      <c r="EP20" s="38"/>
      <c r="EQ20" s="38">
        <f t="shared" si="87"/>
        <v>95569.27799999999</v>
      </c>
      <c r="ER20" s="5">
        <f t="shared" si="88"/>
        <v>95569.27799999999</v>
      </c>
      <c r="ES20" s="38">
        <f t="shared" si="89"/>
        <v>75386.42251199999</v>
      </c>
      <c r="ET20" s="38">
        <f t="shared" si="90"/>
        <v>1382.189048</v>
      </c>
      <c r="EU20" s="5"/>
      <c r="EV20" s="38"/>
      <c r="EW20" s="38">
        <f t="shared" si="91"/>
        <v>122893.959825</v>
      </c>
      <c r="EX20" s="5">
        <f t="shared" si="92"/>
        <v>122893.959825</v>
      </c>
      <c r="EY20" s="38">
        <f t="shared" si="93"/>
        <v>96940.52496180001</v>
      </c>
      <c r="EZ20" s="38">
        <f t="shared" si="94"/>
        <v>1777.3775097</v>
      </c>
      <c r="FA20" s="5"/>
      <c r="FB20" s="5"/>
      <c r="FC20" s="38">
        <f t="shared" si="95"/>
        <v>3834.6126</v>
      </c>
      <c r="FD20" s="38">
        <f t="shared" si="96"/>
        <v>3834.6126</v>
      </c>
      <c r="FE20" s="38">
        <f t="shared" si="97"/>
        <v>3024.7976304</v>
      </c>
      <c r="FF20" s="38">
        <f t="shared" si="98"/>
        <v>55.4588216</v>
      </c>
      <c r="FG20" s="5"/>
      <c r="FH20" s="5"/>
      <c r="FI20" s="38">
        <f t="shared" si="99"/>
        <v>10514.580825</v>
      </c>
      <c r="FJ20" s="38">
        <f t="shared" si="100"/>
        <v>10514.580825</v>
      </c>
      <c r="FK20" s="38">
        <f t="shared" si="101"/>
        <v>8294.0527458</v>
      </c>
      <c r="FL20" s="38">
        <f t="shared" si="102"/>
        <v>152.0691457</v>
      </c>
      <c r="FM20" s="5"/>
      <c r="FN20" s="38"/>
      <c r="FO20" s="38">
        <f t="shared" si="103"/>
        <v>74219.209575</v>
      </c>
      <c r="FP20" s="5">
        <f t="shared" si="104"/>
        <v>74219.209575</v>
      </c>
      <c r="FQ20" s="38">
        <f t="shared" si="105"/>
        <v>58545.1811358</v>
      </c>
      <c r="FR20" s="38">
        <f t="shared" si="106"/>
        <v>1073.4095806999999</v>
      </c>
      <c r="FS20" s="5"/>
      <c r="FT20" s="38"/>
      <c r="FU20" s="38">
        <f t="shared" si="107"/>
        <v>53624.3022</v>
      </c>
      <c r="FV20" s="5">
        <f t="shared" si="108"/>
        <v>53624.3022</v>
      </c>
      <c r="FW20" s="38">
        <f t="shared" si="109"/>
        <v>42299.6216688</v>
      </c>
      <c r="FX20" s="38">
        <f t="shared" si="110"/>
        <v>775.5517752</v>
      </c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</row>
    <row r="21" spans="1:223" ht="12.75">
      <c r="A21" s="40">
        <v>46478</v>
      </c>
      <c r="B21" s="3">
        <v>6200000</v>
      </c>
      <c r="C21" s="3">
        <v>666750</v>
      </c>
      <c r="D21" s="37">
        <f t="shared" si="0"/>
        <v>6866750</v>
      </c>
      <c r="E21" s="37">
        <v>525942</v>
      </c>
      <c r="F21" s="37">
        <v>9643</v>
      </c>
      <c r="H21" s="38">
        <f>'2019C Academic'!I21</f>
        <v>888539.9800000002</v>
      </c>
      <c r="I21" s="38">
        <f>'2019C Academic'!J21</f>
        <v>95553.87607499998</v>
      </c>
      <c r="J21" s="38">
        <f t="shared" si="1"/>
        <v>984093.8560750003</v>
      </c>
      <c r="K21" s="38">
        <f>'2019C Academic'!L21</f>
        <v>75374.27325180001</v>
      </c>
      <c r="L21" s="38">
        <f>'2019C Academic'!M21</f>
        <v>1381.9662947000002</v>
      </c>
      <c r="N21" s="38">
        <f>T21+Z21+AF21+AR21+AX21+BD21+BV21+CB21+CH21+CT21+DF21+DL21+DR21+DX21+ED21+EJ21+EP21+EV21+FB21+FH21+FN21+FT21+FZ21+AL21+BJ21+CN21+CZ21+BP21</f>
        <v>5311460.02</v>
      </c>
      <c r="O21" s="37">
        <f t="shared" si="2"/>
        <v>571196.123925</v>
      </c>
      <c r="P21" s="5">
        <f t="shared" si="3"/>
        <v>5882656.143925</v>
      </c>
      <c r="Q21" s="37">
        <f t="shared" si="4"/>
        <v>450567.7267482</v>
      </c>
      <c r="R21" s="37">
        <f t="shared" si="5"/>
        <v>8260.608449</v>
      </c>
      <c r="T21" s="38">
        <f t="shared" si="111"/>
        <v>105282.2</v>
      </c>
      <c r="U21" s="38">
        <f t="shared" si="6"/>
        <v>11322.08175</v>
      </c>
      <c r="V21" s="5">
        <f t="shared" si="7"/>
        <v>116604.28175</v>
      </c>
      <c r="W21" s="38">
        <f t="shared" si="8"/>
        <v>8931.021102</v>
      </c>
      <c r="X21" s="38">
        <f t="shared" si="9"/>
        <v>163.747783</v>
      </c>
      <c r="Z21" s="5">
        <f t="shared" si="112"/>
        <v>25075.28</v>
      </c>
      <c r="AA21" s="38">
        <f t="shared" si="10"/>
        <v>2696.6037</v>
      </c>
      <c r="AB21" s="38">
        <f t="shared" si="11"/>
        <v>27771.8837</v>
      </c>
      <c r="AC21" s="38">
        <f t="shared" si="12"/>
        <v>2127.1198248</v>
      </c>
      <c r="AD21" s="38">
        <f t="shared" si="13"/>
        <v>39.0001492</v>
      </c>
      <c r="AF21" s="5">
        <f t="shared" si="113"/>
        <v>6176.4400000000005</v>
      </c>
      <c r="AG21" s="5">
        <f t="shared" si="14"/>
        <v>664.21635</v>
      </c>
      <c r="AH21" s="5">
        <f t="shared" si="15"/>
        <v>6840.65635</v>
      </c>
      <c r="AI21" s="38">
        <f t="shared" si="16"/>
        <v>523.9434204</v>
      </c>
      <c r="AJ21" s="38">
        <f t="shared" si="17"/>
        <v>9.6063566</v>
      </c>
      <c r="AL21" s="5">
        <f t="shared" si="114"/>
        <v>225.67999999999998</v>
      </c>
      <c r="AM21" s="5">
        <f t="shared" si="18"/>
        <v>24.269699999999997</v>
      </c>
      <c r="AN21" s="5">
        <f t="shared" si="19"/>
        <v>249.94969999999998</v>
      </c>
      <c r="AO21" s="38">
        <f t="shared" si="20"/>
        <v>19.144288799999998</v>
      </c>
      <c r="AP21" s="38"/>
      <c r="AR21" s="38">
        <f t="shared" si="115"/>
        <v>24.799999999999997</v>
      </c>
      <c r="AS21" s="38">
        <f t="shared" si="21"/>
        <v>2.667</v>
      </c>
      <c r="AT21" s="5">
        <f t="shared" si="22"/>
        <v>27.467</v>
      </c>
      <c r="AU21" s="38">
        <f t="shared" si="23"/>
        <v>2.103768</v>
      </c>
      <c r="AV21" s="38"/>
      <c r="AX21" s="38">
        <f t="shared" si="116"/>
        <v>320481.72000000003</v>
      </c>
      <c r="AY21" s="38">
        <f t="shared" si="24"/>
        <v>34464.70755</v>
      </c>
      <c r="AZ21" s="5">
        <f t="shared" si="25"/>
        <v>354946.42755</v>
      </c>
      <c r="BA21" s="38">
        <f t="shared" si="26"/>
        <v>27186.257545200002</v>
      </c>
      <c r="BB21" s="38">
        <f t="shared" si="27"/>
        <v>498.45245580000005</v>
      </c>
      <c r="BC21" s="5"/>
      <c r="BD21" s="38">
        <f t="shared" si="117"/>
        <v>3850.2000000000003</v>
      </c>
      <c r="BE21" s="38">
        <f t="shared" si="28"/>
        <v>414.05175</v>
      </c>
      <c r="BF21" s="5">
        <f t="shared" si="29"/>
        <v>4264.25175</v>
      </c>
      <c r="BG21" s="38">
        <f t="shared" si="30"/>
        <v>326.609982</v>
      </c>
      <c r="BH21" s="38">
        <f t="shared" si="31"/>
        <v>5.988303</v>
      </c>
      <c r="BI21" s="5"/>
      <c r="BJ21" s="38">
        <f t="shared" si="118"/>
        <v>4493.14</v>
      </c>
      <c r="BK21" s="38">
        <f t="shared" si="32"/>
        <v>483.193725</v>
      </c>
      <c r="BL21" s="5">
        <f t="shared" si="33"/>
        <v>4976.333725</v>
      </c>
      <c r="BM21" s="38">
        <f t="shared" si="34"/>
        <v>381.1501674</v>
      </c>
      <c r="BN21" s="38">
        <f t="shared" si="35"/>
        <v>6.9882821</v>
      </c>
      <c r="BO21" s="5"/>
      <c r="BP21" s="38">
        <f>B21*$BQ$6</f>
        <v>22.94</v>
      </c>
      <c r="BQ21" s="38">
        <f t="shared" si="36"/>
        <v>2.466975</v>
      </c>
      <c r="BR21" s="5">
        <f t="shared" si="37"/>
        <v>25.406975000000003</v>
      </c>
      <c r="BS21" s="38">
        <f t="shared" si="38"/>
        <v>1.9459854</v>
      </c>
      <c r="BT21" s="38"/>
      <c r="BU21" s="5"/>
      <c r="BV21" s="38">
        <f t="shared" si="119"/>
        <v>23786.3</v>
      </c>
      <c r="BW21" s="38">
        <f t="shared" si="39"/>
        <v>2557.986375</v>
      </c>
      <c r="BX21" s="5">
        <f t="shared" si="40"/>
        <v>26344.286375</v>
      </c>
      <c r="BY21" s="38">
        <f t="shared" si="41"/>
        <v>2017.776483</v>
      </c>
      <c r="BZ21" s="38">
        <f t="shared" si="42"/>
        <v>36.9953695</v>
      </c>
      <c r="CA21" s="5"/>
      <c r="CB21" s="5">
        <f t="shared" si="120"/>
        <v>13576.140000000001</v>
      </c>
      <c r="CC21" s="5">
        <f t="shared" si="43"/>
        <v>1459.982475</v>
      </c>
      <c r="CD21" s="5">
        <f t="shared" si="44"/>
        <v>15036.122475000002</v>
      </c>
      <c r="CE21" s="38">
        <f t="shared" si="45"/>
        <v>1151.6551974000001</v>
      </c>
      <c r="CF21" s="38">
        <f t="shared" si="46"/>
        <v>21.1152771</v>
      </c>
      <c r="CG21" s="5"/>
      <c r="CH21" s="38">
        <f t="shared" si="121"/>
        <v>150096.42</v>
      </c>
      <c r="CI21" s="38">
        <f t="shared" si="47"/>
        <v>16141.417425</v>
      </c>
      <c r="CJ21" s="5">
        <f t="shared" si="48"/>
        <v>166237.837425</v>
      </c>
      <c r="CK21" s="38">
        <f t="shared" si="49"/>
        <v>12732.5824722</v>
      </c>
      <c r="CL21" s="38">
        <f t="shared" si="50"/>
        <v>233.4483513</v>
      </c>
      <c r="CM21" s="5"/>
      <c r="CN21" s="38">
        <f t="shared" si="122"/>
        <v>1100.5</v>
      </c>
      <c r="CO21" s="38">
        <f t="shared" si="51"/>
        <v>118.34812500000001</v>
      </c>
      <c r="CP21" s="5">
        <f t="shared" si="52"/>
        <v>1218.848125</v>
      </c>
      <c r="CQ21" s="38">
        <f t="shared" si="53"/>
        <v>93.354705</v>
      </c>
      <c r="CR21" s="38">
        <f t="shared" si="54"/>
        <v>1.7116325000000001</v>
      </c>
      <c r="CS21" s="5"/>
      <c r="CT21" s="5">
        <f t="shared" si="123"/>
        <v>39351.4</v>
      </c>
      <c r="CU21" s="38">
        <f t="shared" si="55"/>
        <v>4231.86225</v>
      </c>
      <c r="CV21" s="38">
        <f t="shared" si="56"/>
        <v>43583.26225</v>
      </c>
      <c r="CW21" s="38">
        <f t="shared" si="57"/>
        <v>3338.153874</v>
      </c>
      <c r="CX21" s="38">
        <f t="shared" si="58"/>
        <v>61.204121</v>
      </c>
      <c r="CY21" s="5"/>
      <c r="CZ21" s="5">
        <f t="shared" si="124"/>
        <v>92688.76</v>
      </c>
      <c r="DA21" s="38">
        <f t="shared" si="59"/>
        <v>9967.77915</v>
      </c>
      <c r="DB21" s="38">
        <f t="shared" si="60"/>
        <v>102656.53915</v>
      </c>
      <c r="DC21" s="38">
        <f t="shared" si="61"/>
        <v>7862.7277116</v>
      </c>
      <c r="DD21" s="38">
        <f t="shared" si="62"/>
        <v>144.16092139999998</v>
      </c>
      <c r="DE21" s="5"/>
      <c r="DF21" s="38">
        <f t="shared" si="125"/>
        <v>36281.78</v>
      </c>
      <c r="DG21" s="38">
        <f t="shared" si="63"/>
        <v>3901.754325</v>
      </c>
      <c r="DH21" s="5">
        <f t="shared" si="64"/>
        <v>40183.534325</v>
      </c>
      <c r="DI21" s="38">
        <f t="shared" si="65"/>
        <v>3077.7599898</v>
      </c>
      <c r="DJ21" s="38">
        <f t="shared" si="66"/>
        <v>56.4298717</v>
      </c>
      <c r="DK21" s="5"/>
      <c r="DL21" s="5">
        <f t="shared" si="126"/>
        <v>44945.04</v>
      </c>
      <c r="DM21" s="38">
        <f t="shared" si="67"/>
        <v>4833.4041</v>
      </c>
      <c r="DN21" s="38">
        <f t="shared" si="68"/>
        <v>49778.4441</v>
      </c>
      <c r="DO21" s="38">
        <f t="shared" si="69"/>
        <v>3812.6587464</v>
      </c>
      <c r="DP21" s="38">
        <f t="shared" si="70"/>
        <v>69.9040356</v>
      </c>
      <c r="DQ21" s="5"/>
      <c r="DR21" s="5">
        <f t="shared" si="127"/>
        <v>5198.700000000001</v>
      </c>
      <c r="DS21" s="5">
        <f t="shared" si="71"/>
        <v>559.069875</v>
      </c>
      <c r="DT21" s="5">
        <f t="shared" si="72"/>
        <v>5757.769875000001</v>
      </c>
      <c r="DU21" s="38">
        <f t="shared" si="73"/>
        <v>441.00236700000005</v>
      </c>
      <c r="DV21" s="38">
        <f t="shared" si="74"/>
        <v>8.0856555</v>
      </c>
      <c r="DW21" s="5"/>
      <c r="DX21" s="38">
        <f t="shared" si="128"/>
        <v>549548.16</v>
      </c>
      <c r="DY21" s="38">
        <f t="shared" si="75"/>
        <v>59098.5864</v>
      </c>
      <c r="DZ21" s="5">
        <f t="shared" si="76"/>
        <v>608646.7464000001</v>
      </c>
      <c r="EA21" s="38">
        <f t="shared" si="77"/>
        <v>46617.8158656</v>
      </c>
      <c r="EB21" s="38">
        <f t="shared" si="78"/>
        <v>854.7246624</v>
      </c>
      <c r="EC21" s="5"/>
      <c r="ED21" s="38">
        <f t="shared" si="129"/>
        <v>523169.64</v>
      </c>
      <c r="EE21" s="38">
        <f t="shared" si="79"/>
        <v>56261.83185</v>
      </c>
      <c r="EF21" s="5">
        <f t="shared" si="80"/>
        <v>579431.47185</v>
      </c>
      <c r="EG21" s="38">
        <f t="shared" si="81"/>
        <v>44380.1430324</v>
      </c>
      <c r="EH21" s="38">
        <f t="shared" si="82"/>
        <v>813.6975546</v>
      </c>
      <c r="EI21" s="5"/>
      <c r="EJ21" s="38">
        <f t="shared" si="130"/>
        <v>12403.72</v>
      </c>
      <c r="EK21" s="38">
        <f t="shared" si="83"/>
        <v>1333.90005</v>
      </c>
      <c r="EL21" s="5">
        <f t="shared" si="84"/>
        <v>13737.62005</v>
      </c>
      <c r="EM21" s="38">
        <f t="shared" si="85"/>
        <v>1052.1995652</v>
      </c>
      <c r="EN21" s="38">
        <f t="shared" si="86"/>
        <v>19.2917858</v>
      </c>
      <c r="EO21" s="5"/>
      <c r="EP21" s="38">
        <f t="shared" si="131"/>
        <v>888683.2</v>
      </c>
      <c r="EQ21" s="38">
        <f t="shared" si="87"/>
        <v>95569.27799999999</v>
      </c>
      <c r="ER21" s="5">
        <f t="shared" si="88"/>
        <v>984252.4779999999</v>
      </c>
      <c r="ES21" s="38">
        <f t="shared" si="89"/>
        <v>75386.42251199999</v>
      </c>
      <c r="ET21" s="38">
        <f t="shared" si="90"/>
        <v>1382.189048</v>
      </c>
      <c r="EU21" s="5"/>
      <c r="EV21" s="38">
        <f t="shared" si="132"/>
        <v>1142770.98</v>
      </c>
      <c r="EW21" s="38">
        <f t="shared" si="91"/>
        <v>122893.959825</v>
      </c>
      <c r="EX21" s="5">
        <f t="shared" si="92"/>
        <v>1265664.939825</v>
      </c>
      <c r="EY21" s="38">
        <f t="shared" si="93"/>
        <v>96940.52496180001</v>
      </c>
      <c r="EZ21" s="38">
        <f t="shared" si="94"/>
        <v>1777.3775097</v>
      </c>
      <c r="FA21" s="5"/>
      <c r="FB21" s="5">
        <f t="shared" si="133"/>
        <v>35657.439999999995</v>
      </c>
      <c r="FC21" s="38">
        <f t="shared" si="95"/>
        <v>3834.6126</v>
      </c>
      <c r="FD21" s="38">
        <f t="shared" si="96"/>
        <v>39492.052599999995</v>
      </c>
      <c r="FE21" s="38">
        <f t="shared" si="97"/>
        <v>3024.7976304</v>
      </c>
      <c r="FF21" s="38">
        <f t="shared" si="98"/>
        <v>55.4588216</v>
      </c>
      <c r="FG21" s="5"/>
      <c r="FH21" s="5">
        <f t="shared" si="134"/>
        <v>97773.38</v>
      </c>
      <c r="FI21" s="38">
        <f t="shared" si="99"/>
        <v>10514.580825</v>
      </c>
      <c r="FJ21" s="38">
        <f t="shared" si="100"/>
        <v>108287.960825</v>
      </c>
      <c r="FK21" s="38">
        <f t="shared" si="101"/>
        <v>8294.0527458</v>
      </c>
      <c r="FL21" s="38">
        <f t="shared" si="102"/>
        <v>152.0691457</v>
      </c>
      <c r="FM21" s="5"/>
      <c r="FN21" s="38">
        <f t="shared" si="135"/>
        <v>690152.38</v>
      </c>
      <c r="FO21" s="38">
        <f t="shared" si="103"/>
        <v>74219.209575</v>
      </c>
      <c r="FP21" s="5">
        <f t="shared" si="104"/>
        <v>764371.589575</v>
      </c>
      <c r="FQ21" s="38">
        <f t="shared" si="105"/>
        <v>58545.1811358</v>
      </c>
      <c r="FR21" s="38">
        <f t="shared" si="106"/>
        <v>1073.4095806999999</v>
      </c>
      <c r="FS21" s="5"/>
      <c r="FT21" s="38">
        <f t="shared" si="136"/>
        <v>498643.68</v>
      </c>
      <c r="FU21" s="38">
        <f t="shared" si="107"/>
        <v>53624.3022</v>
      </c>
      <c r="FV21" s="5">
        <f t="shared" si="108"/>
        <v>552267.9822</v>
      </c>
      <c r="FW21" s="38">
        <f t="shared" si="109"/>
        <v>42299.6216688</v>
      </c>
      <c r="FX21" s="38">
        <f t="shared" si="110"/>
        <v>775.5517752</v>
      </c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</row>
    <row r="22" spans="1:223" ht="12.75">
      <c r="A22" s="40">
        <v>46661</v>
      </c>
      <c r="C22" s="3">
        <v>511750</v>
      </c>
      <c r="D22" s="37">
        <f t="shared" si="0"/>
        <v>511750</v>
      </c>
      <c r="E22" s="37">
        <v>525942</v>
      </c>
      <c r="F22" s="37">
        <v>9643</v>
      </c>
      <c r="H22" s="38">
        <f>'2019C Academic'!I22</f>
        <v>0</v>
      </c>
      <c r="I22" s="38">
        <f>'2019C Academic'!J22</f>
        <v>73340.37657499997</v>
      </c>
      <c r="J22" s="38">
        <f t="shared" si="1"/>
        <v>73340.37657499997</v>
      </c>
      <c r="K22" s="38">
        <f>'2019C Academic'!L22</f>
        <v>75374.27325180001</v>
      </c>
      <c r="L22" s="38">
        <f>'2019C Academic'!M22</f>
        <v>1381.9662947000002</v>
      </c>
      <c r="N22" s="38"/>
      <c r="O22" s="37">
        <f t="shared" si="2"/>
        <v>438409.62342499994</v>
      </c>
      <c r="P22" s="5">
        <f t="shared" si="3"/>
        <v>438409.62342499994</v>
      </c>
      <c r="Q22" s="37">
        <f t="shared" si="4"/>
        <v>450567.7267482</v>
      </c>
      <c r="R22" s="37">
        <f t="shared" si="5"/>
        <v>8260.608449</v>
      </c>
      <c r="T22" s="38"/>
      <c r="U22" s="38">
        <f t="shared" si="6"/>
        <v>8690.026749999999</v>
      </c>
      <c r="V22" s="5">
        <f t="shared" si="7"/>
        <v>8690.026749999999</v>
      </c>
      <c r="W22" s="38">
        <f t="shared" si="8"/>
        <v>8931.021102</v>
      </c>
      <c r="X22" s="38">
        <f t="shared" si="9"/>
        <v>163.747783</v>
      </c>
      <c r="AA22" s="38">
        <f t="shared" si="10"/>
        <v>2069.7217</v>
      </c>
      <c r="AB22" s="38">
        <f t="shared" si="11"/>
        <v>2069.7217</v>
      </c>
      <c r="AC22" s="38">
        <f t="shared" si="12"/>
        <v>2127.1198248</v>
      </c>
      <c r="AD22" s="38">
        <f t="shared" si="13"/>
        <v>39.0001492</v>
      </c>
      <c r="AG22" s="5">
        <f t="shared" si="14"/>
        <v>509.80535000000003</v>
      </c>
      <c r="AH22" s="5">
        <f t="shared" si="15"/>
        <v>509.80535000000003</v>
      </c>
      <c r="AI22" s="38">
        <f t="shared" si="16"/>
        <v>523.9434204</v>
      </c>
      <c r="AJ22" s="38">
        <f t="shared" si="17"/>
        <v>9.6063566</v>
      </c>
      <c r="AM22" s="5">
        <f t="shared" si="18"/>
        <v>18.627699999999997</v>
      </c>
      <c r="AN22" s="5">
        <f t="shared" si="19"/>
        <v>18.627699999999997</v>
      </c>
      <c r="AO22" s="38">
        <f t="shared" si="20"/>
        <v>19.144288799999998</v>
      </c>
      <c r="AP22" s="38"/>
      <c r="AR22" s="38"/>
      <c r="AS22" s="38">
        <f t="shared" si="21"/>
        <v>2.0469999999999997</v>
      </c>
      <c r="AT22" s="5">
        <f t="shared" si="22"/>
        <v>2.0469999999999997</v>
      </c>
      <c r="AU22" s="38">
        <f t="shared" si="23"/>
        <v>2.103768</v>
      </c>
      <c r="AV22" s="38"/>
      <c r="AX22" s="38"/>
      <c r="AY22" s="38">
        <f t="shared" si="24"/>
        <v>26452.66455</v>
      </c>
      <c r="AZ22" s="5">
        <f t="shared" si="25"/>
        <v>26452.66455</v>
      </c>
      <c r="BA22" s="38">
        <f t="shared" si="26"/>
        <v>27186.257545200002</v>
      </c>
      <c r="BB22" s="38">
        <f t="shared" si="27"/>
        <v>498.45245580000005</v>
      </c>
      <c r="BC22" s="5"/>
      <c r="BD22" s="38"/>
      <c r="BE22" s="38">
        <f t="shared" si="28"/>
        <v>317.79675000000003</v>
      </c>
      <c r="BF22" s="5">
        <f t="shared" si="29"/>
        <v>317.79675000000003</v>
      </c>
      <c r="BG22" s="38">
        <f t="shared" si="30"/>
        <v>326.609982</v>
      </c>
      <c r="BH22" s="38">
        <f t="shared" si="31"/>
        <v>5.988303</v>
      </c>
      <c r="BI22" s="5"/>
      <c r="BJ22" s="38"/>
      <c r="BK22" s="38">
        <f t="shared" si="32"/>
        <v>370.865225</v>
      </c>
      <c r="BL22" s="5">
        <f t="shared" si="33"/>
        <v>370.865225</v>
      </c>
      <c r="BM22" s="38">
        <f t="shared" si="34"/>
        <v>381.1501674</v>
      </c>
      <c r="BN22" s="38">
        <f t="shared" si="35"/>
        <v>6.9882821</v>
      </c>
      <c r="BO22" s="5"/>
      <c r="BP22" s="38"/>
      <c r="BQ22" s="38">
        <f t="shared" si="36"/>
        <v>1.893475</v>
      </c>
      <c r="BR22" s="5">
        <f t="shared" si="37"/>
        <v>1.893475</v>
      </c>
      <c r="BS22" s="38">
        <f t="shared" si="38"/>
        <v>1.9459854</v>
      </c>
      <c r="BT22" s="38"/>
      <c r="BU22" s="5"/>
      <c r="BV22" s="38"/>
      <c r="BW22" s="38">
        <f t="shared" si="39"/>
        <v>1963.328875</v>
      </c>
      <c r="BX22" s="5">
        <f t="shared" si="40"/>
        <v>1963.328875</v>
      </c>
      <c r="BY22" s="38">
        <f t="shared" si="41"/>
        <v>2017.776483</v>
      </c>
      <c r="BZ22" s="38">
        <f t="shared" si="42"/>
        <v>36.9953695</v>
      </c>
      <c r="CA22" s="5"/>
      <c r="CB22" s="5"/>
      <c r="CC22" s="5">
        <f t="shared" si="43"/>
        <v>1120.5789750000001</v>
      </c>
      <c r="CD22" s="5">
        <f t="shared" si="44"/>
        <v>1120.5789750000001</v>
      </c>
      <c r="CE22" s="38">
        <f t="shared" si="45"/>
        <v>1151.6551974000001</v>
      </c>
      <c r="CF22" s="38">
        <f t="shared" si="46"/>
        <v>21.1152771</v>
      </c>
      <c r="CG22" s="5"/>
      <c r="CH22" s="38"/>
      <c r="CI22" s="38">
        <f t="shared" si="47"/>
        <v>12389.006925</v>
      </c>
      <c r="CJ22" s="5">
        <f t="shared" si="48"/>
        <v>12389.006925</v>
      </c>
      <c r="CK22" s="38">
        <f t="shared" si="49"/>
        <v>12732.5824722</v>
      </c>
      <c r="CL22" s="38">
        <f t="shared" si="50"/>
        <v>233.4483513</v>
      </c>
      <c r="CM22" s="5"/>
      <c r="CN22" s="38"/>
      <c r="CO22" s="38">
        <f t="shared" si="51"/>
        <v>90.83562500000001</v>
      </c>
      <c r="CP22" s="5">
        <f t="shared" si="52"/>
        <v>90.83562500000001</v>
      </c>
      <c r="CQ22" s="38">
        <f t="shared" si="53"/>
        <v>93.354705</v>
      </c>
      <c r="CR22" s="38">
        <f t="shared" si="54"/>
        <v>1.7116325000000001</v>
      </c>
      <c r="CS22" s="5"/>
      <c r="CT22" s="5"/>
      <c r="CU22" s="38">
        <f t="shared" si="55"/>
        <v>3248.0772500000003</v>
      </c>
      <c r="CV22" s="38">
        <f t="shared" si="56"/>
        <v>3248.0772500000003</v>
      </c>
      <c r="CW22" s="38">
        <f t="shared" si="57"/>
        <v>3338.153874</v>
      </c>
      <c r="CX22" s="38">
        <f t="shared" si="58"/>
        <v>61.204121</v>
      </c>
      <c r="CY22" s="5"/>
      <c r="CZ22" s="5"/>
      <c r="DA22" s="38">
        <f t="shared" si="59"/>
        <v>7650.560149999999</v>
      </c>
      <c r="DB22" s="38">
        <f t="shared" si="60"/>
        <v>7650.560149999999</v>
      </c>
      <c r="DC22" s="38">
        <f t="shared" si="61"/>
        <v>7862.7277116</v>
      </c>
      <c r="DD22" s="38">
        <f t="shared" si="62"/>
        <v>144.16092139999998</v>
      </c>
      <c r="DE22" s="5"/>
      <c r="DF22" s="38"/>
      <c r="DG22" s="38">
        <f t="shared" si="63"/>
        <v>2994.709825</v>
      </c>
      <c r="DH22" s="5">
        <f t="shared" si="64"/>
        <v>2994.709825</v>
      </c>
      <c r="DI22" s="38">
        <f t="shared" si="65"/>
        <v>3077.7599898</v>
      </c>
      <c r="DJ22" s="38">
        <f t="shared" si="66"/>
        <v>56.4298717</v>
      </c>
      <c r="DK22" s="5"/>
      <c r="DL22" s="5"/>
      <c r="DM22" s="38">
        <f t="shared" si="67"/>
        <v>3709.7781</v>
      </c>
      <c r="DN22" s="38">
        <f t="shared" si="68"/>
        <v>3709.7781</v>
      </c>
      <c r="DO22" s="38">
        <f t="shared" si="69"/>
        <v>3812.6587464</v>
      </c>
      <c r="DP22" s="38">
        <f t="shared" si="70"/>
        <v>69.9040356</v>
      </c>
      <c r="DQ22" s="5"/>
      <c r="DR22" s="5"/>
      <c r="DS22" s="5">
        <f t="shared" si="71"/>
        <v>429.10237500000005</v>
      </c>
      <c r="DT22" s="5">
        <f t="shared" si="72"/>
        <v>429.10237500000005</v>
      </c>
      <c r="DU22" s="38">
        <f t="shared" si="73"/>
        <v>441.00236700000005</v>
      </c>
      <c r="DV22" s="38">
        <f t="shared" si="74"/>
        <v>8.0856555</v>
      </c>
      <c r="DW22" s="5"/>
      <c r="DX22" s="38"/>
      <c r="DY22" s="38">
        <f t="shared" si="75"/>
        <v>45359.8824</v>
      </c>
      <c r="DZ22" s="5">
        <f t="shared" si="76"/>
        <v>45359.8824</v>
      </c>
      <c r="EA22" s="38">
        <f t="shared" si="77"/>
        <v>46617.8158656</v>
      </c>
      <c r="EB22" s="38">
        <f t="shared" si="78"/>
        <v>854.7246624</v>
      </c>
      <c r="EC22" s="5"/>
      <c r="ED22" s="38"/>
      <c r="EE22" s="38">
        <f t="shared" si="79"/>
        <v>43182.59085</v>
      </c>
      <c r="EF22" s="5">
        <f t="shared" si="80"/>
        <v>43182.59085</v>
      </c>
      <c r="EG22" s="38">
        <f t="shared" si="81"/>
        <v>44380.1430324</v>
      </c>
      <c r="EH22" s="38">
        <f t="shared" si="82"/>
        <v>813.6975546</v>
      </c>
      <c r="EI22" s="5"/>
      <c r="EJ22" s="38"/>
      <c r="EK22" s="38">
        <f t="shared" si="83"/>
        <v>1023.80705</v>
      </c>
      <c r="EL22" s="5">
        <f t="shared" si="84"/>
        <v>1023.80705</v>
      </c>
      <c r="EM22" s="38">
        <f t="shared" si="85"/>
        <v>1052.1995652</v>
      </c>
      <c r="EN22" s="38">
        <f t="shared" si="86"/>
        <v>19.2917858</v>
      </c>
      <c r="EO22" s="5"/>
      <c r="EP22" s="38"/>
      <c r="EQ22" s="38">
        <f t="shared" si="87"/>
        <v>73352.19799999999</v>
      </c>
      <c r="ER22" s="5">
        <f t="shared" si="88"/>
        <v>73352.19799999999</v>
      </c>
      <c r="ES22" s="38">
        <f t="shared" si="89"/>
        <v>75386.42251199999</v>
      </c>
      <c r="ET22" s="38">
        <f t="shared" si="90"/>
        <v>1382.189048</v>
      </c>
      <c r="EU22" s="5"/>
      <c r="EV22" s="38"/>
      <c r="EW22" s="38">
        <f t="shared" si="91"/>
        <v>94324.685325</v>
      </c>
      <c r="EX22" s="5">
        <f t="shared" si="92"/>
        <v>94324.685325</v>
      </c>
      <c r="EY22" s="38">
        <f t="shared" si="93"/>
        <v>96940.52496180001</v>
      </c>
      <c r="EZ22" s="38">
        <f t="shared" si="94"/>
        <v>1777.3775097</v>
      </c>
      <c r="FA22" s="5"/>
      <c r="FB22" s="5"/>
      <c r="FC22" s="38">
        <f t="shared" si="95"/>
        <v>2943.1766</v>
      </c>
      <c r="FD22" s="38">
        <f t="shared" si="96"/>
        <v>2943.1766</v>
      </c>
      <c r="FE22" s="38">
        <f t="shared" si="97"/>
        <v>3024.7976304</v>
      </c>
      <c r="FF22" s="38">
        <f t="shared" si="98"/>
        <v>55.4588216</v>
      </c>
      <c r="FG22" s="5"/>
      <c r="FH22" s="5"/>
      <c r="FI22" s="38">
        <f t="shared" si="99"/>
        <v>8070.246325</v>
      </c>
      <c r="FJ22" s="38">
        <f t="shared" si="100"/>
        <v>8070.246325</v>
      </c>
      <c r="FK22" s="38">
        <f t="shared" si="101"/>
        <v>8294.0527458</v>
      </c>
      <c r="FL22" s="38">
        <f t="shared" si="102"/>
        <v>152.0691457</v>
      </c>
      <c r="FM22" s="5"/>
      <c r="FN22" s="38"/>
      <c r="FO22" s="38">
        <f t="shared" si="103"/>
        <v>56965.400075</v>
      </c>
      <c r="FP22" s="5">
        <f t="shared" si="104"/>
        <v>56965.400075</v>
      </c>
      <c r="FQ22" s="38">
        <f t="shared" si="105"/>
        <v>58545.1811358</v>
      </c>
      <c r="FR22" s="38">
        <f t="shared" si="106"/>
        <v>1073.4095806999999</v>
      </c>
      <c r="FS22" s="5"/>
      <c r="FT22" s="38"/>
      <c r="FU22" s="38">
        <f t="shared" si="107"/>
        <v>41158.210199999994</v>
      </c>
      <c r="FV22" s="5">
        <f t="shared" si="108"/>
        <v>41158.210199999994</v>
      </c>
      <c r="FW22" s="38">
        <f t="shared" si="109"/>
        <v>42299.6216688</v>
      </c>
      <c r="FX22" s="38">
        <f t="shared" si="110"/>
        <v>775.5517752</v>
      </c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</row>
    <row r="23" spans="1:223" ht="12.75">
      <c r="A23" s="40">
        <v>46844</v>
      </c>
      <c r="B23" s="3">
        <v>6500000</v>
      </c>
      <c r="C23" s="3">
        <v>511750</v>
      </c>
      <c r="D23" s="37">
        <f t="shared" si="0"/>
        <v>7011750</v>
      </c>
      <c r="E23" s="37">
        <v>525942</v>
      </c>
      <c r="F23" s="37">
        <v>9643</v>
      </c>
      <c r="H23" s="38">
        <f>'2019C Academic'!I23</f>
        <v>931533.8500000002</v>
      </c>
      <c r="I23" s="38">
        <f>'2019C Academic'!J23</f>
        <v>73340.37657499997</v>
      </c>
      <c r="J23" s="38">
        <f t="shared" si="1"/>
        <v>1004874.2265750002</v>
      </c>
      <c r="K23" s="38">
        <f>'2019C Academic'!L23</f>
        <v>75374.27325180001</v>
      </c>
      <c r="L23" s="38">
        <f>'2019C Academic'!M23</f>
        <v>1381.9662947000002</v>
      </c>
      <c r="N23" s="38">
        <f>T23+Z23+AF23+AR23+AX23+BD23+BV23+CB23+CH23+CT23+DF23+DL23+DR23+DX23+ED23+EJ23+EP23+EV23+FB23+FH23+FN23+FT23+FZ23+AL23+BJ23+CN23+CZ23+BP23</f>
        <v>5568466.1499999985</v>
      </c>
      <c r="O23" s="37">
        <f t="shared" si="2"/>
        <v>438409.62342499994</v>
      </c>
      <c r="P23" s="5">
        <f t="shared" si="3"/>
        <v>6006875.773424999</v>
      </c>
      <c r="Q23" s="37">
        <f t="shared" si="4"/>
        <v>450567.7267482</v>
      </c>
      <c r="R23" s="37">
        <f t="shared" si="5"/>
        <v>8260.608449</v>
      </c>
      <c r="T23" s="38">
        <f t="shared" si="111"/>
        <v>110376.5</v>
      </c>
      <c r="U23" s="38">
        <f t="shared" si="6"/>
        <v>8690.026749999999</v>
      </c>
      <c r="V23" s="5">
        <f t="shared" si="7"/>
        <v>119066.52675</v>
      </c>
      <c r="W23" s="38">
        <f t="shared" si="8"/>
        <v>8931.021102</v>
      </c>
      <c r="X23" s="38">
        <f t="shared" si="9"/>
        <v>163.747783</v>
      </c>
      <c r="Z23" s="5">
        <f t="shared" si="112"/>
        <v>26288.600000000002</v>
      </c>
      <c r="AA23" s="38">
        <f t="shared" si="10"/>
        <v>2069.7217</v>
      </c>
      <c r="AB23" s="38">
        <f t="shared" si="11"/>
        <v>28358.3217</v>
      </c>
      <c r="AC23" s="38">
        <f t="shared" si="12"/>
        <v>2127.1198248</v>
      </c>
      <c r="AD23" s="38">
        <f t="shared" si="13"/>
        <v>39.0001492</v>
      </c>
      <c r="AF23" s="5">
        <f t="shared" si="113"/>
        <v>6475.3</v>
      </c>
      <c r="AG23" s="5">
        <f t="shared" si="14"/>
        <v>509.80535000000003</v>
      </c>
      <c r="AH23" s="5">
        <f t="shared" si="15"/>
        <v>6985.10535</v>
      </c>
      <c r="AI23" s="38">
        <f t="shared" si="16"/>
        <v>523.9434204</v>
      </c>
      <c r="AJ23" s="38">
        <f t="shared" si="17"/>
        <v>9.6063566</v>
      </c>
      <c r="AL23" s="5">
        <f t="shared" si="114"/>
        <v>236.6</v>
      </c>
      <c r="AM23" s="5">
        <f t="shared" si="18"/>
        <v>18.627699999999997</v>
      </c>
      <c r="AN23" s="5">
        <f t="shared" si="19"/>
        <v>255.2277</v>
      </c>
      <c r="AO23" s="38">
        <f t="shared" si="20"/>
        <v>19.144288799999998</v>
      </c>
      <c r="AP23" s="38"/>
      <c r="AR23" s="38">
        <f t="shared" si="115"/>
        <v>26</v>
      </c>
      <c r="AS23" s="38">
        <f t="shared" si="21"/>
        <v>2.0469999999999997</v>
      </c>
      <c r="AT23" s="5">
        <f t="shared" si="22"/>
        <v>28.047</v>
      </c>
      <c r="AU23" s="38">
        <f t="shared" si="23"/>
        <v>2.103768</v>
      </c>
      <c r="AV23" s="38"/>
      <c r="AX23" s="38">
        <f t="shared" si="116"/>
        <v>335988.9</v>
      </c>
      <c r="AY23" s="38">
        <f t="shared" si="24"/>
        <v>26452.66455</v>
      </c>
      <c r="AZ23" s="5">
        <f t="shared" si="25"/>
        <v>362441.56455</v>
      </c>
      <c r="BA23" s="38">
        <f t="shared" si="26"/>
        <v>27186.257545200002</v>
      </c>
      <c r="BB23" s="38">
        <f t="shared" si="27"/>
        <v>498.45245580000005</v>
      </c>
      <c r="BC23" s="5"/>
      <c r="BD23" s="38">
        <f t="shared" si="117"/>
        <v>4036.5</v>
      </c>
      <c r="BE23" s="38">
        <f t="shared" si="28"/>
        <v>317.79675000000003</v>
      </c>
      <c r="BF23" s="5">
        <f t="shared" si="29"/>
        <v>4354.29675</v>
      </c>
      <c r="BG23" s="38">
        <f t="shared" si="30"/>
        <v>326.609982</v>
      </c>
      <c r="BH23" s="38">
        <f t="shared" si="31"/>
        <v>5.988303</v>
      </c>
      <c r="BI23" s="5"/>
      <c r="BJ23" s="38">
        <f t="shared" si="118"/>
        <v>4710.55</v>
      </c>
      <c r="BK23" s="38">
        <f t="shared" si="32"/>
        <v>370.865225</v>
      </c>
      <c r="BL23" s="5">
        <f t="shared" si="33"/>
        <v>5081.415225000001</v>
      </c>
      <c r="BM23" s="38">
        <f t="shared" si="34"/>
        <v>381.1501674</v>
      </c>
      <c r="BN23" s="38">
        <f t="shared" si="35"/>
        <v>6.9882821</v>
      </c>
      <c r="BO23" s="5"/>
      <c r="BP23" s="38">
        <f>B23*$BQ$6</f>
        <v>24.05</v>
      </c>
      <c r="BQ23" s="38">
        <f t="shared" si="36"/>
        <v>1.893475</v>
      </c>
      <c r="BR23" s="5">
        <f t="shared" si="37"/>
        <v>25.943475</v>
      </c>
      <c r="BS23" s="38">
        <f t="shared" si="38"/>
        <v>1.9459854</v>
      </c>
      <c r="BT23" s="38"/>
      <c r="BU23" s="5"/>
      <c r="BV23" s="38">
        <f t="shared" si="119"/>
        <v>24937.25</v>
      </c>
      <c r="BW23" s="38">
        <f t="shared" si="39"/>
        <v>1963.328875</v>
      </c>
      <c r="BX23" s="5">
        <f t="shared" si="40"/>
        <v>26900.578875</v>
      </c>
      <c r="BY23" s="38">
        <f t="shared" si="41"/>
        <v>2017.776483</v>
      </c>
      <c r="BZ23" s="38">
        <f t="shared" si="42"/>
        <v>36.9953695</v>
      </c>
      <c r="CA23" s="5"/>
      <c r="CB23" s="5">
        <f t="shared" si="120"/>
        <v>14233.050000000001</v>
      </c>
      <c r="CC23" s="5">
        <f t="shared" si="43"/>
        <v>1120.5789750000001</v>
      </c>
      <c r="CD23" s="5">
        <f t="shared" si="44"/>
        <v>15353.628975000001</v>
      </c>
      <c r="CE23" s="38">
        <f t="shared" si="45"/>
        <v>1151.6551974000001</v>
      </c>
      <c r="CF23" s="38">
        <f t="shared" si="46"/>
        <v>21.1152771</v>
      </c>
      <c r="CG23" s="5"/>
      <c r="CH23" s="38">
        <f t="shared" si="121"/>
        <v>157359.15</v>
      </c>
      <c r="CI23" s="38">
        <f t="shared" si="47"/>
        <v>12389.006925</v>
      </c>
      <c r="CJ23" s="5">
        <f t="shared" si="48"/>
        <v>169748.156925</v>
      </c>
      <c r="CK23" s="38">
        <f t="shared" si="49"/>
        <v>12732.5824722</v>
      </c>
      <c r="CL23" s="38">
        <f t="shared" si="50"/>
        <v>233.4483513</v>
      </c>
      <c r="CM23" s="5"/>
      <c r="CN23" s="38">
        <f t="shared" si="122"/>
        <v>1153.75</v>
      </c>
      <c r="CO23" s="38">
        <f t="shared" si="51"/>
        <v>90.83562500000001</v>
      </c>
      <c r="CP23" s="5">
        <f t="shared" si="52"/>
        <v>1244.585625</v>
      </c>
      <c r="CQ23" s="38">
        <f t="shared" si="53"/>
        <v>93.354705</v>
      </c>
      <c r="CR23" s="38">
        <f t="shared" si="54"/>
        <v>1.7116325000000001</v>
      </c>
      <c r="CS23" s="5"/>
      <c r="CT23" s="5">
        <f t="shared" si="123"/>
        <v>41255.5</v>
      </c>
      <c r="CU23" s="38">
        <f t="shared" si="55"/>
        <v>3248.0772500000003</v>
      </c>
      <c r="CV23" s="38">
        <f t="shared" si="56"/>
        <v>44503.57725</v>
      </c>
      <c r="CW23" s="38">
        <f t="shared" si="57"/>
        <v>3338.153874</v>
      </c>
      <c r="CX23" s="38">
        <f t="shared" si="58"/>
        <v>61.204121</v>
      </c>
      <c r="CY23" s="5"/>
      <c r="CZ23" s="5">
        <f t="shared" si="124"/>
        <v>97173.7</v>
      </c>
      <c r="DA23" s="38">
        <f t="shared" si="59"/>
        <v>7650.560149999999</v>
      </c>
      <c r="DB23" s="38">
        <f t="shared" si="60"/>
        <v>104824.26015</v>
      </c>
      <c r="DC23" s="38">
        <f t="shared" si="61"/>
        <v>7862.7277116</v>
      </c>
      <c r="DD23" s="38">
        <f t="shared" si="62"/>
        <v>144.16092139999998</v>
      </c>
      <c r="DE23" s="5"/>
      <c r="DF23" s="38">
        <f t="shared" si="125"/>
        <v>38037.35</v>
      </c>
      <c r="DG23" s="38">
        <f t="shared" si="63"/>
        <v>2994.709825</v>
      </c>
      <c r="DH23" s="5">
        <f t="shared" si="64"/>
        <v>41032.059825</v>
      </c>
      <c r="DI23" s="38">
        <f t="shared" si="65"/>
        <v>3077.7599898</v>
      </c>
      <c r="DJ23" s="38">
        <f t="shared" si="66"/>
        <v>56.4298717</v>
      </c>
      <c r="DK23" s="5"/>
      <c r="DL23" s="5">
        <f t="shared" si="126"/>
        <v>47119.8</v>
      </c>
      <c r="DM23" s="38">
        <f t="shared" si="67"/>
        <v>3709.7781</v>
      </c>
      <c r="DN23" s="38">
        <f t="shared" si="68"/>
        <v>50829.578100000006</v>
      </c>
      <c r="DO23" s="38">
        <f t="shared" si="69"/>
        <v>3812.6587464</v>
      </c>
      <c r="DP23" s="38">
        <f t="shared" si="70"/>
        <v>69.9040356</v>
      </c>
      <c r="DQ23" s="5"/>
      <c r="DR23" s="5">
        <f t="shared" si="127"/>
        <v>5450.25</v>
      </c>
      <c r="DS23" s="5">
        <f t="shared" si="71"/>
        <v>429.10237500000005</v>
      </c>
      <c r="DT23" s="5">
        <f t="shared" si="72"/>
        <v>5879.352375</v>
      </c>
      <c r="DU23" s="38">
        <f t="shared" si="73"/>
        <v>441.00236700000005</v>
      </c>
      <c r="DV23" s="38">
        <f t="shared" si="74"/>
        <v>8.0856555</v>
      </c>
      <c r="DW23" s="5"/>
      <c r="DX23" s="38">
        <f t="shared" si="128"/>
        <v>576139.2</v>
      </c>
      <c r="DY23" s="38">
        <f t="shared" si="75"/>
        <v>45359.8824</v>
      </c>
      <c r="DZ23" s="5">
        <f t="shared" si="76"/>
        <v>621499.0824</v>
      </c>
      <c r="EA23" s="38">
        <f t="shared" si="77"/>
        <v>46617.8158656</v>
      </c>
      <c r="EB23" s="38">
        <f t="shared" si="78"/>
        <v>854.7246624</v>
      </c>
      <c r="EC23" s="5"/>
      <c r="ED23" s="38">
        <f t="shared" si="129"/>
        <v>548484.3</v>
      </c>
      <c r="EE23" s="38">
        <f t="shared" si="79"/>
        <v>43182.59085</v>
      </c>
      <c r="EF23" s="5">
        <f t="shared" si="80"/>
        <v>591666.8908500001</v>
      </c>
      <c r="EG23" s="38">
        <f t="shared" si="81"/>
        <v>44380.1430324</v>
      </c>
      <c r="EH23" s="38">
        <f t="shared" si="82"/>
        <v>813.6975546</v>
      </c>
      <c r="EI23" s="5"/>
      <c r="EJ23" s="38">
        <f t="shared" si="130"/>
        <v>13003.9</v>
      </c>
      <c r="EK23" s="38">
        <f t="shared" si="83"/>
        <v>1023.80705</v>
      </c>
      <c r="EL23" s="5">
        <f t="shared" si="84"/>
        <v>14027.707049999999</v>
      </c>
      <c r="EM23" s="38">
        <f t="shared" si="85"/>
        <v>1052.1995652</v>
      </c>
      <c r="EN23" s="38">
        <f t="shared" si="86"/>
        <v>19.2917858</v>
      </c>
      <c r="EO23" s="5"/>
      <c r="EP23" s="38">
        <f t="shared" si="131"/>
        <v>931684</v>
      </c>
      <c r="EQ23" s="38">
        <f t="shared" si="87"/>
        <v>73352.19799999999</v>
      </c>
      <c r="ER23" s="5">
        <f t="shared" si="88"/>
        <v>1005036.198</v>
      </c>
      <c r="ES23" s="38">
        <f t="shared" si="89"/>
        <v>75386.42251199999</v>
      </c>
      <c r="ET23" s="38">
        <f t="shared" si="90"/>
        <v>1382.189048</v>
      </c>
      <c r="EU23" s="5"/>
      <c r="EV23" s="38">
        <f t="shared" si="132"/>
        <v>1198066.35</v>
      </c>
      <c r="EW23" s="38">
        <f t="shared" si="91"/>
        <v>94324.685325</v>
      </c>
      <c r="EX23" s="5">
        <f t="shared" si="92"/>
        <v>1292391.035325</v>
      </c>
      <c r="EY23" s="38">
        <f t="shared" si="93"/>
        <v>96940.52496180001</v>
      </c>
      <c r="EZ23" s="38">
        <f t="shared" si="94"/>
        <v>1777.3775097</v>
      </c>
      <c r="FA23" s="5"/>
      <c r="FB23" s="5">
        <f t="shared" si="133"/>
        <v>37382.799999999996</v>
      </c>
      <c r="FC23" s="38">
        <f t="shared" si="95"/>
        <v>2943.1766</v>
      </c>
      <c r="FD23" s="38">
        <f t="shared" si="96"/>
        <v>40325.976599999995</v>
      </c>
      <c r="FE23" s="38">
        <f t="shared" si="97"/>
        <v>3024.7976304</v>
      </c>
      <c r="FF23" s="38">
        <f t="shared" si="98"/>
        <v>55.4588216</v>
      </c>
      <c r="FG23" s="5"/>
      <c r="FH23" s="5">
        <f t="shared" si="134"/>
        <v>102504.35</v>
      </c>
      <c r="FI23" s="38">
        <f t="shared" si="99"/>
        <v>8070.246325</v>
      </c>
      <c r="FJ23" s="38">
        <f t="shared" si="100"/>
        <v>110574.596325</v>
      </c>
      <c r="FK23" s="38">
        <f t="shared" si="101"/>
        <v>8294.0527458</v>
      </c>
      <c r="FL23" s="38">
        <f t="shared" si="102"/>
        <v>152.0691457</v>
      </c>
      <c r="FM23" s="5"/>
      <c r="FN23" s="38">
        <f t="shared" si="135"/>
        <v>723546.85</v>
      </c>
      <c r="FO23" s="38">
        <f t="shared" si="103"/>
        <v>56965.400075</v>
      </c>
      <c r="FP23" s="5">
        <f t="shared" si="104"/>
        <v>780512.250075</v>
      </c>
      <c r="FQ23" s="38">
        <f t="shared" si="105"/>
        <v>58545.1811358</v>
      </c>
      <c r="FR23" s="38">
        <f t="shared" si="106"/>
        <v>1073.4095806999999</v>
      </c>
      <c r="FS23" s="5"/>
      <c r="FT23" s="38">
        <f t="shared" si="136"/>
        <v>522771.6</v>
      </c>
      <c r="FU23" s="38">
        <f t="shared" si="107"/>
        <v>41158.210199999994</v>
      </c>
      <c r="FV23" s="5">
        <f t="shared" si="108"/>
        <v>563929.8102</v>
      </c>
      <c r="FW23" s="38">
        <f t="shared" si="109"/>
        <v>42299.6216688</v>
      </c>
      <c r="FX23" s="38">
        <f t="shared" si="110"/>
        <v>775.5517752</v>
      </c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</row>
    <row r="24" spans="1:223" ht="12.75">
      <c r="A24" s="40">
        <v>47027</v>
      </c>
      <c r="C24" s="3">
        <v>349250</v>
      </c>
      <c r="D24" s="37">
        <f t="shared" si="0"/>
        <v>349250</v>
      </c>
      <c r="E24" s="37">
        <v>525942</v>
      </c>
      <c r="F24" s="37">
        <v>9643</v>
      </c>
      <c r="H24" s="38">
        <f>'2019C Academic'!I24</f>
        <v>0</v>
      </c>
      <c r="I24" s="38">
        <f>'2019C Academic'!J24</f>
        <v>50052.03032500001</v>
      </c>
      <c r="J24" s="38">
        <f t="shared" si="1"/>
        <v>50052.03032500001</v>
      </c>
      <c r="K24" s="38">
        <f>'2019C Academic'!L24</f>
        <v>75374.27325180001</v>
      </c>
      <c r="L24" s="38">
        <f>'2019C Academic'!M24</f>
        <v>1381.9662947000002</v>
      </c>
      <c r="N24" s="38"/>
      <c r="O24" s="37">
        <f t="shared" si="2"/>
        <v>299197.96967499994</v>
      </c>
      <c r="P24" s="5">
        <f t="shared" si="3"/>
        <v>299197.96967499994</v>
      </c>
      <c r="Q24" s="37">
        <f t="shared" si="4"/>
        <v>450567.7267482</v>
      </c>
      <c r="R24" s="37">
        <f t="shared" si="5"/>
        <v>8260.608449</v>
      </c>
      <c r="T24" s="38"/>
      <c r="U24" s="38">
        <f t="shared" si="6"/>
        <v>5930.61425</v>
      </c>
      <c r="V24" s="5">
        <f t="shared" si="7"/>
        <v>5930.61425</v>
      </c>
      <c r="W24" s="38">
        <f t="shared" si="8"/>
        <v>8931.021102</v>
      </c>
      <c r="X24" s="38">
        <f t="shared" si="9"/>
        <v>163.747783</v>
      </c>
      <c r="AA24" s="38">
        <f t="shared" si="10"/>
        <v>1412.5067000000001</v>
      </c>
      <c r="AB24" s="38">
        <f t="shared" si="11"/>
        <v>1412.5067000000001</v>
      </c>
      <c r="AC24" s="38">
        <f t="shared" si="12"/>
        <v>2127.1198248</v>
      </c>
      <c r="AD24" s="38">
        <f t="shared" si="13"/>
        <v>39.0001492</v>
      </c>
      <c r="AG24" s="5">
        <f t="shared" si="14"/>
        <v>347.92285000000004</v>
      </c>
      <c r="AH24" s="5">
        <f t="shared" si="15"/>
        <v>347.92285000000004</v>
      </c>
      <c r="AI24" s="38">
        <f t="shared" si="16"/>
        <v>523.9434204</v>
      </c>
      <c r="AJ24" s="38">
        <f t="shared" si="17"/>
        <v>9.6063566</v>
      </c>
      <c r="AM24" s="5">
        <f t="shared" si="18"/>
        <v>12.712699999999998</v>
      </c>
      <c r="AN24" s="5">
        <f t="shared" si="19"/>
        <v>12.712699999999998</v>
      </c>
      <c r="AO24" s="38">
        <f t="shared" si="20"/>
        <v>19.144288799999998</v>
      </c>
      <c r="AP24" s="38"/>
      <c r="AR24" s="38"/>
      <c r="AS24" s="38">
        <f t="shared" si="21"/>
        <v>1.397</v>
      </c>
      <c r="AT24" s="5">
        <f t="shared" si="22"/>
        <v>1.397</v>
      </c>
      <c r="AU24" s="38">
        <f t="shared" si="23"/>
        <v>2.103768</v>
      </c>
      <c r="AV24" s="38"/>
      <c r="AX24" s="38"/>
      <c r="AY24" s="38">
        <f t="shared" si="24"/>
        <v>18052.94205</v>
      </c>
      <c r="AZ24" s="5">
        <f t="shared" si="25"/>
        <v>18052.94205</v>
      </c>
      <c r="BA24" s="38">
        <f t="shared" si="26"/>
        <v>27186.257545200002</v>
      </c>
      <c r="BB24" s="38">
        <f t="shared" si="27"/>
        <v>498.45245580000005</v>
      </c>
      <c r="BC24" s="5"/>
      <c r="BD24" s="38"/>
      <c r="BE24" s="38">
        <f t="shared" si="28"/>
        <v>216.88425</v>
      </c>
      <c r="BF24" s="5">
        <f t="shared" si="29"/>
        <v>216.88425</v>
      </c>
      <c r="BG24" s="38">
        <f t="shared" si="30"/>
        <v>326.609982</v>
      </c>
      <c r="BH24" s="38">
        <f t="shared" si="31"/>
        <v>5.988303</v>
      </c>
      <c r="BI24" s="5"/>
      <c r="BJ24" s="38"/>
      <c r="BK24" s="38">
        <f t="shared" si="32"/>
        <v>253.101475</v>
      </c>
      <c r="BL24" s="5">
        <f t="shared" si="33"/>
        <v>253.101475</v>
      </c>
      <c r="BM24" s="38">
        <f t="shared" si="34"/>
        <v>381.1501674</v>
      </c>
      <c r="BN24" s="38">
        <f t="shared" si="35"/>
        <v>6.9882821</v>
      </c>
      <c r="BO24" s="5"/>
      <c r="BP24" s="38"/>
      <c r="BQ24" s="38">
        <f t="shared" si="36"/>
        <v>1.292225</v>
      </c>
      <c r="BR24" s="5">
        <f t="shared" si="37"/>
        <v>1.292225</v>
      </c>
      <c r="BS24" s="38">
        <f t="shared" si="38"/>
        <v>1.9459854</v>
      </c>
      <c r="BT24" s="38"/>
      <c r="BU24" s="5"/>
      <c r="BV24" s="38"/>
      <c r="BW24" s="38">
        <f t="shared" si="39"/>
        <v>1339.897625</v>
      </c>
      <c r="BX24" s="5">
        <f t="shared" si="40"/>
        <v>1339.897625</v>
      </c>
      <c r="BY24" s="38">
        <f t="shared" si="41"/>
        <v>2017.776483</v>
      </c>
      <c r="BZ24" s="38">
        <f t="shared" si="42"/>
        <v>36.9953695</v>
      </c>
      <c r="CA24" s="5"/>
      <c r="CB24" s="5"/>
      <c r="CC24" s="5">
        <f t="shared" si="43"/>
        <v>764.752725</v>
      </c>
      <c r="CD24" s="5">
        <f t="shared" si="44"/>
        <v>764.752725</v>
      </c>
      <c r="CE24" s="38">
        <f t="shared" si="45"/>
        <v>1151.6551974000001</v>
      </c>
      <c r="CF24" s="38">
        <f t="shared" si="46"/>
        <v>21.1152771</v>
      </c>
      <c r="CG24" s="5"/>
      <c r="CH24" s="38"/>
      <c r="CI24" s="38">
        <f t="shared" si="47"/>
        <v>8455.028175</v>
      </c>
      <c r="CJ24" s="5">
        <f t="shared" si="48"/>
        <v>8455.028175</v>
      </c>
      <c r="CK24" s="38">
        <f t="shared" si="49"/>
        <v>12732.5824722</v>
      </c>
      <c r="CL24" s="38">
        <f t="shared" si="50"/>
        <v>233.4483513</v>
      </c>
      <c r="CM24" s="5"/>
      <c r="CN24" s="38"/>
      <c r="CO24" s="38">
        <f t="shared" si="51"/>
        <v>61.991875</v>
      </c>
      <c r="CP24" s="5">
        <f t="shared" si="52"/>
        <v>61.991875</v>
      </c>
      <c r="CQ24" s="38">
        <f t="shared" si="53"/>
        <v>93.354705</v>
      </c>
      <c r="CR24" s="38">
        <f t="shared" si="54"/>
        <v>1.7116325000000001</v>
      </c>
      <c r="CS24" s="5"/>
      <c r="CT24" s="5"/>
      <c r="CU24" s="38">
        <f t="shared" si="55"/>
        <v>2216.68975</v>
      </c>
      <c r="CV24" s="38">
        <f t="shared" si="56"/>
        <v>2216.68975</v>
      </c>
      <c r="CW24" s="38">
        <f t="shared" si="57"/>
        <v>3338.153874</v>
      </c>
      <c r="CX24" s="38">
        <f t="shared" si="58"/>
        <v>61.204121</v>
      </c>
      <c r="CY24" s="5"/>
      <c r="CZ24" s="5"/>
      <c r="DA24" s="38">
        <f t="shared" si="59"/>
        <v>5221.21765</v>
      </c>
      <c r="DB24" s="38">
        <f t="shared" si="60"/>
        <v>5221.21765</v>
      </c>
      <c r="DC24" s="38">
        <f t="shared" si="61"/>
        <v>7862.7277116</v>
      </c>
      <c r="DD24" s="38">
        <f t="shared" si="62"/>
        <v>144.16092139999998</v>
      </c>
      <c r="DE24" s="5"/>
      <c r="DF24" s="38"/>
      <c r="DG24" s="38">
        <f t="shared" si="63"/>
        <v>2043.776075</v>
      </c>
      <c r="DH24" s="5">
        <f t="shared" si="64"/>
        <v>2043.776075</v>
      </c>
      <c r="DI24" s="38">
        <f t="shared" si="65"/>
        <v>3077.7599898</v>
      </c>
      <c r="DJ24" s="38">
        <f t="shared" si="66"/>
        <v>56.4298717</v>
      </c>
      <c r="DK24" s="5"/>
      <c r="DL24" s="5"/>
      <c r="DM24" s="38">
        <f t="shared" si="67"/>
        <v>2531.7831</v>
      </c>
      <c r="DN24" s="38">
        <f t="shared" si="68"/>
        <v>2531.7831</v>
      </c>
      <c r="DO24" s="38">
        <f t="shared" si="69"/>
        <v>3812.6587464</v>
      </c>
      <c r="DP24" s="38">
        <f t="shared" si="70"/>
        <v>69.9040356</v>
      </c>
      <c r="DQ24" s="5"/>
      <c r="DR24" s="5"/>
      <c r="DS24" s="5">
        <f t="shared" si="71"/>
        <v>292.84612500000003</v>
      </c>
      <c r="DT24" s="5">
        <f t="shared" si="72"/>
        <v>292.84612500000003</v>
      </c>
      <c r="DU24" s="38">
        <f t="shared" si="73"/>
        <v>441.00236700000005</v>
      </c>
      <c r="DV24" s="38">
        <f t="shared" si="74"/>
        <v>8.0856555</v>
      </c>
      <c r="DW24" s="5"/>
      <c r="DX24" s="38"/>
      <c r="DY24" s="38">
        <f t="shared" si="75"/>
        <v>30956.4024</v>
      </c>
      <c r="DZ24" s="5">
        <f t="shared" si="76"/>
        <v>30956.4024</v>
      </c>
      <c r="EA24" s="38">
        <f t="shared" si="77"/>
        <v>46617.8158656</v>
      </c>
      <c r="EB24" s="38">
        <f t="shared" si="78"/>
        <v>854.7246624</v>
      </c>
      <c r="EC24" s="5"/>
      <c r="ED24" s="38"/>
      <c r="EE24" s="38">
        <f t="shared" si="79"/>
        <v>29470.483350000002</v>
      </c>
      <c r="EF24" s="5">
        <f t="shared" si="80"/>
        <v>29470.483350000002</v>
      </c>
      <c r="EG24" s="38">
        <f t="shared" si="81"/>
        <v>44380.1430324</v>
      </c>
      <c r="EH24" s="38">
        <f t="shared" si="82"/>
        <v>813.6975546</v>
      </c>
      <c r="EI24" s="5"/>
      <c r="EJ24" s="38"/>
      <c r="EK24" s="38">
        <f t="shared" si="83"/>
        <v>698.70955</v>
      </c>
      <c r="EL24" s="5">
        <f t="shared" si="84"/>
        <v>698.70955</v>
      </c>
      <c r="EM24" s="38">
        <f t="shared" si="85"/>
        <v>1052.1995652</v>
      </c>
      <c r="EN24" s="38">
        <f t="shared" si="86"/>
        <v>19.2917858</v>
      </c>
      <c r="EO24" s="5"/>
      <c r="EP24" s="38"/>
      <c r="EQ24" s="38">
        <f t="shared" si="87"/>
        <v>50060.098</v>
      </c>
      <c r="ER24" s="5">
        <f t="shared" si="88"/>
        <v>50060.098</v>
      </c>
      <c r="ES24" s="38">
        <f t="shared" si="89"/>
        <v>75386.42251199999</v>
      </c>
      <c r="ET24" s="38">
        <f t="shared" si="90"/>
        <v>1382.189048</v>
      </c>
      <c r="EU24" s="5"/>
      <c r="EV24" s="38"/>
      <c r="EW24" s="38">
        <f t="shared" si="91"/>
        <v>64373.026575</v>
      </c>
      <c r="EX24" s="5">
        <f t="shared" si="92"/>
        <v>64373.026575</v>
      </c>
      <c r="EY24" s="38">
        <f t="shared" si="93"/>
        <v>96940.52496180001</v>
      </c>
      <c r="EZ24" s="38">
        <f t="shared" si="94"/>
        <v>1777.3775097</v>
      </c>
      <c r="FA24" s="5"/>
      <c r="FB24" s="5"/>
      <c r="FC24" s="38">
        <f t="shared" si="95"/>
        <v>2008.6065999999998</v>
      </c>
      <c r="FD24" s="38">
        <f t="shared" si="96"/>
        <v>2008.6065999999998</v>
      </c>
      <c r="FE24" s="38">
        <f t="shared" si="97"/>
        <v>3024.7976304</v>
      </c>
      <c r="FF24" s="38">
        <f t="shared" si="98"/>
        <v>55.4588216</v>
      </c>
      <c r="FG24" s="5"/>
      <c r="FH24" s="5"/>
      <c r="FI24" s="38">
        <f t="shared" si="99"/>
        <v>5507.637575</v>
      </c>
      <c r="FJ24" s="38">
        <f t="shared" si="100"/>
        <v>5507.637575</v>
      </c>
      <c r="FK24" s="38">
        <f t="shared" si="101"/>
        <v>8294.0527458</v>
      </c>
      <c r="FL24" s="38">
        <f t="shared" si="102"/>
        <v>152.0691457</v>
      </c>
      <c r="FM24" s="5"/>
      <c r="FN24" s="38"/>
      <c r="FO24" s="38">
        <f t="shared" si="103"/>
        <v>38876.728825</v>
      </c>
      <c r="FP24" s="5">
        <f t="shared" si="104"/>
        <v>38876.728825</v>
      </c>
      <c r="FQ24" s="38">
        <f t="shared" si="105"/>
        <v>58545.1811358</v>
      </c>
      <c r="FR24" s="38">
        <f t="shared" si="106"/>
        <v>1073.4095806999999</v>
      </c>
      <c r="FS24" s="5"/>
      <c r="FT24" s="38"/>
      <c r="FU24" s="38">
        <f t="shared" si="107"/>
        <v>28088.920199999997</v>
      </c>
      <c r="FV24" s="5">
        <f t="shared" si="108"/>
        <v>28088.920199999997</v>
      </c>
      <c r="FW24" s="38">
        <f t="shared" si="109"/>
        <v>42299.6216688</v>
      </c>
      <c r="FX24" s="38">
        <f t="shared" si="110"/>
        <v>775.5517752</v>
      </c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</row>
    <row r="25" spans="1:223" ht="12.75">
      <c r="A25" s="40">
        <v>47209</v>
      </c>
      <c r="B25" s="3">
        <v>6820000</v>
      </c>
      <c r="C25" s="3">
        <v>349250</v>
      </c>
      <c r="D25" s="37">
        <f t="shared" si="0"/>
        <v>7169250</v>
      </c>
      <c r="E25" s="37">
        <v>525942</v>
      </c>
      <c r="F25" s="37">
        <v>9643</v>
      </c>
      <c r="H25" s="38">
        <f>'2019C Academic'!I25</f>
        <v>977393.978</v>
      </c>
      <c r="I25" s="38">
        <f>'2019C Academic'!J25</f>
        <v>50052.03032500001</v>
      </c>
      <c r="J25" s="38">
        <f t="shared" si="1"/>
        <v>1027446.0083250001</v>
      </c>
      <c r="K25" s="38">
        <f>'2019C Academic'!L25</f>
        <v>75374.27325180001</v>
      </c>
      <c r="L25" s="38">
        <f>'2019C Academic'!M25</f>
        <v>1381.9662947000002</v>
      </c>
      <c r="N25" s="38">
        <f>T25+Z25+AF25+AR25+AX25+BD25+BV25+CB25+CH25+CT25+DF25+DL25+DR25+DX25+ED25+EJ25+EP25+EV25+FB25+FH25+FN25+FT25+FZ25+AL25+BJ25+CN25+CZ25+BP25</f>
        <v>5842606.022</v>
      </c>
      <c r="O25" s="37">
        <f t="shared" si="2"/>
        <v>299197.96967499994</v>
      </c>
      <c r="P25" s="5">
        <f t="shared" si="3"/>
        <v>6141803.991675</v>
      </c>
      <c r="Q25" s="37">
        <f t="shared" si="4"/>
        <v>450567.7267482</v>
      </c>
      <c r="R25" s="37">
        <f t="shared" si="5"/>
        <v>8260.608449</v>
      </c>
      <c r="T25" s="38">
        <f t="shared" si="111"/>
        <v>115810.42</v>
      </c>
      <c r="U25" s="38">
        <f t="shared" si="6"/>
        <v>5930.61425</v>
      </c>
      <c r="V25" s="5">
        <f t="shared" si="7"/>
        <v>121741.03425</v>
      </c>
      <c r="W25" s="38">
        <f t="shared" si="8"/>
        <v>8931.021102</v>
      </c>
      <c r="X25" s="38">
        <f t="shared" si="9"/>
        <v>163.747783</v>
      </c>
      <c r="Z25" s="5">
        <f t="shared" si="112"/>
        <v>27582.808</v>
      </c>
      <c r="AA25" s="38">
        <f t="shared" si="10"/>
        <v>1412.5067000000001</v>
      </c>
      <c r="AB25" s="38">
        <f t="shared" si="11"/>
        <v>28995.314700000003</v>
      </c>
      <c r="AC25" s="38">
        <f t="shared" si="12"/>
        <v>2127.1198248</v>
      </c>
      <c r="AD25" s="38">
        <f t="shared" si="13"/>
        <v>39.0001492</v>
      </c>
      <c r="AF25" s="5">
        <f t="shared" si="113"/>
        <v>6794.084</v>
      </c>
      <c r="AG25" s="5">
        <f t="shared" si="14"/>
        <v>347.92285000000004</v>
      </c>
      <c r="AH25" s="5">
        <f t="shared" si="15"/>
        <v>7142.00685</v>
      </c>
      <c r="AI25" s="38">
        <f t="shared" si="16"/>
        <v>523.9434204</v>
      </c>
      <c r="AJ25" s="38">
        <f t="shared" si="17"/>
        <v>9.6063566</v>
      </c>
      <c r="AL25" s="5">
        <f t="shared" si="114"/>
        <v>248.248</v>
      </c>
      <c r="AM25" s="5">
        <f t="shared" si="18"/>
        <v>12.712699999999998</v>
      </c>
      <c r="AN25" s="5">
        <f t="shared" si="19"/>
        <v>260.9607</v>
      </c>
      <c r="AO25" s="38">
        <f t="shared" si="20"/>
        <v>19.144288799999998</v>
      </c>
      <c r="AP25" s="38"/>
      <c r="AR25" s="38">
        <f t="shared" si="115"/>
        <v>27.279999999999998</v>
      </c>
      <c r="AS25" s="38">
        <f t="shared" si="21"/>
        <v>1.397</v>
      </c>
      <c r="AT25" s="5">
        <f t="shared" si="22"/>
        <v>28.676999999999996</v>
      </c>
      <c r="AU25" s="38">
        <f t="shared" si="23"/>
        <v>2.103768</v>
      </c>
      <c r="AV25" s="38"/>
      <c r="AX25" s="38">
        <f t="shared" si="116"/>
        <v>352529.89200000005</v>
      </c>
      <c r="AY25" s="38">
        <f t="shared" si="24"/>
        <v>18052.94205</v>
      </c>
      <c r="AZ25" s="5">
        <f t="shared" si="25"/>
        <v>370582.83405000006</v>
      </c>
      <c r="BA25" s="38">
        <f t="shared" si="26"/>
        <v>27186.257545200002</v>
      </c>
      <c r="BB25" s="38">
        <f t="shared" si="27"/>
        <v>498.45245580000005</v>
      </c>
      <c r="BC25" s="5"/>
      <c r="BD25" s="38">
        <f t="shared" si="117"/>
        <v>4235.22</v>
      </c>
      <c r="BE25" s="38">
        <f t="shared" si="28"/>
        <v>216.88425</v>
      </c>
      <c r="BF25" s="5">
        <f t="shared" si="29"/>
        <v>4452.10425</v>
      </c>
      <c r="BG25" s="38">
        <f t="shared" si="30"/>
        <v>326.609982</v>
      </c>
      <c r="BH25" s="38">
        <f t="shared" si="31"/>
        <v>5.988303</v>
      </c>
      <c r="BI25" s="5"/>
      <c r="BJ25" s="38">
        <f t="shared" si="118"/>
        <v>4942.454</v>
      </c>
      <c r="BK25" s="38">
        <f t="shared" si="32"/>
        <v>253.101475</v>
      </c>
      <c r="BL25" s="5">
        <f t="shared" si="33"/>
        <v>5195.555475</v>
      </c>
      <c r="BM25" s="38">
        <f t="shared" si="34"/>
        <v>381.1501674</v>
      </c>
      <c r="BN25" s="38">
        <f t="shared" si="35"/>
        <v>6.9882821</v>
      </c>
      <c r="BO25" s="5"/>
      <c r="BP25" s="38">
        <f>B25*$BQ$6</f>
        <v>25.234</v>
      </c>
      <c r="BQ25" s="38">
        <f t="shared" si="36"/>
        <v>1.292225</v>
      </c>
      <c r="BR25" s="5">
        <f t="shared" si="37"/>
        <v>26.526225</v>
      </c>
      <c r="BS25" s="38">
        <f t="shared" si="38"/>
        <v>1.9459854</v>
      </c>
      <c r="BT25" s="38"/>
      <c r="BU25" s="5"/>
      <c r="BV25" s="38">
        <f t="shared" si="119"/>
        <v>26164.93</v>
      </c>
      <c r="BW25" s="38">
        <f t="shared" si="39"/>
        <v>1339.897625</v>
      </c>
      <c r="BX25" s="5">
        <f t="shared" si="40"/>
        <v>27504.827625</v>
      </c>
      <c r="BY25" s="38">
        <f t="shared" si="41"/>
        <v>2017.776483</v>
      </c>
      <c r="BZ25" s="38">
        <f t="shared" si="42"/>
        <v>36.9953695</v>
      </c>
      <c r="CA25" s="5"/>
      <c r="CB25" s="5">
        <f t="shared" si="120"/>
        <v>14933.754</v>
      </c>
      <c r="CC25" s="5">
        <f t="shared" si="43"/>
        <v>764.752725</v>
      </c>
      <c r="CD25" s="5">
        <f t="shared" si="44"/>
        <v>15698.506725000001</v>
      </c>
      <c r="CE25" s="38">
        <f t="shared" si="45"/>
        <v>1151.6551974000001</v>
      </c>
      <c r="CF25" s="38">
        <f t="shared" si="46"/>
        <v>21.1152771</v>
      </c>
      <c r="CG25" s="5"/>
      <c r="CH25" s="38">
        <f t="shared" si="121"/>
        <v>165106.062</v>
      </c>
      <c r="CI25" s="38">
        <f t="shared" si="47"/>
        <v>8455.028175</v>
      </c>
      <c r="CJ25" s="5">
        <f t="shared" si="48"/>
        <v>173561.09017500002</v>
      </c>
      <c r="CK25" s="38">
        <f t="shared" si="49"/>
        <v>12732.5824722</v>
      </c>
      <c r="CL25" s="38">
        <f t="shared" si="50"/>
        <v>233.4483513</v>
      </c>
      <c r="CM25" s="5"/>
      <c r="CN25" s="38">
        <f t="shared" si="122"/>
        <v>1210.55</v>
      </c>
      <c r="CO25" s="38">
        <f t="shared" si="51"/>
        <v>61.991875</v>
      </c>
      <c r="CP25" s="5">
        <f t="shared" si="52"/>
        <v>1272.541875</v>
      </c>
      <c r="CQ25" s="38">
        <f t="shared" si="53"/>
        <v>93.354705</v>
      </c>
      <c r="CR25" s="38">
        <f t="shared" si="54"/>
        <v>1.7116325000000001</v>
      </c>
      <c r="CS25" s="5"/>
      <c r="CT25" s="5">
        <f t="shared" si="123"/>
        <v>43286.54</v>
      </c>
      <c r="CU25" s="38">
        <f t="shared" si="55"/>
        <v>2216.68975</v>
      </c>
      <c r="CV25" s="38">
        <f t="shared" si="56"/>
        <v>45503.22975</v>
      </c>
      <c r="CW25" s="38">
        <f t="shared" si="57"/>
        <v>3338.153874</v>
      </c>
      <c r="CX25" s="38">
        <f t="shared" si="58"/>
        <v>61.204121</v>
      </c>
      <c r="CY25" s="5"/>
      <c r="CZ25" s="5">
        <f t="shared" si="124"/>
        <v>101957.636</v>
      </c>
      <c r="DA25" s="38">
        <f t="shared" si="59"/>
        <v>5221.21765</v>
      </c>
      <c r="DB25" s="38">
        <f t="shared" si="60"/>
        <v>107178.85365</v>
      </c>
      <c r="DC25" s="38">
        <f t="shared" si="61"/>
        <v>7862.7277116</v>
      </c>
      <c r="DD25" s="38">
        <f t="shared" si="62"/>
        <v>144.16092139999998</v>
      </c>
      <c r="DE25" s="5"/>
      <c r="DF25" s="38">
        <f t="shared" si="125"/>
        <v>39909.958</v>
      </c>
      <c r="DG25" s="38">
        <f t="shared" si="63"/>
        <v>2043.776075</v>
      </c>
      <c r="DH25" s="5">
        <f t="shared" si="64"/>
        <v>41953.734075</v>
      </c>
      <c r="DI25" s="38">
        <f t="shared" si="65"/>
        <v>3077.7599898</v>
      </c>
      <c r="DJ25" s="38">
        <f t="shared" si="66"/>
        <v>56.4298717</v>
      </c>
      <c r="DK25" s="5"/>
      <c r="DL25" s="5">
        <f t="shared" si="126"/>
        <v>49439.544</v>
      </c>
      <c r="DM25" s="38">
        <f t="shared" si="67"/>
        <v>2531.7831</v>
      </c>
      <c r="DN25" s="38">
        <f t="shared" si="68"/>
        <v>51971.3271</v>
      </c>
      <c r="DO25" s="38">
        <f t="shared" si="69"/>
        <v>3812.6587464</v>
      </c>
      <c r="DP25" s="38">
        <f t="shared" si="70"/>
        <v>69.9040356</v>
      </c>
      <c r="DQ25" s="5"/>
      <c r="DR25" s="5">
        <f t="shared" si="127"/>
        <v>5718.570000000001</v>
      </c>
      <c r="DS25" s="5">
        <f t="shared" si="71"/>
        <v>292.84612500000003</v>
      </c>
      <c r="DT25" s="5">
        <f t="shared" si="72"/>
        <v>6011.416125000001</v>
      </c>
      <c r="DU25" s="38">
        <f t="shared" si="73"/>
        <v>441.00236700000005</v>
      </c>
      <c r="DV25" s="38">
        <f t="shared" si="74"/>
        <v>8.0856555</v>
      </c>
      <c r="DW25" s="5"/>
      <c r="DX25" s="38">
        <f t="shared" si="128"/>
        <v>604502.976</v>
      </c>
      <c r="DY25" s="38">
        <f t="shared" si="75"/>
        <v>30956.4024</v>
      </c>
      <c r="DZ25" s="5">
        <f t="shared" si="76"/>
        <v>635459.3784</v>
      </c>
      <c r="EA25" s="38">
        <f t="shared" si="77"/>
        <v>46617.8158656</v>
      </c>
      <c r="EB25" s="38">
        <f t="shared" si="78"/>
        <v>854.7246624</v>
      </c>
      <c r="EC25" s="5"/>
      <c r="ED25" s="38">
        <f t="shared" si="129"/>
        <v>575486.604</v>
      </c>
      <c r="EE25" s="38">
        <f t="shared" si="79"/>
        <v>29470.483350000002</v>
      </c>
      <c r="EF25" s="5">
        <f t="shared" si="80"/>
        <v>604957.08735</v>
      </c>
      <c r="EG25" s="38">
        <f t="shared" si="81"/>
        <v>44380.1430324</v>
      </c>
      <c r="EH25" s="38">
        <f t="shared" si="82"/>
        <v>813.6975546</v>
      </c>
      <c r="EI25" s="5"/>
      <c r="EJ25" s="38">
        <f t="shared" si="130"/>
        <v>13644.092</v>
      </c>
      <c r="EK25" s="38">
        <f t="shared" si="83"/>
        <v>698.70955</v>
      </c>
      <c r="EL25" s="5">
        <f t="shared" si="84"/>
        <v>14342.80155</v>
      </c>
      <c r="EM25" s="38">
        <f t="shared" si="85"/>
        <v>1052.1995652</v>
      </c>
      <c r="EN25" s="38">
        <f t="shared" si="86"/>
        <v>19.2917858</v>
      </c>
      <c r="EO25" s="5"/>
      <c r="EP25" s="38">
        <f t="shared" si="131"/>
        <v>977551.5199999999</v>
      </c>
      <c r="EQ25" s="38">
        <f t="shared" si="87"/>
        <v>50060.098</v>
      </c>
      <c r="ER25" s="5">
        <f t="shared" si="88"/>
        <v>1027611.6179999999</v>
      </c>
      <c r="ES25" s="38">
        <f t="shared" si="89"/>
        <v>75386.42251199999</v>
      </c>
      <c r="ET25" s="38">
        <f t="shared" si="90"/>
        <v>1382.189048</v>
      </c>
      <c r="EU25" s="5"/>
      <c r="EV25" s="38">
        <f t="shared" si="132"/>
        <v>1257048.078</v>
      </c>
      <c r="EW25" s="38">
        <f t="shared" si="91"/>
        <v>64373.026575</v>
      </c>
      <c r="EX25" s="5">
        <f t="shared" si="92"/>
        <v>1321421.104575</v>
      </c>
      <c r="EY25" s="38">
        <f t="shared" si="93"/>
        <v>96940.52496180001</v>
      </c>
      <c r="EZ25" s="38">
        <f t="shared" si="94"/>
        <v>1777.3775097</v>
      </c>
      <c r="FA25" s="5"/>
      <c r="FB25" s="5">
        <f t="shared" si="133"/>
        <v>39223.184</v>
      </c>
      <c r="FC25" s="38">
        <f t="shared" si="95"/>
        <v>2008.6065999999998</v>
      </c>
      <c r="FD25" s="38">
        <f t="shared" si="96"/>
        <v>41231.7906</v>
      </c>
      <c r="FE25" s="38">
        <f t="shared" si="97"/>
        <v>3024.7976304</v>
      </c>
      <c r="FF25" s="38">
        <f t="shared" si="98"/>
        <v>55.4588216</v>
      </c>
      <c r="FG25" s="5"/>
      <c r="FH25" s="5">
        <f t="shared" si="134"/>
        <v>107550.718</v>
      </c>
      <c r="FI25" s="38">
        <f t="shared" si="99"/>
        <v>5507.637575</v>
      </c>
      <c r="FJ25" s="38">
        <f t="shared" si="100"/>
        <v>113058.355575</v>
      </c>
      <c r="FK25" s="38">
        <f t="shared" si="101"/>
        <v>8294.0527458</v>
      </c>
      <c r="FL25" s="38">
        <f t="shared" si="102"/>
        <v>152.0691457</v>
      </c>
      <c r="FM25" s="5"/>
      <c r="FN25" s="38">
        <f t="shared" si="135"/>
        <v>759167.618</v>
      </c>
      <c r="FO25" s="38">
        <f t="shared" si="103"/>
        <v>38876.728825</v>
      </c>
      <c r="FP25" s="5">
        <f t="shared" si="104"/>
        <v>798044.346825</v>
      </c>
      <c r="FQ25" s="38">
        <f t="shared" si="105"/>
        <v>58545.1811358</v>
      </c>
      <c r="FR25" s="38">
        <f t="shared" si="106"/>
        <v>1073.4095806999999</v>
      </c>
      <c r="FS25" s="5"/>
      <c r="FT25" s="38">
        <f t="shared" si="136"/>
        <v>548508.048</v>
      </c>
      <c r="FU25" s="38">
        <f t="shared" si="107"/>
        <v>28088.920199999997</v>
      </c>
      <c r="FV25" s="5">
        <f t="shared" si="108"/>
        <v>576596.9682</v>
      </c>
      <c r="FW25" s="38">
        <f t="shared" si="109"/>
        <v>42299.6216688</v>
      </c>
      <c r="FX25" s="38">
        <f t="shared" si="110"/>
        <v>775.5517752</v>
      </c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</row>
    <row r="26" spans="1:223" ht="12.75">
      <c r="A26" s="40">
        <v>47392</v>
      </c>
      <c r="C26" s="3">
        <v>178750</v>
      </c>
      <c r="D26" s="37">
        <f t="shared" si="0"/>
        <v>178750</v>
      </c>
      <c r="E26" s="37">
        <v>525942</v>
      </c>
      <c r="F26" s="37">
        <v>9643</v>
      </c>
      <c r="H26" s="38">
        <f>'2019C Academic'!I26</f>
        <v>0</v>
      </c>
      <c r="I26" s="38">
        <f>'2019C Academic'!J26</f>
        <v>25617.180875</v>
      </c>
      <c r="J26" s="38">
        <f t="shared" si="1"/>
        <v>25617.180875</v>
      </c>
      <c r="K26" s="38">
        <f>'2019C Academic'!L26</f>
        <v>75374.27325180001</v>
      </c>
      <c r="L26" s="38">
        <f>'2019C Academic'!M26</f>
        <v>1381.9662947000002</v>
      </c>
      <c r="N26" s="38"/>
      <c r="O26" s="37">
        <f t="shared" si="2"/>
        <v>153132.81912499998</v>
      </c>
      <c r="P26" s="5">
        <f t="shared" si="3"/>
        <v>153132.81912499998</v>
      </c>
      <c r="Q26" s="37">
        <f t="shared" si="4"/>
        <v>450567.7267482</v>
      </c>
      <c r="R26" s="37">
        <f t="shared" si="5"/>
        <v>8260.608449</v>
      </c>
      <c r="T26" s="38"/>
      <c r="U26" s="38">
        <f t="shared" si="6"/>
        <v>3035.3537499999998</v>
      </c>
      <c r="V26" s="5">
        <f t="shared" si="7"/>
        <v>3035.3537499999998</v>
      </c>
      <c r="W26" s="38">
        <f t="shared" si="8"/>
        <v>8931.021102</v>
      </c>
      <c r="X26" s="38">
        <f t="shared" si="9"/>
        <v>163.747783</v>
      </c>
      <c r="AA26" s="38">
        <f t="shared" si="10"/>
        <v>722.9365</v>
      </c>
      <c r="AB26" s="38">
        <f t="shared" si="11"/>
        <v>722.9365</v>
      </c>
      <c r="AC26" s="38">
        <f t="shared" si="12"/>
        <v>2127.1198248</v>
      </c>
      <c r="AD26" s="38">
        <f t="shared" si="13"/>
        <v>39.0001492</v>
      </c>
      <c r="AG26" s="5">
        <f t="shared" si="14"/>
        <v>178.07075</v>
      </c>
      <c r="AH26" s="5">
        <f t="shared" si="15"/>
        <v>178.07075</v>
      </c>
      <c r="AI26" s="38">
        <f t="shared" si="16"/>
        <v>523.9434204</v>
      </c>
      <c r="AJ26" s="38">
        <f t="shared" si="17"/>
        <v>9.6063566</v>
      </c>
      <c r="AM26" s="5">
        <f t="shared" si="18"/>
        <v>6.506499999999999</v>
      </c>
      <c r="AN26" s="5">
        <f t="shared" si="19"/>
        <v>6.506499999999999</v>
      </c>
      <c r="AO26" s="38">
        <f t="shared" si="20"/>
        <v>19.144288799999998</v>
      </c>
      <c r="AP26" s="38"/>
      <c r="AR26" s="38"/>
      <c r="AS26" s="38">
        <f t="shared" si="21"/>
        <v>0.715</v>
      </c>
      <c r="AT26" s="5">
        <f t="shared" si="22"/>
        <v>0.715</v>
      </c>
      <c r="AU26" s="38">
        <f t="shared" si="23"/>
        <v>2.103768</v>
      </c>
      <c r="AV26" s="38"/>
      <c r="AX26" s="38"/>
      <c r="AY26" s="38">
        <f t="shared" si="24"/>
        <v>9239.69475</v>
      </c>
      <c r="AZ26" s="5">
        <f t="shared" si="25"/>
        <v>9239.69475</v>
      </c>
      <c r="BA26" s="38">
        <f t="shared" si="26"/>
        <v>27186.257545200002</v>
      </c>
      <c r="BB26" s="38">
        <f t="shared" si="27"/>
        <v>498.45245580000005</v>
      </c>
      <c r="BC26" s="5"/>
      <c r="BD26" s="38"/>
      <c r="BE26" s="38">
        <f t="shared" si="28"/>
        <v>111.00375000000001</v>
      </c>
      <c r="BF26" s="5">
        <f t="shared" si="29"/>
        <v>111.00375000000001</v>
      </c>
      <c r="BG26" s="38">
        <f t="shared" si="30"/>
        <v>326.609982</v>
      </c>
      <c r="BH26" s="38">
        <f t="shared" si="31"/>
        <v>5.988303</v>
      </c>
      <c r="BI26" s="5"/>
      <c r="BJ26" s="38"/>
      <c r="BK26" s="38">
        <f t="shared" si="32"/>
        <v>129.540125</v>
      </c>
      <c r="BL26" s="5">
        <f t="shared" si="33"/>
        <v>129.540125</v>
      </c>
      <c r="BM26" s="38">
        <f t="shared" si="34"/>
        <v>381.1501674</v>
      </c>
      <c r="BN26" s="38">
        <f t="shared" si="35"/>
        <v>6.9882821</v>
      </c>
      <c r="BO26" s="5"/>
      <c r="BP26" s="38"/>
      <c r="BQ26" s="38">
        <f t="shared" si="36"/>
        <v>0.661375</v>
      </c>
      <c r="BR26" s="5">
        <f t="shared" si="37"/>
        <v>0.661375</v>
      </c>
      <c r="BS26" s="38">
        <f t="shared" si="38"/>
        <v>1.9459854</v>
      </c>
      <c r="BT26" s="38"/>
      <c r="BU26" s="5"/>
      <c r="BV26" s="38"/>
      <c r="BW26" s="38">
        <f t="shared" si="39"/>
        <v>685.774375</v>
      </c>
      <c r="BX26" s="5">
        <f t="shared" si="40"/>
        <v>685.774375</v>
      </c>
      <c r="BY26" s="38">
        <f t="shared" si="41"/>
        <v>2017.776483</v>
      </c>
      <c r="BZ26" s="38">
        <f t="shared" si="42"/>
        <v>36.9953695</v>
      </c>
      <c r="CA26" s="5"/>
      <c r="CB26" s="5"/>
      <c r="CC26" s="5">
        <f t="shared" si="43"/>
        <v>391.408875</v>
      </c>
      <c r="CD26" s="5">
        <f t="shared" si="44"/>
        <v>391.408875</v>
      </c>
      <c r="CE26" s="38">
        <f t="shared" si="45"/>
        <v>1151.6551974000001</v>
      </c>
      <c r="CF26" s="38">
        <f t="shared" si="46"/>
        <v>21.1152771</v>
      </c>
      <c r="CG26" s="5"/>
      <c r="CH26" s="38"/>
      <c r="CI26" s="38">
        <f t="shared" si="47"/>
        <v>4327.376625</v>
      </c>
      <c r="CJ26" s="5">
        <f t="shared" si="48"/>
        <v>4327.376625</v>
      </c>
      <c r="CK26" s="38">
        <f t="shared" si="49"/>
        <v>12732.5824722</v>
      </c>
      <c r="CL26" s="38">
        <f t="shared" si="50"/>
        <v>233.4483513</v>
      </c>
      <c r="CM26" s="5"/>
      <c r="CN26" s="38"/>
      <c r="CO26" s="38">
        <f t="shared" si="51"/>
        <v>31.728125000000002</v>
      </c>
      <c r="CP26" s="5">
        <f t="shared" si="52"/>
        <v>31.728125000000002</v>
      </c>
      <c r="CQ26" s="38">
        <f t="shared" si="53"/>
        <v>93.354705</v>
      </c>
      <c r="CR26" s="38">
        <f t="shared" si="54"/>
        <v>1.7116325000000001</v>
      </c>
      <c r="CS26" s="5"/>
      <c r="CT26" s="5"/>
      <c r="CU26" s="38">
        <f t="shared" si="55"/>
        <v>1134.5262500000001</v>
      </c>
      <c r="CV26" s="38">
        <f t="shared" si="56"/>
        <v>1134.5262500000001</v>
      </c>
      <c r="CW26" s="38">
        <f t="shared" si="57"/>
        <v>3338.153874</v>
      </c>
      <c r="CX26" s="38">
        <f t="shared" si="58"/>
        <v>61.204121</v>
      </c>
      <c r="CY26" s="5"/>
      <c r="CZ26" s="5"/>
      <c r="DA26" s="38">
        <f t="shared" si="59"/>
        <v>2672.27675</v>
      </c>
      <c r="DB26" s="38">
        <f t="shared" si="60"/>
        <v>2672.27675</v>
      </c>
      <c r="DC26" s="38">
        <f t="shared" si="61"/>
        <v>7862.7277116</v>
      </c>
      <c r="DD26" s="38">
        <f t="shared" si="62"/>
        <v>144.16092139999998</v>
      </c>
      <c r="DE26" s="5"/>
      <c r="DF26" s="38"/>
      <c r="DG26" s="38">
        <f t="shared" si="63"/>
        <v>1046.027125</v>
      </c>
      <c r="DH26" s="5">
        <f t="shared" si="64"/>
        <v>1046.027125</v>
      </c>
      <c r="DI26" s="38">
        <f t="shared" si="65"/>
        <v>3077.7599898</v>
      </c>
      <c r="DJ26" s="38">
        <f t="shared" si="66"/>
        <v>56.4298717</v>
      </c>
      <c r="DK26" s="5"/>
      <c r="DL26" s="5"/>
      <c r="DM26" s="38">
        <f t="shared" si="67"/>
        <v>1295.7945</v>
      </c>
      <c r="DN26" s="38">
        <f t="shared" si="68"/>
        <v>1295.7945</v>
      </c>
      <c r="DO26" s="38">
        <f t="shared" si="69"/>
        <v>3812.6587464</v>
      </c>
      <c r="DP26" s="38">
        <f t="shared" si="70"/>
        <v>69.9040356</v>
      </c>
      <c r="DQ26" s="5"/>
      <c r="DR26" s="5"/>
      <c r="DS26" s="5">
        <f t="shared" si="71"/>
        <v>149.881875</v>
      </c>
      <c r="DT26" s="5">
        <f t="shared" si="72"/>
        <v>149.881875</v>
      </c>
      <c r="DU26" s="38">
        <f t="shared" si="73"/>
        <v>441.00236700000005</v>
      </c>
      <c r="DV26" s="38">
        <f t="shared" si="74"/>
        <v>8.0856555</v>
      </c>
      <c r="DW26" s="5"/>
      <c r="DX26" s="38"/>
      <c r="DY26" s="38">
        <f t="shared" si="75"/>
        <v>15843.828</v>
      </c>
      <c r="DZ26" s="5">
        <f t="shared" si="76"/>
        <v>15843.828</v>
      </c>
      <c r="EA26" s="38">
        <f t="shared" si="77"/>
        <v>46617.8158656</v>
      </c>
      <c r="EB26" s="38">
        <f t="shared" si="78"/>
        <v>854.7246624</v>
      </c>
      <c r="EC26" s="5"/>
      <c r="ED26" s="38"/>
      <c r="EE26" s="38">
        <f t="shared" si="79"/>
        <v>15083.31825</v>
      </c>
      <c r="EF26" s="5">
        <f t="shared" si="80"/>
        <v>15083.31825</v>
      </c>
      <c r="EG26" s="38">
        <f t="shared" si="81"/>
        <v>44380.1430324</v>
      </c>
      <c r="EH26" s="38">
        <f t="shared" si="82"/>
        <v>813.6975546</v>
      </c>
      <c r="EI26" s="5"/>
      <c r="EJ26" s="38"/>
      <c r="EK26" s="38">
        <f t="shared" si="83"/>
        <v>357.60724999999996</v>
      </c>
      <c r="EL26" s="5">
        <f t="shared" si="84"/>
        <v>357.60724999999996</v>
      </c>
      <c r="EM26" s="38">
        <f t="shared" si="85"/>
        <v>1052.1995652</v>
      </c>
      <c r="EN26" s="38">
        <f t="shared" si="86"/>
        <v>19.2917858</v>
      </c>
      <c r="EO26" s="5"/>
      <c r="EP26" s="38"/>
      <c r="EQ26" s="38">
        <f t="shared" si="87"/>
        <v>25621.309999999998</v>
      </c>
      <c r="ER26" s="5">
        <f t="shared" si="88"/>
        <v>25621.309999999998</v>
      </c>
      <c r="ES26" s="38">
        <f t="shared" si="89"/>
        <v>75386.42251199999</v>
      </c>
      <c r="ET26" s="38">
        <f t="shared" si="90"/>
        <v>1382.189048</v>
      </c>
      <c r="EU26" s="5"/>
      <c r="EV26" s="38"/>
      <c r="EW26" s="38">
        <f t="shared" si="91"/>
        <v>32946.824625</v>
      </c>
      <c r="EX26" s="5">
        <f t="shared" si="92"/>
        <v>32946.824625</v>
      </c>
      <c r="EY26" s="38">
        <f t="shared" si="93"/>
        <v>96940.52496180001</v>
      </c>
      <c r="EZ26" s="38">
        <f t="shared" si="94"/>
        <v>1777.3775097</v>
      </c>
      <c r="FA26" s="5"/>
      <c r="FB26" s="5"/>
      <c r="FC26" s="38">
        <f t="shared" si="95"/>
        <v>1028.027</v>
      </c>
      <c r="FD26" s="38">
        <f t="shared" si="96"/>
        <v>1028.027</v>
      </c>
      <c r="FE26" s="38">
        <f t="shared" si="97"/>
        <v>3024.7976304</v>
      </c>
      <c r="FF26" s="38">
        <f t="shared" si="98"/>
        <v>55.4588216</v>
      </c>
      <c r="FG26" s="5"/>
      <c r="FH26" s="5"/>
      <c r="FI26" s="38">
        <f t="shared" si="99"/>
        <v>2818.869625</v>
      </c>
      <c r="FJ26" s="38">
        <f t="shared" si="100"/>
        <v>2818.869625</v>
      </c>
      <c r="FK26" s="38">
        <f t="shared" si="101"/>
        <v>8294.0527458</v>
      </c>
      <c r="FL26" s="38">
        <f t="shared" si="102"/>
        <v>152.0691457</v>
      </c>
      <c r="FM26" s="5"/>
      <c r="FN26" s="38"/>
      <c r="FO26" s="38">
        <f t="shared" si="103"/>
        <v>19897.538375</v>
      </c>
      <c r="FP26" s="5">
        <f t="shared" si="104"/>
        <v>19897.538375</v>
      </c>
      <c r="FQ26" s="38">
        <f t="shared" si="105"/>
        <v>58545.1811358</v>
      </c>
      <c r="FR26" s="38">
        <f t="shared" si="106"/>
        <v>1073.4095806999999</v>
      </c>
      <c r="FS26" s="5"/>
      <c r="FT26" s="38"/>
      <c r="FU26" s="38">
        <f t="shared" si="107"/>
        <v>14376.219</v>
      </c>
      <c r="FV26" s="5">
        <f t="shared" si="108"/>
        <v>14376.219</v>
      </c>
      <c r="FW26" s="38">
        <f t="shared" si="109"/>
        <v>42299.6216688</v>
      </c>
      <c r="FX26" s="38">
        <f t="shared" si="110"/>
        <v>775.5517752</v>
      </c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</row>
    <row r="27" spans="1:223" ht="12.75">
      <c r="A27" s="40">
        <v>11049</v>
      </c>
      <c r="B27" s="3">
        <v>7150000</v>
      </c>
      <c r="C27" s="3">
        <v>178750</v>
      </c>
      <c r="D27" s="37">
        <f t="shared" si="0"/>
        <v>7328750</v>
      </c>
      <c r="E27" s="37">
        <v>525942</v>
      </c>
      <c r="F27" s="37">
        <v>9643</v>
      </c>
      <c r="H27" s="38">
        <f>'2019C Academic'!I27</f>
        <v>1024687.235</v>
      </c>
      <c r="I27" s="38">
        <f>'2019C Academic'!J27</f>
        <v>25617.180875</v>
      </c>
      <c r="J27" s="38">
        <f t="shared" si="1"/>
        <v>1050304.415875</v>
      </c>
      <c r="K27" s="38">
        <f>'2019C Academic'!L27</f>
        <v>75374.27325180001</v>
      </c>
      <c r="L27" s="38">
        <f>'2019C Academic'!M27</f>
        <v>1381.9662947000002</v>
      </c>
      <c r="N27" s="38">
        <f>T27+Z27+AF27+AR27+AX27+BD27+BV27+CB27+CH27+CT27+DF27+DL27+DR27+DX27+ED27+EJ27+EP27+EV27+FB27+FH27+FN27+FT27+FZ27+AL27+BJ27+CN27+CZ27+BP27</f>
        <v>6125312.765000001</v>
      </c>
      <c r="O27" s="37">
        <f t="shared" si="2"/>
        <v>153132.81912499998</v>
      </c>
      <c r="P27" s="5">
        <f t="shared" si="3"/>
        <v>6278445.584125001</v>
      </c>
      <c r="Q27" s="37">
        <f t="shared" si="4"/>
        <v>450567.7267482</v>
      </c>
      <c r="R27" s="37">
        <f t="shared" si="5"/>
        <v>8260.608449</v>
      </c>
      <c r="T27" s="38">
        <f t="shared" si="111"/>
        <v>121414.15</v>
      </c>
      <c r="U27" s="38">
        <f t="shared" si="6"/>
        <v>3035.3537499999998</v>
      </c>
      <c r="V27" s="5">
        <f t="shared" si="7"/>
        <v>124449.50374999999</v>
      </c>
      <c r="W27" s="38">
        <f t="shared" si="8"/>
        <v>8931.021102</v>
      </c>
      <c r="X27" s="38">
        <f t="shared" si="9"/>
        <v>163.747783</v>
      </c>
      <c r="Z27" s="5">
        <f t="shared" si="112"/>
        <v>28917.46</v>
      </c>
      <c r="AA27" s="38">
        <f t="shared" si="10"/>
        <v>722.9365</v>
      </c>
      <c r="AB27" s="38">
        <f t="shared" si="11"/>
        <v>29640.3965</v>
      </c>
      <c r="AC27" s="38">
        <f t="shared" si="12"/>
        <v>2127.1198248</v>
      </c>
      <c r="AD27" s="38">
        <f t="shared" si="13"/>
        <v>39.0001492</v>
      </c>
      <c r="AF27" s="5">
        <f t="shared" si="113"/>
        <v>7122.83</v>
      </c>
      <c r="AG27" s="5">
        <f t="shared" si="14"/>
        <v>178.07075</v>
      </c>
      <c r="AH27" s="5">
        <f t="shared" si="15"/>
        <v>7300.90075</v>
      </c>
      <c r="AI27" s="38">
        <f t="shared" si="16"/>
        <v>523.9434204</v>
      </c>
      <c r="AJ27" s="38">
        <f t="shared" si="17"/>
        <v>9.6063566</v>
      </c>
      <c r="AL27" s="5">
        <f t="shared" si="114"/>
        <v>260.26</v>
      </c>
      <c r="AM27" s="5">
        <f t="shared" si="18"/>
        <v>6.506499999999999</v>
      </c>
      <c r="AN27" s="5">
        <f t="shared" si="19"/>
        <v>266.7665</v>
      </c>
      <c r="AO27" s="38">
        <f t="shared" si="20"/>
        <v>19.144288799999998</v>
      </c>
      <c r="AP27" s="38"/>
      <c r="AR27" s="38">
        <f t="shared" si="115"/>
        <v>28.599999999999998</v>
      </c>
      <c r="AS27" s="38">
        <f t="shared" si="21"/>
        <v>0.715</v>
      </c>
      <c r="AT27" s="5">
        <f t="shared" si="22"/>
        <v>29.314999999999998</v>
      </c>
      <c r="AU27" s="38">
        <f t="shared" si="23"/>
        <v>2.103768</v>
      </c>
      <c r="AV27" s="38"/>
      <c r="AX27" s="38">
        <f t="shared" si="116"/>
        <v>369587.79000000004</v>
      </c>
      <c r="AY27" s="38">
        <f t="shared" si="24"/>
        <v>9239.69475</v>
      </c>
      <c r="AZ27" s="5">
        <f t="shared" si="25"/>
        <v>378827.48475000006</v>
      </c>
      <c r="BA27" s="38">
        <f t="shared" si="26"/>
        <v>27186.257545200002</v>
      </c>
      <c r="BB27" s="38">
        <f t="shared" si="27"/>
        <v>498.45245580000005</v>
      </c>
      <c r="BC27" s="5"/>
      <c r="BD27" s="38">
        <f t="shared" si="117"/>
        <v>4440.150000000001</v>
      </c>
      <c r="BE27" s="38">
        <f t="shared" si="28"/>
        <v>111.00375000000001</v>
      </c>
      <c r="BF27" s="5">
        <f t="shared" si="29"/>
        <v>4551.15375</v>
      </c>
      <c r="BG27" s="38">
        <f t="shared" si="30"/>
        <v>326.609982</v>
      </c>
      <c r="BH27" s="38">
        <f t="shared" si="31"/>
        <v>5.988303</v>
      </c>
      <c r="BI27" s="5"/>
      <c r="BJ27" s="38">
        <f t="shared" si="118"/>
        <v>5181.605</v>
      </c>
      <c r="BK27" s="38">
        <f t="shared" si="32"/>
        <v>129.540125</v>
      </c>
      <c r="BL27" s="5">
        <f t="shared" si="33"/>
        <v>5311.145124999999</v>
      </c>
      <c r="BM27" s="38">
        <f t="shared" si="34"/>
        <v>381.1501674</v>
      </c>
      <c r="BN27" s="38">
        <f t="shared" si="35"/>
        <v>6.9882821</v>
      </c>
      <c r="BO27" s="5"/>
      <c r="BP27" s="38">
        <f>B27*$BQ$6</f>
        <v>26.455000000000002</v>
      </c>
      <c r="BQ27" s="38">
        <f t="shared" si="36"/>
        <v>0.661375</v>
      </c>
      <c r="BR27" s="5">
        <f t="shared" si="37"/>
        <v>27.116375</v>
      </c>
      <c r="BS27" s="38">
        <f t="shared" si="38"/>
        <v>1.9459854</v>
      </c>
      <c r="BT27" s="38"/>
      <c r="BU27" s="5"/>
      <c r="BV27" s="38">
        <f t="shared" si="119"/>
        <v>27430.975000000002</v>
      </c>
      <c r="BW27" s="38">
        <f t="shared" si="39"/>
        <v>685.774375</v>
      </c>
      <c r="BX27" s="5">
        <f t="shared" si="40"/>
        <v>28116.749375000003</v>
      </c>
      <c r="BY27" s="38">
        <f t="shared" si="41"/>
        <v>2017.776483</v>
      </c>
      <c r="BZ27" s="38">
        <f t="shared" si="42"/>
        <v>36.9953695</v>
      </c>
      <c r="CA27" s="5"/>
      <c r="CB27" s="5">
        <f t="shared" si="120"/>
        <v>15656.355000000001</v>
      </c>
      <c r="CC27" s="5">
        <f t="shared" si="43"/>
        <v>391.408875</v>
      </c>
      <c r="CD27" s="5">
        <f t="shared" si="44"/>
        <v>16047.763875</v>
      </c>
      <c r="CE27" s="38">
        <f t="shared" si="45"/>
        <v>1151.6551974000001</v>
      </c>
      <c r="CF27" s="38">
        <f t="shared" si="46"/>
        <v>21.1152771</v>
      </c>
      <c r="CG27" s="5"/>
      <c r="CH27" s="38">
        <f t="shared" si="121"/>
        <v>173095.065</v>
      </c>
      <c r="CI27" s="38">
        <f t="shared" si="47"/>
        <v>4327.376625</v>
      </c>
      <c r="CJ27" s="5">
        <f t="shared" si="48"/>
        <v>177422.441625</v>
      </c>
      <c r="CK27" s="38">
        <f t="shared" si="49"/>
        <v>12732.5824722</v>
      </c>
      <c r="CL27" s="38">
        <f t="shared" si="50"/>
        <v>233.4483513</v>
      </c>
      <c r="CM27" s="5"/>
      <c r="CN27" s="38">
        <f t="shared" si="122"/>
        <v>1269.125</v>
      </c>
      <c r="CO27" s="38">
        <f t="shared" si="51"/>
        <v>31.728125000000002</v>
      </c>
      <c r="CP27" s="5">
        <f t="shared" si="52"/>
        <v>1300.853125</v>
      </c>
      <c r="CQ27" s="38">
        <f t="shared" si="53"/>
        <v>93.354705</v>
      </c>
      <c r="CR27" s="38">
        <f t="shared" si="54"/>
        <v>1.7116325000000001</v>
      </c>
      <c r="CS27" s="5"/>
      <c r="CT27" s="5">
        <f t="shared" si="123"/>
        <v>45381.05</v>
      </c>
      <c r="CU27" s="38">
        <f t="shared" si="55"/>
        <v>1134.5262500000001</v>
      </c>
      <c r="CV27" s="38">
        <f t="shared" si="56"/>
        <v>46515.576250000006</v>
      </c>
      <c r="CW27" s="38">
        <f t="shared" si="57"/>
        <v>3338.153874</v>
      </c>
      <c r="CX27" s="38">
        <f t="shared" si="58"/>
        <v>61.204121</v>
      </c>
      <c r="CY27" s="5"/>
      <c r="CZ27" s="5">
        <f t="shared" si="124"/>
        <v>106891.06999999999</v>
      </c>
      <c r="DA27" s="38">
        <f t="shared" si="59"/>
        <v>2672.27675</v>
      </c>
      <c r="DB27" s="38">
        <f t="shared" si="60"/>
        <v>109563.34675</v>
      </c>
      <c r="DC27" s="38">
        <f t="shared" si="61"/>
        <v>7862.7277116</v>
      </c>
      <c r="DD27" s="38">
        <f t="shared" si="62"/>
        <v>144.16092139999998</v>
      </c>
      <c r="DE27" s="5"/>
      <c r="DF27" s="38">
        <f t="shared" si="125"/>
        <v>41841.085</v>
      </c>
      <c r="DG27" s="38">
        <f t="shared" si="63"/>
        <v>1046.027125</v>
      </c>
      <c r="DH27" s="5">
        <f t="shared" si="64"/>
        <v>42887.112125</v>
      </c>
      <c r="DI27" s="38">
        <f t="shared" si="65"/>
        <v>3077.7599898</v>
      </c>
      <c r="DJ27" s="38">
        <f t="shared" si="66"/>
        <v>56.4298717</v>
      </c>
      <c r="DK27" s="5"/>
      <c r="DL27" s="5">
        <f t="shared" si="126"/>
        <v>51831.78</v>
      </c>
      <c r="DM27" s="38">
        <f t="shared" si="67"/>
        <v>1295.7945</v>
      </c>
      <c r="DN27" s="38">
        <f t="shared" si="68"/>
        <v>53127.5745</v>
      </c>
      <c r="DO27" s="38">
        <f t="shared" si="69"/>
        <v>3812.6587464</v>
      </c>
      <c r="DP27" s="38">
        <f t="shared" si="70"/>
        <v>69.9040356</v>
      </c>
      <c r="DQ27" s="5"/>
      <c r="DR27" s="5">
        <f t="shared" si="127"/>
        <v>5995.275000000001</v>
      </c>
      <c r="DS27" s="5">
        <f t="shared" si="71"/>
        <v>149.881875</v>
      </c>
      <c r="DT27" s="5">
        <f t="shared" si="72"/>
        <v>6145.156875000001</v>
      </c>
      <c r="DU27" s="38">
        <f t="shared" si="73"/>
        <v>441.00236700000005</v>
      </c>
      <c r="DV27" s="38">
        <f t="shared" si="74"/>
        <v>8.0856555</v>
      </c>
      <c r="DW27" s="5"/>
      <c r="DX27" s="38">
        <f t="shared" si="128"/>
        <v>633753.12</v>
      </c>
      <c r="DY27" s="38">
        <f t="shared" si="75"/>
        <v>15843.828</v>
      </c>
      <c r="DZ27" s="5">
        <f t="shared" si="76"/>
        <v>649596.948</v>
      </c>
      <c r="EA27" s="38">
        <f t="shared" si="77"/>
        <v>46617.8158656</v>
      </c>
      <c r="EB27" s="38">
        <f t="shared" si="78"/>
        <v>854.7246624</v>
      </c>
      <c r="EC27" s="5"/>
      <c r="ED27" s="38">
        <f t="shared" si="129"/>
        <v>603332.73</v>
      </c>
      <c r="EE27" s="38">
        <f t="shared" si="79"/>
        <v>15083.31825</v>
      </c>
      <c r="EF27" s="5">
        <f t="shared" si="80"/>
        <v>618416.04825</v>
      </c>
      <c r="EG27" s="38">
        <f t="shared" si="81"/>
        <v>44380.1430324</v>
      </c>
      <c r="EH27" s="38">
        <f t="shared" si="82"/>
        <v>813.6975546</v>
      </c>
      <c r="EI27" s="5"/>
      <c r="EJ27" s="38">
        <f t="shared" si="130"/>
        <v>14304.289999999999</v>
      </c>
      <c r="EK27" s="38">
        <f t="shared" si="83"/>
        <v>357.60724999999996</v>
      </c>
      <c r="EL27" s="5">
        <f t="shared" si="84"/>
        <v>14661.897249999998</v>
      </c>
      <c r="EM27" s="38">
        <f t="shared" si="85"/>
        <v>1052.1995652</v>
      </c>
      <c r="EN27" s="38">
        <f t="shared" si="86"/>
        <v>19.2917858</v>
      </c>
      <c r="EO27" s="5"/>
      <c r="EP27" s="38">
        <f t="shared" si="131"/>
        <v>1024852.3999999999</v>
      </c>
      <c r="EQ27" s="38">
        <f t="shared" si="87"/>
        <v>25621.309999999998</v>
      </c>
      <c r="ER27" s="5">
        <f t="shared" si="88"/>
        <v>1050473.71</v>
      </c>
      <c r="ES27" s="38">
        <f t="shared" si="89"/>
        <v>75386.42251199999</v>
      </c>
      <c r="ET27" s="38">
        <f t="shared" si="90"/>
        <v>1382.189048</v>
      </c>
      <c r="EU27" s="5"/>
      <c r="EV27" s="38">
        <f t="shared" si="132"/>
        <v>1317872.985</v>
      </c>
      <c r="EW27" s="38">
        <f t="shared" si="91"/>
        <v>32946.824625</v>
      </c>
      <c r="EX27" s="5">
        <f t="shared" si="92"/>
        <v>1350819.809625</v>
      </c>
      <c r="EY27" s="38">
        <f t="shared" si="93"/>
        <v>96940.52496180001</v>
      </c>
      <c r="EZ27" s="38">
        <f t="shared" si="94"/>
        <v>1777.3775097</v>
      </c>
      <c r="FA27" s="5"/>
      <c r="FB27" s="5">
        <f t="shared" si="133"/>
        <v>41121.079999999994</v>
      </c>
      <c r="FC27" s="38">
        <f t="shared" si="95"/>
        <v>1028.027</v>
      </c>
      <c r="FD27" s="38">
        <f t="shared" si="96"/>
        <v>42149.106999999996</v>
      </c>
      <c r="FE27" s="38">
        <f t="shared" si="97"/>
        <v>3024.7976304</v>
      </c>
      <c r="FF27" s="38">
        <f t="shared" si="98"/>
        <v>55.4588216</v>
      </c>
      <c r="FG27" s="5"/>
      <c r="FH27" s="5">
        <f t="shared" si="134"/>
        <v>112754.785</v>
      </c>
      <c r="FI27" s="38">
        <f t="shared" si="99"/>
        <v>2818.869625</v>
      </c>
      <c r="FJ27" s="38">
        <f t="shared" si="100"/>
        <v>115573.65462500001</v>
      </c>
      <c r="FK27" s="38">
        <f t="shared" si="101"/>
        <v>8294.0527458</v>
      </c>
      <c r="FL27" s="38">
        <f t="shared" si="102"/>
        <v>152.0691457</v>
      </c>
      <c r="FM27" s="5"/>
      <c r="FN27" s="38">
        <f t="shared" si="135"/>
        <v>795901.5349999999</v>
      </c>
      <c r="FO27" s="38">
        <f t="shared" si="103"/>
        <v>19897.538375</v>
      </c>
      <c r="FP27" s="5">
        <f t="shared" si="104"/>
        <v>815799.0733749999</v>
      </c>
      <c r="FQ27" s="38">
        <f t="shared" si="105"/>
        <v>58545.1811358</v>
      </c>
      <c r="FR27" s="38">
        <f t="shared" si="106"/>
        <v>1073.4095806999999</v>
      </c>
      <c r="FS27" s="5"/>
      <c r="FT27" s="38">
        <f t="shared" si="136"/>
        <v>575048.76</v>
      </c>
      <c r="FU27" s="38">
        <f t="shared" si="107"/>
        <v>14376.219</v>
      </c>
      <c r="FV27" s="5">
        <f t="shared" si="108"/>
        <v>589424.979</v>
      </c>
      <c r="FW27" s="38">
        <f t="shared" si="109"/>
        <v>42299.6216688</v>
      </c>
      <c r="FX27" s="38">
        <f t="shared" si="110"/>
        <v>775.5517752</v>
      </c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</row>
    <row r="28" spans="2:223" ht="12.75">
      <c r="B28" s="37"/>
      <c r="C28" s="37"/>
      <c r="D28" s="37"/>
      <c r="E28" s="37"/>
      <c r="F28" s="37"/>
      <c r="T28" s="5"/>
      <c r="U28" s="5"/>
      <c r="V28" s="5"/>
      <c r="W28" s="5"/>
      <c r="X28" s="5"/>
      <c r="AR28" s="5"/>
      <c r="AS28" s="5"/>
      <c r="AT28" s="5"/>
      <c r="AU28" s="5"/>
      <c r="AV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38"/>
      <c r="FD28" s="38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</row>
    <row r="29" spans="1:223" ht="13.5" thickBot="1">
      <c r="A29" s="41" t="s">
        <v>31</v>
      </c>
      <c r="B29" s="42">
        <f>SUM(B8:B28)</f>
        <v>54150000</v>
      </c>
      <c r="C29" s="42">
        <f>SUM(C8:C28)</f>
        <v>16142300</v>
      </c>
      <c r="D29" s="42">
        <f>SUM(D8:D28)</f>
        <v>70292300</v>
      </c>
      <c r="E29" s="42">
        <f>SUM(E8:E28)</f>
        <v>10518840</v>
      </c>
      <c r="F29" s="42">
        <f>SUM(F8:F28)</f>
        <v>192860</v>
      </c>
      <c r="H29" s="42">
        <f>SUM(H8:H28)</f>
        <v>7760393.535000002</v>
      </c>
      <c r="I29" s="42">
        <f>SUM(I8:I28)</f>
        <v>2313399.8256700006</v>
      </c>
      <c r="J29" s="42">
        <f>SUM(J8:J28)</f>
        <v>10073793.36067</v>
      </c>
      <c r="K29" s="42">
        <f>SUM(K8:K28)</f>
        <v>1507485.4650360006</v>
      </c>
      <c r="L29" s="42">
        <f>SUM(L8:L28)</f>
        <v>27639.325893999998</v>
      </c>
      <c r="N29" s="42">
        <f>SUM(N8:N28)</f>
        <v>46389606.465</v>
      </c>
      <c r="O29" s="42">
        <f>SUM(O8:O28)</f>
        <v>13828900.174330004</v>
      </c>
      <c r="P29" s="42">
        <f>SUM(P8:P28)</f>
        <v>60218506.639329985</v>
      </c>
      <c r="Q29" s="42">
        <f>SUM(Q8:Q28)</f>
        <v>9011354.534964</v>
      </c>
      <c r="R29" s="42">
        <f>SUM(R8:R28)</f>
        <v>165212.1689799999</v>
      </c>
      <c r="T29" s="42">
        <f>SUM(T8:T28)</f>
        <v>919521.15</v>
      </c>
      <c r="U29" s="42">
        <f>SUM(U8:U28)</f>
        <v>274112.3963000001</v>
      </c>
      <c r="V29" s="42">
        <f>SUM(V8:V28)</f>
        <v>1193633.5462999998</v>
      </c>
      <c r="W29" s="42">
        <f>SUM(W8:W28)</f>
        <v>178620.42204</v>
      </c>
      <c r="X29" s="42">
        <f>SUM(X8:X28)</f>
        <v>3274.9556599999987</v>
      </c>
      <c r="Z29" s="42">
        <f>SUM(Z8:Z28)</f>
        <v>219004.25999999998</v>
      </c>
      <c r="AA29" s="42">
        <f>SUM(AA8:AA28)</f>
        <v>65285.91812</v>
      </c>
      <c r="AB29" s="42">
        <f>SUM(AB8:AB28)</f>
        <v>284290.17812</v>
      </c>
      <c r="AC29" s="42">
        <f>SUM(AC8:AC28)</f>
        <v>42542.396496</v>
      </c>
      <c r="AD29" s="42">
        <f>SUM(AD8:AD28)</f>
        <v>780.0029840000001</v>
      </c>
      <c r="AF29" s="42">
        <f>SUM(AF8:AF28)</f>
        <v>53944.23000000001</v>
      </c>
      <c r="AG29" s="42">
        <f>SUM(AG8:AG28)</f>
        <v>16080.959260000005</v>
      </c>
      <c r="AH29" s="42">
        <f>SUM(AH8:AH28)</f>
        <v>70025.18926</v>
      </c>
      <c r="AI29" s="42">
        <f>SUM(AI8:AI28)</f>
        <v>10478.868408000004</v>
      </c>
      <c r="AJ29" s="42">
        <f>SUM(AJ8:AJ28)</f>
        <v>192.127132</v>
      </c>
      <c r="AL29" s="42">
        <f>SUM(AL8:AL28)</f>
        <v>1971.06</v>
      </c>
      <c r="AM29" s="42">
        <f>SUM(AM8:AM28)</f>
        <v>587.57972</v>
      </c>
      <c r="AN29" s="42">
        <f>SUM(AN8:AN28)</f>
        <v>2558.6397199999997</v>
      </c>
      <c r="AO29" s="42">
        <f>SUM(AO8:AO28)</f>
        <v>382.8857760000001</v>
      </c>
      <c r="AP29" s="42">
        <f>SUM(AP8:AP28)</f>
        <v>0</v>
      </c>
      <c r="AR29" s="42">
        <f>SUM(AR8:AR28)</f>
        <v>216.6</v>
      </c>
      <c r="AS29" s="42">
        <f>SUM(AS8:AS28)</f>
        <v>64.56920000000001</v>
      </c>
      <c r="AT29" s="42">
        <f>SUM(AT8:AT28)</f>
        <v>281.1692</v>
      </c>
      <c r="AU29" s="42">
        <f>SUM(AU8:AU28)</f>
        <v>42.07536</v>
      </c>
      <c r="AV29" s="42">
        <f>SUM(AV8:AV28)</f>
        <v>0</v>
      </c>
      <c r="AX29" s="42">
        <f>SUM(AX8:AX28)</f>
        <v>2799045.99</v>
      </c>
      <c r="AY29" s="42">
        <f>SUM(AY8:AY28)</f>
        <v>834405.1723800001</v>
      </c>
      <c r="AZ29" s="42">
        <f>SUM(AZ8:AZ28)</f>
        <v>3633451.1623799996</v>
      </c>
      <c r="BA29" s="42">
        <f>SUM(BA8:BA28)</f>
        <v>543725.150904</v>
      </c>
      <c r="BB29" s="42">
        <f>SUM(BB8:BB28)</f>
        <v>9969.049116000002</v>
      </c>
      <c r="BC29" s="5"/>
      <c r="BD29" s="42">
        <f>SUM(BD8:BD28)</f>
        <v>33627.15</v>
      </c>
      <c r="BE29" s="42">
        <f>SUM(BE8:BE28)</f>
        <v>10024.368299999998</v>
      </c>
      <c r="BF29" s="42">
        <f>SUM(BF8:BF28)</f>
        <v>43651.518299999996</v>
      </c>
      <c r="BG29" s="42">
        <f>SUM(BG8:BG28)</f>
        <v>6532.19964</v>
      </c>
      <c r="BH29" s="42">
        <f>SUM(BH8:BH28)</f>
        <v>119.76606000000002</v>
      </c>
      <c r="BI29" s="5"/>
      <c r="BJ29" s="42">
        <f>SUM(BJ8:BJ28)</f>
        <v>39242.505000000005</v>
      </c>
      <c r="BK29" s="42">
        <f>SUM(BK8:BK28)</f>
        <v>11698.324809999995</v>
      </c>
      <c r="BL29" s="42">
        <f>SUM(BL8:BL28)</f>
        <v>50940.829809999996</v>
      </c>
      <c r="BM29" s="42">
        <f>SUM(BM8:BM28)</f>
        <v>7623.003348000001</v>
      </c>
      <c r="BN29" s="42">
        <f>SUM(BN8:BN28)</f>
        <v>139.76564200000004</v>
      </c>
      <c r="BO29" s="37"/>
      <c r="BP29" s="42">
        <f>SUM(BP8:BP28)</f>
        <v>200.35500000000002</v>
      </c>
      <c r="BQ29" s="42">
        <f>SUM(BQ8:BQ28)</f>
        <v>59.726510000000005</v>
      </c>
      <c r="BR29" s="42">
        <f>SUM(BR8:BR28)</f>
        <v>260.08151</v>
      </c>
      <c r="BS29" s="42">
        <f>SUM(BS8:BS28)</f>
        <v>38.919708</v>
      </c>
      <c r="BT29" s="42">
        <f>SUM(BT8:BT28)</f>
        <v>0</v>
      </c>
      <c r="BU29" s="5"/>
      <c r="BV29" s="42">
        <f>SUM(BV8:BV28)</f>
        <v>207746.475</v>
      </c>
      <c r="BW29" s="42">
        <f>SUM(BW8:BW28)</f>
        <v>61929.93395</v>
      </c>
      <c r="BX29" s="42">
        <f>SUM(BX8:BX28)</f>
        <v>269676.40895</v>
      </c>
      <c r="BY29" s="42">
        <f>SUM(BY8:BY28)</f>
        <v>40355.529660000015</v>
      </c>
      <c r="BZ29" s="42">
        <f>SUM(BZ8:BZ28)</f>
        <v>739.9073900000002</v>
      </c>
      <c r="CA29" s="5"/>
      <c r="CB29" s="42">
        <f>SUM(CB8:CB28)</f>
        <v>118572.255</v>
      </c>
      <c r="CC29" s="42">
        <f>SUM(CC8:CC28)</f>
        <v>35346.794310000005</v>
      </c>
      <c r="CD29" s="42">
        <f>SUM(CD8:CD28)</f>
        <v>153919.04931</v>
      </c>
      <c r="CE29" s="42">
        <f>SUM(CE8:CE28)</f>
        <v>23033.103947999996</v>
      </c>
      <c r="CF29" s="42">
        <f>SUM(CF8:CF28)</f>
        <v>422.3055420000002</v>
      </c>
      <c r="CG29" s="5"/>
      <c r="CH29" s="42">
        <f>SUM(CH8:CH28)</f>
        <v>1310922.765</v>
      </c>
      <c r="CI29" s="42">
        <f>SUM(CI8:CI28)</f>
        <v>390790.5549299999</v>
      </c>
      <c r="CJ29" s="42">
        <f>SUM(CJ8:CJ28)</f>
        <v>1701713.3199300002</v>
      </c>
      <c r="CK29" s="42">
        <f>SUM(CK8:CK28)</f>
        <v>254651.64944400007</v>
      </c>
      <c r="CL29" s="42">
        <f>SUM(CL8:CL28)</f>
        <v>4668.967026</v>
      </c>
      <c r="CM29" s="5"/>
      <c r="CN29" s="42">
        <f>SUM(CN8:CN28)</f>
        <v>9611.625</v>
      </c>
      <c r="CO29" s="42">
        <f>SUM(CO8:CO28)</f>
        <v>2865.2582500000008</v>
      </c>
      <c r="CP29" s="42">
        <f>SUM(CP8:CP28)</f>
        <v>12476.883249999999</v>
      </c>
      <c r="CQ29" s="42">
        <f>SUM(CQ8:CQ28)</f>
        <v>1867.0940999999996</v>
      </c>
      <c r="CR29" s="42">
        <f>SUM(CR8:CR28)</f>
        <v>34.23265</v>
      </c>
      <c r="CS29" s="5"/>
      <c r="CT29" s="42">
        <f>SUM(CT8:CT28)</f>
        <v>343690.05</v>
      </c>
      <c r="CU29" s="42">
        <f>SUM(CU8:CU28)</f>
        <v>102455.17810000002</v>
      </c>
      <c r="CV29" s="42">
        <f>SUM(CV8:CV28)</f>
        <v>446145.22809999995</v>
      </c>
      <c r="CW29" s="42">
        <f>SUM(CW8:CW28)</f>
        <v>66763.07748000004</v>
      </c>
      <c r="CX29" s="42">
        <f>SUM(CX8:CX28)</f>
        <v>1224.08242</v>
      </c>
      <c r="CY29" s="5"/>
      <c r="CZ29" s="42">
        <f>SUM(CZ8:CZ28)</f>
        <v>809531.6699999998</v>
      </c>
      <c r="DA29" s="42">
        <f>SUM(DA8:DA28)</f>
        <v>241324.15653999997</v>
      </c>
      <c r="DB29" s="42">
        <f>SUM(DB8:DB28)</f>
        <v>1050855.8265399998</v>
      </c>
      <c r="DC29" s="42">
        <f>SUM(DC8:DC28)</f>
        <v>157254.554232</v>
      </c>
      <c r="DD29" s="42">
        <f>SUM(DD8:DD28)</f>
        <v>2883.2184279999997</v>
      </c>
      <c r="DE29" s="5"/>
      <c r="DF29" s="42">
        <f>SUM(DF8:DF28)</f>
        <v>316880.385</v>
      </c>
      <c r="DG29" s="42">
        <f>SUM(DG8:DG28)</f>
        <v>94463.12537</v>
      </c>
      <c r="DH29" s="42">
        <f>SUM(DH8:DH28)</f>
        <v>411343.51037000003</v>
      </c>
      <c r="DI29" s="42">
        <f>SUM(DI8:DI28)</f>
        <v>61555.19979599998</v>
      </c>
      <c r="DJ29" s="42">
        <f>SUM(DJ8:DJ28)</f>
        <v>1128.597434</v>
      </c>
      <c r="DK29" s="5"/>
      <c r="DL29" s="42">
        <f>SUM(DL8:DL28)</f>
        <v>392544.18000000005</v>
      </c>
      <c r="DM29" s="42">
        <f>SUM(DM8:DM28)</f>
        <v>117018.76116000001</v>
      </c>
      <c r="DN29" s="42">
        <f>SUM(DN8:DN28)</f>
        <v>509562.94115999993</v>
      </c>
      <c r="DO29" s="42">
        <f>SUM(DO8:DO28)</f>
        <v>76253.17492799998</v>
      </c>
      <c r="DP29" s="42">
        <f>SUM(DP8:DP28)</f>
        <v>1398.0807120000004</v>
      </c>
      <c r="DQ29" s="5"/>
      <c r="DR29" s="42">
        <f>SUM(DR8:DR28)</f>
        <v>45404.775</v>
      </c>
      <c r="DS29" s="42">
        <f>SUM(DS8:DS28)</f>
        <v>13535.318549999998</v>
      </c>
      <c r="DT29" s="42">
        <f>SUM(DT8:DT28)</f>
        <v>58940.09355000001</v>
      </c>
      <c r="DU29" s="42">
        <f>SUM(DU8:DU28)</f>
        <v>8820.047340000001</v>
      </c>
      <c r="DV29" s="42">
        <f>SUM(DV8:DV28)</f>
        <v>161.71311</v>
      </c>
      <c r="DW29" s="5"/>
      <c r="DX29" s="42">
        <f>SUM(DX8:DX28)</f>
        <v>4799682.72</v>
      </c>
      <c r="DY29" s="42">
        <f>SUM(DY8:DY28)</f>
        <v>1430801.81664</v>
      </c>
      <c r="DZ29" s="42">
        <f>SUM(DZ8:DZ28)</f>
        <v>6230484.536639999</v>
      </c>
      <c r="EA29" s="42">
        <f>SUM(EA8:EA28)</f>
        <v>932356.3173120002</v>
      </c>
      <c r="EB29" s="42">
        <f>SUM(EB8:EB28)</f>
        <v>17094.493248000002</v>
      </c>
      <c r="EC29" s="5"/>
      <c r="ED29" s="42">
        <f>SUM(ED8:ED28)</f>
        <v>4569296.130000001</v>
      </c>
      <c r="EE29" s="42">
        <f>SUM(EE8:EE28)</f>
        <v>1362122.7870600002</v>
      </c>
      <c r="EF29" s="42">
        <f>SUM(EF8:EF28)</f>
        <v>5931418.91706</v>
      </c>
      <c r="EG29" s="42">
        <f>SUM(EG8:EG28)</f>
        <v>887602.8606480005</v>
      </c>
      <c r="EH29" s="42">
        <f>SUM(EH8:EH28)</f>
        <v>16273.951091999996</v>
      </c>
      <c r="EI29" s="5"/>
      <c r="EJ29" s="42">
        <f>SUM(EJ8:EJ28)</f>
        <v>108332.48999999999</v>
      </c>
      <c r="EK29" s="42">
        <f>SUM(EK8:EK28)</f>
        <v>32294.28538</v>
      </c>
      <c r="EL29" s="42">
        <f>SUM(EL8:EL28)</f>
        <v>140626.77538</v>
      </c>
      <c r="EM29" s="42">
        <f>SUM(EM8:EM28)</f>
        <v>21043.991304000006</v>
      </c>
      <c r="EN29" s="42">
        <f>SUM(EN8:EN28)</f>
        <v>385.83571600000016</v>
      </c>
      <c r="EO29" s="5"/>
      <c r="EP29" s="42">
        <f>SUM(EP8:EP28)</f>
        <v>7761644.3999999985</v>
      </c>
      <c r="EQ29" s="42">
        <f>SUM(EQ8:EQ28)</f>
        <v>2313772.7128</v>
      </c>
      <c r="ER29" s="42">
        <f>SUM(ER8:ER28)</f>
        <v>10075417.112800002</v>
      </c>
      <c r="ES29" s="42">
        <f>SUM(ES8:ES28)</f>
        <v>1507728.4502399995</v>
      </c>
      <c r="ET29" s="42">
        <f>SUM(ET8:ET28)</f>
        <v>27643.78096</v>
      </c>
      <c r="EU29" s="5"/>
      <c r="EV29" s="42">
        <f>SUM(EV8:EV28)</f>
        <v>9980814.284999998</v>
      </c>
      <c r="EW29" s="42">
        <f>SUM(EW8:EW28)</f>
        <v>2975314.8371699997</v>
      </c>
      <c r="EX29" s="42">
        <f>SUM(EX8:EX28)</f>
        <v>12956129.122170001</v>
      </c>
      <c r="EY29" s="42">
        <f>SUM(EY8:EY28)</f>
        <v>1938810.4992360007</v>
      </c>
      <c r="EZ29" s="42">
        <f>SUM(EZ8:EZ28)</f>
        <v>35547.550194</v>
      </c>
      <c r="FA29" s="5"/>
      <c r="FB29" s="42">
        <f>SUM(FB8:FB28)</f>
        <v>311427.48</v>
      </c>
      <c r="FC29" s="42">
        <f>SUM(FC8:FC28)</f>
        <v>92837.59576</v>
      </c>
      <c r="FD29" s="42">
        <f>SUM(FD8:FD28)</f>
        <v>404265.07576</v>
      </c>
      <c r="FE29" s="42">
        <f>SUM(FE8:FE28)</f>
        <v>60495.95260799997</v>
      </c>
      <c r="FF29" s="42">
        <f>SUM(FF8:FF28)</f>
        <v>1109.1764319999997</v>
      </c>
      <c r="FG29" s="5"/>
      <c r="FH29" s="42">
        <f>SUM(FH8:FH28)</f>
        <v>853940.0850000001</v>
      </c>
      <c r="FI29" s="42">
        <f>SUM(FI8:FI28)</f>
        <v>254562.45677000005</v>
      </c>
      <c r="FJ29" s="42">
        <f>SUM(FJ8:FJ28)</f>
        <v>1108502.54177</v>
      </c>
      <c r="FK29" s="42">
        <f>SUM(FK8:FK28)</f>
        <v>165881.054916</v>
      </c>
      <c r="FL29" s="42">
        <f>SUM(FL8:FL28)</f>
        <v>3041.382913999999</v>
      </c>
      <c r="FM29" s="5"/>
      <c r="FN29" s="42">
        <f>SUM(FN8:FN28)</f>
        <v>6027701.835</v>
      </c>
      <c r="FO29" s="42">
        <f>SUM(FO8:FO28)</f>
        <v>1796878.51027</v>
      </c>
      <c r="FP29" s="42">
        <f>SUM(FP8:FP28)</f>
        <v>7824580.3452699995</v>
      </c>
      <c r="FQ29" s="42">
        <f>SUM(FQ8:FQ28)</f>
        <v>1170903.6227159996</v>
      </c>
      <c r="FR29" s="42">
        <f>SUM(FR8:FR28)</f>
        <v>21468.191614</v>
      </c>
      <c r="FS29" s="37"/>
      <c r="FT29" s="42">
        <f>SUM(FT8:FT28)</f>
        <v>4355089.5600000005</v>
      </c>
      <c r="FU29" s="42">
        <f>SUM(FU8:FU28)</f>
        <v>1298267.0767200002</v>
      </c>
      <c r="FV29" s="42">
        <f>SUM(FV8:FV28)</f>
        <v>5653356.636719999</v>
      </c>
      <c r="FW29" s="42">
        <f>SUM(FW8:FW28)</f>
        <v>845992.4333760001</v>
      </c>
      <c r="FX29" s="42">
        <f>SUM(FX8:FX28)</f>
        <v>15511.035503999994</v>
      </c>
      <c r="FY29" s="5"/>
      <c r="FZ29" s="42">
        <f>SUM(FZ8:FZ28)</f>
        <v>0</v>
      </c>
      <c r="GA29" s="42">
        <f>SUM(GA8:GA28)</f>
        <v>0</v>
      </c>
      <c r="GB29" s="42">
        <f>SUM(GB8:GB28)</f>
        <v>0</v>
      </c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</row>
    <row r="30" spans="20:223" ht="13.5" thickTop="1">
      <c r="T30" s="5"/>
      <c r="U30" s="5"/>
      <c r="V30" s="5"/>
      <c r="W30" s="5"/>
      <c r="X30" s="5"/>
      <c r="AR30" s="5"/>
      <c r="AS30" s="5"/>
      <c r="AT30" s="5"/>
      <c r="AU30" s="5"/>
      <c r="AV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</row>
    <row r="31" spans="15:223" ht="12.75">
      <c r="O31" s="5"/>
      <c r="T31" s="5"/>
      <c r="U31" s="5"/>
      <c r="V31" s="5"/>
      <c r="W31" s="5"/>
      <c r="X31" s="5"/>
      <c r="AR31" s="5"/>
      <c r="AS31" s="5"/>
      <c r="AT31" s="5"/>
      <c r="AU31" s="5"/>
      <c r="AV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</row>
    <row r="32" spans="2:223" ht="12.75">
      <c r="B32" s="3">
        <f>H29+N29</f>
        <v>54150000.00000001</v>
      </c>
      <c r="C32" s="3">
        <f>I29+O29</f>
        <v>16142300.000000004</v>
      </c>
      <c r="D32" s="3">
        <f>J29+P29</f>
        <v>70292299.99999999</v>
      </c>
      <c r="E32" s="3">
        <f>K29+Q29</f>
        <v>10518840.000000002</v>
      </c>
      <c r="F32" s="3">
        <f>L29+R29</f>
        <v>192851.4948739999</v>
      </c>
      <c r="T32" s="5"/>
      <c r="U32" s="5"/>
      <c r="V32" s="5"/>
      <c r="W32" s="5"/>
      <c r="X32" s="5"/>
      <c r="AR32" s="5"/>
      <c r="AS32" s="5"/>
      <c r="AT32" s="5"/>
      <c r="AU32" s="5"/>
      <c r="AV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</row>
    <row r="33" spans="20:223" ht="12.75">
      <c r="T33" s="5"/>
      <c r="U33" s="5"/>
      <c r="V33" s="5"/>
      <c r="W33" s="5"/>
      <c r="X33" s="5"/>
      <c r="AR33" s="5"/>
      <c r="AS33" s="5"/>
      <c r="AT33" s="5"/>
      <c r="AU33" s="5"/>
      <c r="AV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</row>
    <row r="34" spans="20:223" ht="12.75">
      <c r="T34" s="5"/>
      <c r="U34" s="5"/>
      <c r="V34" s="5"/>
      <c r="W34" s="5"/>
      <c r="X34" s="5"/>
      <c r="AR34" s="5"/>
      <c r="AS34" s="5"/>
      <c r="AT34" s="5"/>
      <c r="AU34" s="5"/>
      <c r="AV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</row>
    <row r="35" spans="20:223" ht="12.75">
      <c r="T35" s="5"/>
      <c r="U35" s="5"/>
      <c r="V35" s="5"/>
      <c r="W35" s="5"/>
      <c r="X35" s="5"/>
      <c r="AR35" s="5"/>
      <c r="AS35" s="5"/>
      <c r="AT35" s="5"/>
      <c r="AU35" s="5"/>
      <c r="AV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</row>
    <row r="36" spans="20:223" ht="12.75">
      <c r="T36" s="5"/>
      <c r="U36" s="5"/>
      <c r="V36" s="5"/>
      <c r="W36" s="5"/>
      <c r="X36" s="5"/>
      <c r="AR36" s="5"/>
      <c r="AS36" s="5"/>
      <c r="AT36" s="5"/>
      <c r="AU36" s="5"/>
      <c r="AV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</row>
    <row r="37" spans="1:223" ht="12.75">
      <c r="A37"/>
      <c r="T37" s="5"/>
      <c r="U37" s="5"/>
      <c r="V37" s="5"/>
      <c r="W37" s="5"/>
      <c r="X37" s="5"/>
      <c r="AR37" s="5"/>
      <c r="AS37" s="5"/>
      <c r="AT37" s="5"/>
      <c r="AU37" s="5"/>
      <c r="AV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</row>
    <row r="38" spans="1:223" ht="12.75">
      <c r="A38"/>
      <c r="T38" s="5"/>
      <c r="U38" s="5"/>
      <c r="V38" s="5"/>
      <c r="W38" s="5"/>
      <c r="X38" s="5"/>
      <c r="AR38" s="5"/>
      <c r="AS38" s="5"/>
      <c r="AT38" s="5"/>
      <c r="AU38" s="5"/>
      <c r="AV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</row>
    <row r="39" spans="1:223" ht="12.75">
      <c r="A39"/>
      <c r="T39" s="5"/>
      <c r="U39" s="5"/>
      <c r="V39" s="5"/>
      <c r="W39" s="5"/>
      <c r="X39" s="5"/>
      <c r="AR39" s="5"/>
      <c r="AS39" s="5"/>
      <c r="AT39" s="5"/>
      <c r="AU39" s="5"/>
      <c r="AV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</row>
    <row r="40" spans="1:223" ht="12.75">
      <c r="A40"/>
      <c r="T40" s="5"/>
      <c r="U40" s="5"/>
      <c r="V40" s="5"/>
      <c r="W40" s="5"/>
      <c r="X40" s="5"/>
      <c r="AR40" s="5"/>
      <c r="AS40" s="5"/>
      <c r="AT40" s="5"/>
      <c r="AU40" s="5"/>
      <c r="AV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</row>
    <row r="41" spans="1:223" ht="12.75">
      <c r="A41"/>
      <c r="T41" s="5"/>
      <c r="U41" s="5"/>
      <c r="V41" s="5"/>
      <c r="W41" s="5"/>
      <c r="X41" s="5"/>
      <c r="AR41" s="5"/>
      <c r="AS41" s="5"/>
      <c r="AT41" s="5"/>
      <c r="AU41" s="5"/>
      <c r="AV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</row>
    <row r="42" spans="1:223" ht="12.75">
      <c r="A42"/>
      <c r="H42"/>
      <c r="I42"/>
      <c r="J42"/>
      <c r="K42"/>
      <c r="L42"/>
      <c r="T42" s="5"/>
      <c r="U42" s="5"/>
      <c r="V42" s="5"/>
      <c r="W42" s="5"/>
      <c r="X42" s="5"/>
      <c r="AR42" s="5"/>
      <c r="AS42" s="5"/>
      <c r="AT42" s="5"/>
      <c r="AU42" s="5"/>
      <c r="AV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</row>
    <row r="43" spans="1:223" ht="12.75">
      <c r="A43"/>
      <c r="B43"/>
      <c r="C43"/>
      <c r="D43"/>
      <c r="E43"/>
      <c r="F43"/>
      <c r="G43"/>
      <c r="H43"/>
      <c r="I43"/>
      <c r="J43"/>
      <c r="K43"/>
      <c r="L43"/>
      <c r="M43"/>
      <c r="S43"/>
      <c r="T43" s="5"/>
      <c r="U43" s="5"/>
      <c r="V43" s="5"/>
      <c r="W43" s="5"/>
      <c r="X43" s="5"/>
      <c r="AR43" s="5"/>
      <c r="AS43" s="5"/>
      <c r="AT43" s="5"/>
      <c r="AU43" s="5"/>
      <c r="AV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</row>
    <row r="44" spans="1:223" ht="12.75">
      <c r="A44"/>
      <c r="B44"/>
      <c r="C44"/>
      <c r="D44"/>
      <c r="E44"/>
      <c r="F44"/>
      <c r="G44"/>
      <c r="H44"/>
      <c r="I44"/>
      <c r="J44"/>
      <c r="K44"/>
      <c r="L44"/>
      <c r="M44"/>
      <c r="S44"/>
      <c r="T44" s="5"/>
      <c r="U44" s="5"/>
      <c r="V44" s="5"/>
      <c r="W44" s="5"/>
      <c r="X44" s="5"/>
      <c r="AR44" s="5"/>
      <c r="AS44" s="5"/>
      <c r="AT44" s="5"/>
      <c r="AU44" s="5"/>
      <c r="AV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</row>
    <row r="45" spans="1:223" ht="12.75">
      <c r="A45"/>
      <c r="B45"/>
      <c r="C45"/>
      <c r="D45"/>
      <c r="E45"/>
      <c r="F45"/>
      <c r="G45"/>
      <c r="H45"/>
      <c r="I45"/>
      <c r="J45"/>
      <c r="K45"/>
      <c r="L45"/>
      <c r="M45"/>
      <c r="S45"/>
      <c r="T45" s="5"/>
      <c r="U45" s="5"/>
      <c r="V45" s="5"/>
      <c r="W45" s="5"/>
      <c r="X45" s="5"/>
      <c r="AR45" s="5"/>
      <c r="AS45" s="5"/>
      <c r="AT45" s="5"/>
      <c r="AU45" s="5"/>
      <c r="AV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</row>
    <row r="46" spans="1:223" ht="12.75">
      <c r="A46"/>
      <c r="B46"/>
      <c r="C46"/>
      <c r="D46"/>
      <c r="E46"/>
      <c r="F46"/>
      <c r="G46"/>
      <c r="H46"/>
      <c r="I46"/>
      <c r="J46"/>
      <c r="K46"/>
      <c r="L46"/>
      <c r="M46"/>
      <c r="S46"/>
      <c r="T46" s="5"/>
      <c r="U46" s="5"/>
      <c r="V46" s="5"/>
      <c r="W46" s="5"/>
      <c r="X46" s="5"/>
      <c r="AR46" s="5"/>
      <c r="AS46" s="5"/>
      <c r="AT46" s="5"/>
      <c r="AU46" s="5"/>
      <c r="AV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</row>
    <row r="47" spans="1:223" ht="12.75">
      <c r="A47"/>
      <c r="B47"/>
      <c r="C47"/>
      <c r="D47"/>
      <c r="E47"/>
      <c r="F47"/>
      <c r="G47"/>
      <c r="H47"/>
      <c r="I47"/>
      <c r="J47"/>
      <c r="K47"/>
      <c r="L47"/>
      <c r="M47"/>
      <c r="S47"/>
      <c r="T47" s="5"/>
      <c r="U47" s="5"/>
      <c r="V47" s="5"/>
      <c r="W47" s="5"/>
      <c r="X47" s="5"/>
      <c r="AR47" s="5"/>
      <c r="AS47" s="5"/>
      <c r="AT47" s="5"/>
      <c r="AU47" s="5"/>
      <c r="AV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</row>
    <row r="48" spans="1:223" ht="12.75">
      <c r="A48"/>
      <c r="B48"/>
      <c r="C48"/>
      <c r="D48"/>
      <c r="E48"/>
      <c r="F48"/>
      <c r="G48"/>
      <c r="H48"/>
      <c r="I48"/>
      <c r="J48"/>
      <c r="K48"/>
      <c r="L48"/>
      <c r="M48"/>
      <c r="S48"/>
      <c r="T48" s="5"/>
      <c r="U48" s="5"/>
      <c r="V48" s="5"/>
      <c r="W48" s="5"/>
      <c r="X48" s="5"/>
      <c r="AR48" s="5"/>
      <c r="AS48" s="5"/>
      <c r="AT48" s="5"/>
      <c r="AU48" s="5"/>
      <c r="AV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</row>
    <row r="49" spans="1:223" ht="12.75">
      <c r="A49"/>
      <c r="B49"/>
      <c r="C49"/>
      <c r="D49"/>
      <c r="E49"/>
      <c r="F49"/>
      <c r="G49"/>
      <c r="H49"/>
      <c r="I49"/>
      <c r="J49"/>
      <c r="K49"/>
      <c r="L49"/>
      <c r="M49"/>
      <c r="S49"/>
      <c r="T49" s="5"/>
      <c r="U49" s="5"/>
      <c r="V49" s="5"/>
      <c r="W49" s="5"/>
      <c r="X49" s="5"/>
      <c r="AR49" s="5"/>
      <c r="AS49" s="5"/>
      <c r="AT49" s="5"/>
      <c r="AU49" s="5"/>
      <c r="AV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</row>
    <row r="50" spans="1:223" ht="12.75">
      <c r="A50"/>
      <c r="B50"/>
      <c r="C50"/>
      <c r="D50"/>
      <c r="E50"/>
      <c r="F50"/>
      <c r="G50"/>
      <c r="H50"/>
      <c r="I50"/>
      <c r="J50"/>
      <c r="K50"/>
      <c r="L50"/>
      <c r="M50"/>
      <c r="S50"/>
      <c r="T50" s="5"/>
      <c r="U50" s="5"/>
      <c r="V50" s="5"/>
      <c r="W50" s="5"/>
      <c r="X50" s="5"/>
      <c r="AR50" s="5"/>
      <c r="AS50" s="5"/>
      <c r="AT50" s="5"/>
      <c r="AU50" s="5"/>
      <c r="AV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</row>
    <row r="51" spans="1:223" ht="12.75">
      <c r="A51"/>
      <c r="B51"/>
      <c r="C51"/>
      <c r="D51"/>
      <c r="E51"/>
      <c r="F51"/>
      <c r="G51"/>
      <c r="H51"/>
      <c r="I51"/>
      <c r="J51"/>
      <c r="K51"/>
      <c r="L51"/>
      <c r="M51"/>
      <c r="S51"/>
      <c r="T51" s="5"/>
      <c r="U51" s="5"/>
      <c r="V51" s="5"/>
      <c r="W51" s="5"/>
      <c r="X51" s="5"/>
      <c r="AR51" s="5"/>
      <c r="AS51" s="5"/>
      <c r="AT51" s="5"/>
      <c r="AU51" s="5"/>
      <c r="AV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</row>
    <row r="52" spans="1:223" ht="12.75">
      <c r="A52"/>
      <c r="B52"/>
      <c r="C52"/>
      <c r="D52"/>
      <c r="E52"/>
      <c r="F52"/>
      <c r="G52"/>
      <c r="H52"/>
      <c r="I52"/>
      <c r="J52"/>
      <c r="K52"/>
      <c r="L52"/>
      <c r="M52"/>
      <c r="S52"/>
      <c r="T52" s="5"/>
      <c r="U52" s="5"/>
      <c r="V52" s="5"/>
      <c r="W52" s="5"/>
      <c r="X52" s="5"/>
      <c r="AR52" s="5"/>
      <c r="AS52" s="5"/>
      <c r="AT52" s="5"/>
      <c r="AU52" s="5"/>
      <c r="AV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</row>
    <row r="53" spans="1:223" ht="12.75">
      <c r="A53"/>
      <c r="B53"/>
      <c r="C53"/>
      <c r="D53"/>
      <c r="E53"/>
      <c r="F53"/>
      <c r="G53"/>
      <c r="H53"/>
      <c r="I53"/>
      <c r="J53"/>
      <c r="K53"/>
      <c r="L53"/>
      <c r="M53"/>
      <c r="S53"/>
      <c r="T53" s="5"/>
      <c r="U53" s="5"/>
      <c r="V53" s="5"/>
      <c r="W53" s="5"/>
      <c r="X53" s="5"/>
      <c r="AR53" s="5"/>
      <c r="AS53" s="5"/>
      <c r="AT53" s="5"/>
      <c r="AU53" s="5"/>
      <c r="AV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</row>
    <row r="54" spans="1:223" ht="12.75">
      <c r="A54"/>
      <c r="B54"/>
      <c r="C54"/>
      <c r="D54"/>
      <c r="E54"/>
      <c r="F54"/>
      <c r="G54"/>
      <c r="H54"/>
      <c r="I54"/>
      <c r="J54"/>
      <c r="K54"/>
      <c r="L54"/>
      <c r="M54"/>
      <c r="S54"/>
      <c r="T54" s="5"/>
      <c r="U54" s="5"/>
      <c r="V54" s="5"/>
      <c r="W54" s="5"/>
      <c r="X54" s="5"/>
      <c r="AR54" s="5"/>
      <c r="AS54" s="5"/>
      <c r="AT54" s="5"/>
      <c r="AU54" s="5"/>
      <c r="AV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</row>
    <row r="55" spans="1:223" ht="12.75">
      <c r="A55"/>
      <c r="B55"/>
      <c r="C55"/>
      <c r="D55"/>
      <c r="E55"/>
      <c r="F55"/>
      <c r="G55"/>
      <c r="H55"/>
      <c r="I55"/>
      <c r="J55"/>
      <c r="K55"/>
      <c r="L55"/>
      <c r="M55"/>
      <c r="S55"/>
      <c r="T55" s="5"/>
      <c r="U55" s="5"/>
      <c r="V55" s="5"/>
      <c r="W55" s="5"/>
      <c r="X55" s="5"/>
      <c r="AR55" s="5"/>
      <c r="AS55" s="5"/>
      <c r="AT55" s="5"/>
      <c r="AU55" s="5"/>
      <c r="AV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</row>
    <row r="56" spans="1:223" ht="12.75">
      <c r="A56"/>
      <c r="B56"/>
      <c r="C56"/>
      <c r="D56"/>
      <c r="E56"/>
      <c r="F56"/>
      <c r="G56"/>
      <c r="H56"/>
      <c r="I56"/>
      <c r="J56"/>
      <c r="K56"/>
      <c r="L56"/>
      <c r="M56"/>
      <c r="S56"/>
      <c r="T56" s="5"/>
      <c r="U56" s="5"/>
      <c r="V56" s="5"/>
      <c r="W56" s="5"/>
      <c r="X56" s="5"/>
      <c r="AR56" s="5"/>
      <c r="AS56" s="5"/>
      <c r="AT56" s="5"/>
      <c r="AU56" s="5"/>
      <c r="AV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</row>
    <row r="57" spans="1:223" ht="12.75">
      <c r="A57"/>
      <c r="B57"/>
      <c r="C57"/>
      <c r="D57"/>
      <c r="E57"/>
      <c r="F57"/>
      <c r="G57"/>
      <c r="H57"/>
      <c r="I57"/>
      <c r="J57"/>
      <c r="K57"/>
      <c r="L57"/>
      <c r="M57"/>
      <c r="S57"/>
      <c r="T57" s="5"/>
      <c r="U57" s="5"/>
      <c r="V57" s="5"/>
      <c r="W57" s="5"/>
      <c r="X57" s="5"/>
      <c r="AR57" s="5"/>
      <c r="AS57" s="5"/>
      <c r="AT57" s="5"/>
      <c r="AU57" s="5"/>
      <c r="AV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</row>
    <row r="58" spans="1:223" ht="12.75">
      <c r="A58"/>
      <c r="B58"/>
      <c r="C58"/>
      <c r="D58"/>
      <c r="E58"/>
      <c r="F58"/>
      <c r="G58"/>
      <c r="H58"/>
      <c r="I58"/>
      <c r="J58"/>
      <c r="K58"/>
      <c r="L58"/>
      <c r="M58"/>
      <c r="S58"/>
      <c r="T58" s="5"/>
      <c r="U58" s="5"/>
      <c r="V58" s="5"/>
      <c r="W58" s="5"/>
      <c r="X58" s="5"/>
      <c r="AR58" s="5"/>
      <c r="AS58" s="5"/>
      <c r="AT58" s="5"/>
      <c r="AU58" s="5"/>
      <c r="AV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</row>
    <row r="59" spans="1:223" ht="12.75">
      <c r="A59"/>
      <c r="B59"/>
      <c r="C59"/>
      <c r="D59"/>
      <c r="E59"/>
      <c r="F59"/>
      <c r="G59"/>
      <c r="H59"/>
      <c r="I59"/>
      <c r="J59"/>
      <c r="K59"/>
      <c r="L59"/>
      <c r="M59"/>
      <c r="S59"/>
      <c r="T59" s="5"/>
      <c r="U59" s="5"/>
      <c r="V59" s="5"/>
      <c r="W59" s="5"/>
      <c r="X59" s="5"/>
      <c r="AR59" s="5"/>
      <c r="AS59" s="5"/>
      <c r="AT59" s="5"/>
      <c r="AU59" s="5"/>
      <c r="AV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</row>
    <row r="60" spans="1:223" ht="12.75">
      <c r="A60"/>
      <c r="B60"/>
      <c r="C60"/>
      <c r="D60"/>
      <c r="E60"/>
      <c r="F60"/>
      <c r="G60"/>
      <c r="H60"/>
      <c r="I60"/>
      <c r="J60"/>
      <c r="K60"/>
      <c r="L60"/>
      <c r="M60"/>
      <c r="S60"/>
      <c r="T60" s="5"/>
      <c r="U60" s="5"/>
      <c r="V60" s="5"/>
      <c r="W60" s="5"/>
      <c r="X60" s="5"/>
      <c r="AR60" s="5"/>
      <c r="AS60" s="5"/>
      <c r="AT60" s="5"/>
      <c r="AU60" s="5"/>
      <c r="AV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</row>
    <row r="61" spans="1:223" ht="12.75">
      <c r="A61"/>
      <c r="B61"/>
      <c r="C61"/>
      <c r="D61"/>
      <c r="E61"/>
      <c r="F61"/>
      <c r="G61"/>
      <c r="H61"/>
      <c r="I61"/>
      <c r="J61"/>
      <c r="K61"/>
      <c r="L61"/>
      <c r="M61"/>
      <c r="S61"/>
      <c r="T61" s="5"/>
      <c r="U61" s="5"/>
      <c r="V61" s="5"/>
      <c r="W61" s="5"/>
      <c r="X61" s="5"/>
      <c r="AR61" s="5"/>
      <c r="AS61" s="5"/>
      <c r="AT61" s="5"/>
      <c r="AU61" s="5"/>
      <c r="AV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</row>
    <row r="62" spans="1:223" ht="12.75">
      <c r="A62"/>
      <c r="B62"/>
      <c r="C62"/>
      <c r="D62"/>
      <c r="E62"/>
      <c r="F62"/>
      <c r="G62"/>
      <c r="H62"/>
      <c r="I62"/>
      <c r="J62"/>
      <c r="K62"/>
      <c r="L62"/>
      <c r="M62"/>
      <c r="S62"/>
      <c r="T62" s="5"/>
      <c r="U62" s="5"/>
      <c r="V62" s="5"/>
      <c r="W62" s="5"/>
      <c r="X62" s="5"/>
      <c r="AR62" s="5"/>
      <c r="AS62" s="5"/>
      <c r="AT62" s="5"/>
      <c r="AU62" s="5"/>
      <c r="AV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</row>
    <row r="63" spans="1:223" ht="12.75">
      <c r="A63"/>
      <c r="B63"/>
      <c r="C63"/>
      <c r="D63"/>
      <c r="E63"/>
      <c r="F63"/>
      <c r="G63"/>
      <c r="H63"/>
      <c r="I63"/>
      <c r="J63"/>
      <c r="K63"/>
      <c r="L63"/>
      <c r="M63"/>
      <c r="S63"/>
      <c r="T63" s="5"/>
      <c r="U63" s="5"/>
      <c r="V63" s="5"/>
      <c r="W63" s="5"/>
      <c r="X63" s="5"/>
      <c r="AR63" s="5"/>
      <c r="AS63" s="5"/>
      <c r="AT63" s="5"/>
      <c r="AU63" s="5"/>
      <c r="AV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</row>
    <row r="64" spans="2:223" ht="12.75">
      <c r="B64"/>
      <c r="C64"/>
      <c r="D64"/>
      <c r="E64"/>
      <c r="F64"/>
      <c r="G64"/>
      <c r="H64"/>
      <c r="I64"/>
      <c r="J64"/>
      <c r="K64"/>
      <c r="L64"/>
      <c r="M64"/>
      <c r="S64"/>
      <c r="T64" s="5"/>
      <c r="U64" s="5"/>
      <c r="V64" s="5"/>
      <c r="W64" s="5"/>
      <c r="X64" s="5"/>
      <c r="AR64" s="5"/>
      <c r="AS64" s="5"/>
      <c r="AT64" s="5"/>
      <c r="AU64" s="5"/>
      <c r="AV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</row>
    <row r="65" spans="2:223" ht="12.75">
      <c r="B65"/>
      <c r="C65"/>
      <c r="D65"/>
      <c r="E65"/>
      <c r="F65"/>
      <c r="G65"/>
      <c r="H65"/>
      <c r="I65"/>
      <c r="J65"/>
      <c r="K65"/>
      <c r="L65"/>
      <c r="M65"/>
      <c r="S65"/>
      <c r="T65" s="5"/>
      <c r="U65" s="5"/>
      <c r="V65" s="5"/>
      <c r="W65" s="5"/>
      <c r="X65" s="5"/>
      <c r="AR65" s="5"/>
      <c r="AS65" s="5"/>
      <c r="AT65" s="5"/>
      <c r="AU65" s="5"/>
      <c r="AV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</row>
    <row r="66" spans="2:223" ht="12.75">
      <c r="B66"/>
      <c r="C66"/>
      <c r="D66"/>
      <c r="E66"/>
      <c r="F66"/>
      <c r="G66"/>
      <c r="H66"/>
      <c r="I66"/>
      <c r="J66"/>
      <c r="K66"/>
      <c r="L66"/>
      <c r="M66"/>
      <c r="S66"/>
      <c r="T66" s="5"/>
      <c r="U66" s="5"/>
      <c r="V66" s="5"/>
      <c r="W66" s="5"/>
      <c r="X66" s="5"/>
      <c r="AR66" s="5"/>
      <c r="AS66" s="5"/>
      <c r="AT66" s="5"/>
      <c r="AU66" s="5"/>
      <c r="AV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</row>
    <row r="67" spans="2:223" ht="12.75">
      <c r="B67"/>
      <c r="C67"/>
      <c r="D67"/>
      <c r="E67"/>
      <c r="F67"/>
      <c r="G67"/>
      <c r="H67"/>
      <c r="I67"/>
      <c r="J67"/>
      <c r="K67"/>
      <c r="L67"/>
      <c r="M67"/>
      <c r="S67"/>
      <c r="T67" s="5"/>
      <c r="U67" s="5"/>
      <c r="V67" s="5"/>
      <c r="W67" s="5"/>
      <c r="X67" s="5"/>
      <c r="AR67" s="5"/>
      <c r="AS67" s="5"/>
      <c r="AT67" s="5"/>
      <c r="AU67" s="5"/>
      <c r="AV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</row>
    <row r="68" spans="2:223" ht="12.75">
      <c r="B68"/>
      <c r="C68"/>
      <c r="D68"/>
      <c r="E68"/>
      <c r="F68"/>
      <c r="G68"/>
      <c r="H68"/>
      <c r="I68"/>
      <c r="J68"/>
      <c r="K68"/>
      <c r="L68"/>
      <c r="M68"/>
      <c r="S68"/>
      <c r="T68" s="5"/>
      <c r="U68" s="5"/>
      <c r="V68" s="5"/>
      <c r="W68" s="5"/>
      <c r="X68" s="5"/>
      <c r="AR68" s="5"/>
      <c r="AS68" s="5"/>
      <c r="AT68" s="5"/>
      <c r="AU68" s="5"/>
      <c r="AV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</row>
    <row r="69" spans="2:223" ht="12.75">
      <c r="B69"/>
      <c r="C69"/>
      <c r="D69"/>
      <c r="E69"/>
      <c r="F69"/>
      <c r="G69"/>
      <c r="M69"/>
      <c r="S69"/>
      <c r="T69" s="5"/>
      <c r="U69" s="5"/>
      <c r="V69" s="5"/>
      <c r="W69" s="5"/>
      <c r="X69" s="5"/>
      <c r="AR69" s="5"/>
      <c r="AS69" s="5"/>
      <c r="AT69" s="5"/>
      <c r="AU69" s="5"/>
      <c r="AV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</row>
    <row r="70" spans="20:223" ht="12.75">
      <c r="T70" s="5"/>
      <c r="U70" s="5"/>
      <c r="V70" s="5"/>
      <c r="W70" s="5"/>
      <c r="X70" s="5"/>
      <c r="AR70" s="5"/>
      <c r="AS70" s="5"/>
      <c r="AT70" s="5"/>
      <c r="AU70" s="5"/>
      <c r="AV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</row>
    <row r="71" spans="20:223" ht="12.75">
      <c r="T71" s="5"/>
      <c r="U71" s="5"/>
      <c r="V71" s="5"/>
      <c r="W71" s="5"/>
      <c r="X71" s="5"/>
      <c r="AR71" s="5"/>
      <c r="AS71" s="5"/>
      <c r="AT71" s="5"/>
      <c r="AU71" s="5"/>
      <c r="AV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</row>
    <row r="72" spans="20:223" ht="12.75">
      <c r="T72" s="5"/>
      <c r="U72" s="5"/>
      <c r="V72" s="5"/>
      <c r="W72" s="5"/>
      <c r="X72" s="5"/>
      <c r="AR72" s="5"/>
      <c r="AS72" s="5"/>
      <c r="AT72" s="5"/>
      <c r="AU72" s="5"/>
      <c r="AV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</row>
    <row r="73" spans="20:223" ht="12.75">
      <c r="T73" s="5"/>
      <c r="U73" s="5"/>
      <c r="V73" s="5"/>
      <c r="W73" s="5"/>
      <c r="X73" s="5"/>
      <c r="AR73" s="5"/>
      <c r="AS73" s="5"/>
      <c r="AT73" s="5"/>
      <c r="AU73" s="5"/>
      <c r="AV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</row>
    <row r="74" spans="20:223" ht="12.75">
      <c r="T74" s="5"/>
      <c r="U74" s="5"/>
      <c r="V74" s="5"/>
      <c r="W74" s="5"/>
      <c r="X74" s="5"/>
      <c r="AR74" s="5"/>
      <c r="AS74" s="5"/>
      <c r="AT74" s="5"/>
      <c r="AU74" s="5"/>
      <c r="AV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</row>
    <row r="75" spans="20:223" ht="12.75">
      <c r="T75" s="5"/>
      <c r="U75" s="5"/>
      <c r="V75" s="5"/>
      <c r="W75" s="5"/>
      <c r="X75" s="5"/>
      <c r="AR75" s="5"/>
      <c r="AS75" s="5"/>
      <c r="AT75" s="5"/>
      <c r="AU75" s="5"/>
      <c r="AV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</row>
    <row r="76" spans="20:223" ht="12.75">
      <c r="T76" s="5"/>
      <c r="U76" s="5"/>
      <c r="V76" s="5"/>
      <c r="W76" s="5"/>
      <c r="X76" s="5"/>
      <c r="AR76" s="5"/>
      <c r="AS76" s="5"/>
      <c r="AT76" s="5"/>
      <c r="AU76" s="5"/>
      <c r="AV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</row>
    <row r="77" spans="20:223" ht="12.75">
      <c r="T77" s="5"/>
      <c r="U77" s="5"/>
      <c r="V77" s="5"/>
      <c r="W77" s="5"/>
      <c r="X77" s="5"/>
      <c r="AR77" s="5"/>
      <c r="AS77" s="5"/>
      <c r="AT77" s="5"/>
      <c r="AU77" s="5"/>
      <c r="AV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</row>
    <row r="78" spans="20:223" ht="12.75">
      <c r="T78" s="5"/>
      <c r="U78" s="5"/>
      <c r="V78" s="5"/>
      <c r="W78" s="5"/>
      <c r="X78" s="5"/>
      <c r="AR78" s="5"/>
      <c r="AS78" s="5"/>
      <c r="AT78" s="5"/>
      <c r="AU78" s="5"/>
      <c r="AV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</row>
    <row r="79" spans="20:223" ht="12.75">
      <c r="T79" s="5"/>
      <c r="U79" s="5"/>
      <c r="V79" s="5"/>
      <c r="W79" s="5"/>
      <c r="X79" s="5"/>
      <c r="AR79" s="5"/>
      <c r="AS79" s="5"/>
      <c r="AT79" s="5"/>
      <c r="AU79" s="5"/>
      <c r="AV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</row>
    <row r="80" spans="20:223" ht="12.75">
      <c r="T80" s="5"/>
      <c r="U80" s="5"/>
      <c r="V80" s="5"/>
      <c r="W80" s="5"/>
      <c r="X80" s="5"/>
      <c r="AR80" s="5"/>
      <c r="AS80" s="5"/>
      <c r="AT80" s="5"/>
      <c r="AU80" s="5"/>
      <c r="AV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</row>
    <row r="81" spans="20:223" ht="12.75">
      <c r="T81" s="5"/>
      <c r="U81" s="5"/>
      <c r="V81" s="5"/>
      <c r="W81" s="5"/>
      <c r="X81" s="5"/>
      <c r="AR81" s="5"/>
      <c r="AS81" s="5"/>
      <c r="AT81" s="5"/>
      <c r="AU81" s="5"/>
      <c r="AV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</row>
    <row r="82" spans="20:223" ht="12.75">
      <c r="T82" s="5"/>
      <c r="U82" s="5"/>
      <c r="V82" s="5"/>
      <c r="W82" s="5"/>
      <c r="X82" s="5"/>
      <c r="AR82" s="5"/>
      <c r="AS82" s="5"/>
      <c r="AT82" s="5"/>
      <c r="AU82" s="5"/>
      <c r="AV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</row>
    <row r="83" spans="20:223" ht="12.75">
      <c r="T83" s="5"/>
      <c r="U83" s="5"/>
      <c r="V83" s="5"/>
      <c r="W83" s="5"/>
      <c r="X83" s="5"/>
      <c r="AR83" s="5"/>
      <c r="AS83" s="5"/>
      <c r="AT83" s="5"/>
      <c r="AU83" s="5"/>
      <c r="AV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</row>
    <row r="84" spans="20:223" ht="12.75">
      <c r="T84" s="5"/>
      <c r="U84" s="5"/>
      <c r="V84" s="5"/>
      <c r="W84" s="5"/>
      <c r="X84" s="5"/>
      <c r="AR84" s="5"/>
      <c r="AS84" s="5"/>
      <c r="AT84" s="5"/>
      <c r="AU84" s="5"/>
      <c r="AV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</row>
    <row r="85" spans="20:223" ht="12.75">
      <c r="T85" s="5"/>
      <c r="U85" s="5"/>
      <c r="V85" s="5"/>
      <c r="W85" s="5"/>
      <c r="X85" s="5"/>
      <c r="AR85" s="5"/>
      <c r="AS85" s="5"/>
      <c r="AT85" s="5"/>
      <c r="AU85" s="5"/>
      <c r="AV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</row>
    <row r="86" spans="20:223" ht="12.75">
      <c r="T86" s="5"/>
      <c r="U86" s="5"/>
      <c r="V86" s="5"/>
      <c r="W86" s="5"/>
      <c r="X86" s="5"/>
      <c r="AR86" s="5"/>
      <c r="AS86" s="5"/>
      <c r="AT86" s="5"/>
      <c r="AU86" s="5"/>
      <c r="AV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</row>
    <row r="87" spans="20:223" ht="12.75">
      <c r="T87" s="5"/>
      <c r="U87" s="5"/>
      <c r="V87" s="5"/>
      <c r="W87" s="5"/>
      <c r="X87" s="5"/>
      <c r="AR87" s="5"/>
      <c r="AS87" s="5"/>
      <c r="AT87" s="5"/>
      <c r="AU87" s="5"/>
      <c r="AV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</row>
    <row r="88" spans="20:223" ht="12.75">
      <c r="T88" s="5"/>
      <c r="U88" s="5"/>
      <c r="V88" s="5"/>
      <c r="W88" s="5"/>
      <c r="X88" s="5"/>
      <c r="AR88" s="5"/>
      <c r="AS88" s="5"/>
      <c r="AT88" s="5"/>
      <c r="AU88" s="5"/>
      <c r="AV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</row>
    <row r="89" spans="20:223" ht="12.75">
      <c r="T89" s="5"/>
      <c r="U89" s="5"/>
      <c r="V89" s="5"/>
      <c r="W89" s="5"/>
      <c r="X89" s="5"/>
      <c r="AR89" s="5"/>
      <c r="AS89" s="5"/>
      <c r="AT89" s="5"/>
      <c r="AU89" s="5"/>
      <c r="AV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</row>
    <row r="90" spans="20:223" ht="12.75">
      <c r="T90" s="5"/>
      <c r="U90" s="5"/>
      <c r="V90" s="5"/>
      <c r="W90" s="5"/>
      <c r="X90" s="5"/>
      <c r="AR90" s="5"/>
      <c r="AS90" s="5"/>
      <c r="AT90" s="5"/>
      <c r="AU90" s="5"/>
      <c r="AV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</row>
    <row r="91" spans="20:223" ht="12.75">
      <c r="T91" s="5"/>
      <c r="U91" s="5"/>
      <c r="V91" s="5"/>
      <c r="W91" s="5"/>
      <c r="X91" s="5"/>
      <c r="AR91" s="5"/>
      <c r="AS91" s="5"/>
      <c r="AT91" s="5"/>
      <c r="AU91" s="5"/>
      <c r="AV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</row>
    <row r="92" spans="20:223" ht="12.75">
      <c r="T92" s="5"/>
      <c r="U92" s="5"/>
      <c r="V92" s="5"/>
      <c r="W92" s="5"/>
      <c r="X92" s="5"/>
      <c r="AR92" s="5"/>
      <c r="AS92" s="5"/>
      <c r="AT92" s="5"/>
      <c r="AU92" s="5"/>
      <c r="AV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</row>
    <row r="93" spans="20:223" ht="12.75">
      <c r="T93" s="5"/>
      <c r="U93" s="5"/>
      <c r="V93" s="5"/>
      <c r="W93" s="5"/>
      <c r="X93" s="5"/>
      <c r="AR93" s="5"/>
      <c r="AS93" s="5"/>
      <c r="AT93" s="5"/>
      <c r="AU93" s="5"/>
      <c r="AV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</row>
    <row r="94" spans="20:223" ht="12.75">
      <c r="T94" s="5"/>
      <c r="U94" s="5"/>
      <c r="V94" s="5"/>
      <c r="W94" s="5"/>
      <c r="X94" s="5"/>
      <c r="AR94" s="5"/>
      <c r="AS94" s="5"/>
      <c r="AT94" s="5"/>
      <c r="AU94" s="5"/>
      <c r="AV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</row>
    <row r="95" spans="20:223" ht="12.75">
      <c r="T95" s="5"/>
      <c r="U95" s="5"/>
      <c r="V95" s="5"/>
      <c r="W95" s="5"/>
      <c r="X95" s="5"/>
      <c r="AR95" s="5"/>
      <c r="AS95" s="5"/>
      <c r="AT95" s="5"/>
      <c r="AU95" s="5"/>
      <c r="AV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</row>
    <row r="96" spans="20:223" ht="12.75">
      <c r="T96" s="5"/>
      <c r="U96" s="5"/>
      <c r="V96" s="5"/>
      <c r="W96" s="5"/>
      <c r="X96" s="5"/>
      <c r="AR96" s="5"/>
      <c r="AS96" s="5"/>
      <c r="AT96" s="5"/>
      <c r="AU96" s="5"/>
      <c r="AV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</row>
    <row r="97" spans="20:223" ht="12.75">
      <c r="T97" s="5"/>
      <c r="U97" s="5"/>
      <c r="V97" s="5"/>
      <c r="W97" s="5"/>
      <c r="X97" s="5"/>
      <c r="AR97" s="5"/>
      <c r="AS97" s="5"/>
      <c r="AT97" s="5"/>
      <c r="AU97" s="5"/>
      <c r="AV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</row>
    <row r="98" spans="20:223" ht="12.75">
      <c r="T98" s="5"/>
      <c r="U98" s="5"/>
      <c r="V98" s="5"/>
      <c r="W98" s="5"/>
      <c r="X98" s="5"/>
      <c r="AR98" s="5"/>
      <c r="AS98" s="5"/>
      <c r="AT98" s="5"/>
      <c r="AU98" s="5"/>
      <c r="AV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</row>
    <row r="99" spans="20:223" ht="12.75">
      <c r="T99" s="5"/>
      <c r="U99" s="5"/>
      <c r="V99" s="5"/>
      <c r="W99" s="5"/>
      <c r="X99" s="5"/>
      <c r="AR99" s="5"/>
      <c r="AS99" s="5"/>
      <c r="AT99" s="5"/>
      <c r="AU99" s="5"/>
      <c r="AV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</row>
    <row r="100" spans="20:223" ht="12.75">
      <c r="T100" s="5"/>
      <c r="U100" s="5"/>
      <c r="V100" s="5"/>
      <c r="W100" s="5"/>
      <c r="X100" s="5"/>
      <c r="AR100" s="5"/>
      <c r="AS100" s="5"/>
      <c r="AT100" s="5"/>
      <c r="AU100" s="5"/>
      <c r="AV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</row>
    <row r="101" spans="20:223" ht="12.75">
      <c r="T101" s="5"/>
      <c r="U101" s="5"/>
      <c r="V101" s="5"/>
      <c r="W101" s="5"/>
      <c r="X101" s="5"/>
      <c r="AR101" s="5"/>
      <c r="AS101" s="5"/>
      <c r="AT101" s="5"/>
      <c r="AU101" s="5"/>
      <c r="AV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</row>
    <row r="102" spans="20:223" ht="12.75">
      <c r="T102" s="5"/>
      <c r="U102" s="5"/>
      <c r="V102" s="5"/>
      <c r="W102" s="5"/>
      <c r="X102" s="5"/>
      <c r="AR102" s="5"/>
      <c r="AS102" s="5"/>
      <c r="AT102" s="5"/>
      <c r="AU102" s="5"/>
      <c r="AV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</row>
    <row r="103" spans="20:223" ht="12.75">
      <c r="T103" s="5"/>
      <c r="U103" s="5"/>
      <c r="V103" s="5"/>
      <c r="W103" s="5"/>
      <c r="X103" s="5"/>
      <c r="AR103" s="5"/>
      <c r="AS103" s="5"/>
      <c r="AT103" s="5"/>
      <c r="AU103" s="5"/>
      <c r="AV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</row>
    <row r="104" spans="20:223" ht="12.75">
      <c r="T104" s="5"/>
      <c r="U104" s="5"/>
      <c r="V104" s="5"/>
      <c r="W104" s="5"/>
      <c r="X104" s="5"/>
      <c r="AR104" s="5"/>
      <c r="AS104" s="5"/>
      <c r="AT104" s="5"/>
      <c r="AU104" s="5"/>
      <c r="AV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</row>
    <row r="105" spans="20:223" ht="12.75">
      <c r="T105" s="5"/>
      <c r="U105" s="5"/>
      <c r="V105" s="5"/>
      <c r="W105" s="5"/>
      <c r="X105" s="5"/>
      <c r="AR105" s="5"/>
      <c r="AS105" s="5"/>
      <c r="AT105" s="5"/>
      <c r="AU105" s="5"/>
      <c r="AV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</row>
    <row r="106" spans="20:223" ht="12.75">
      <c r="T106" s="5"/>
      <c r="U106" s="5"/>
      <c r="V106" s="5"/>
      <c r="W106" s="5"/>
      <c r="X106" s="5"/>
      <c r="AR106" s="5"/>
      <c r="AS106" s="5"/>
      <c r="AT106" s="5"/>
      <c r="AU106" s="5"/>
      <c r="AV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</row>
    <row r="107" spans="20:223" ht="12.75">
      <c r="T107" s="5"/>
      <c r="U107" s="5"/>
      <c r="V107" s="5"/>
      <c r="W107" s="5"/>
      <c r="X107" s="5"/>
      <c r="AR107" s="5"/>
      <c r="AS107" s="5"/>
      <c r="AT107" s="5"/>
      <c r="AU107" s="5"/>
      <c r="AV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</row>
    <row r="108" spans="20:223" ht="12.75">
      <c r="T108" s="5"/>
      <c r="U108" s="5"/>
      <c r="V108" s="5"/>
      <c r="W108" s="5"/>
      <c r="X108" s="5"/>
      <c r="AR108" s="5"/>
      <c r="AS108" s="5"/>
      <c r="AT108" s="5"/>
      <c r="AU108" s="5"/>
      <c r="AV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</row>
    <row r="109" spans="20:223" ht="12.75">
      <c r="T109" s="5"/>
      <c r="U109" s="5"/>
      <c r="V109" s="5"/>
      <c r="W109" s="5"/>
      <c r="X109" s="5"/>
      <c r="AR109" s="5"/>
      <c r="AS109" s="5"/>
      <c r="AT109" s="5"/>
      <c r="AU109" s="5"/>
      <c r="AV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</row>
    <row r="110" spans="20:223" ht="12.75">
      <c r="T110" s="5"/>
      <c r="U110" s="5"/>
      <c r="V110" s="5"/>
      <c r="W110" s="5"/>
      <c r="X110" s="5"/>
      <c r="AR110" s="5"/>
      <c r="AS110" s="5"/>
      <c r="AT110" s="5"/>
      <c r="AU110" s="5"/>
      <c r="AV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</row>
    <row r="111" spans="20:223" ht="12.75">
      <c r="T111" s="5"/>
      <c r="U111" s="5"/>
      <c r="V111" s="5"/>
      <c r="W111" s="5"/>
      <c r="X111" s="5"/>
      <c r="AR111" s="5"/>
      <c r="AS111" s="5"/>
      <c r="AT111" s="5"/>
      <c r="AU111" s="5"/>
      <c r="AV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</row>
    <row r="112" spans="20:223" ht="12.75">
      <c r="T112" s="5"/>
      <c r="U112" s="5"/>
      <c r="V112" s="5"/>
      <c r="W112" s="5"/>
      <c r="X112" s="5"/>
      <c r="AR112" s="5"/>
      <c r="AS112" s="5"/>
      <c r="AT112" s="5"/>
      <c r="AU112" s="5"/>
      <c r="AV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</row>
    <row r="113" spans="20:223" ht="12.75">
      <c r="T113" s="5"/>
      <c r="U113" s="5"/>
      <c r="V113" s="5"/>
      <c r="W113" s="5"/>
      <c r="X113" s="5"/>
      <c r="AR113" s="5"/>
      <c r="AS113" s="5"/>
      <c r="AT113" s="5"/>
      <c r="AU113" s="5"/>
      <c r="AV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</row>
    <row r="114" spans="20:223" ht="12.75">
      <c r="T114" s="5"/>
      <c r="U114" s="5"/>
      <c r="V114" s="5"/>
      <c r="W114" s="5"/>
      <c r="X114" s="5"/>
      <c r="AR114" s="5"/>
      <c r="AS114" s="5"/>
      <c r="AT114" s="5"/>
      <c r="AU114" s="5"/>
      <c r="AV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</row>
    <row r="115" spans="20:223" ht="12.75">
      <c r="T115" s="5"/>
      <c r="U115" s="5"/>
      <c r="V115" s="5"/>
      <c r="W115" s="5"/>
      <c r="X115" s="5"/>
      <c r="AR115" s="5"/>
      <c r="AS115" s="5"/>
      <c r="AT115" s="5"/>
      <c r="AU115" s="5"/>
      <c r="AV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</row>
    <row r="116" spans="20:223" ht="12.75">
      <c r="T116" s="5"/>
      <c r="U116" s="5"/>
      <c r="V116" s="5"/>
      <c r="W116" s="5"/>
      <c r="X116" s="5"/>
      <c r="AR116" s="5"/>
      <c r="AS116" s="5"/>
      <c r="AT116" s="5"/>
      <c r="AU116" s="5"/>
      <c r="AV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</row>
    <row r="117" spans="20:223" ht="12.75">
      <c r="T117" s="5"/>
      <c r="U117" s="5"/>
      <c r="V117" s="5"/>
      <c r="W117" s="5"/>
      <c r="X117" s="5"/>
      <c r="AR117" s="5"/>
      <c r="AS117" s="5"/>
      <c r="AT117" s="5"/>
      <c r="AU117" s="5"/>
      <c r="AV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</row>
    <row r="118" spans="20:223" ht="12.75">
      <c r="T118" s="5"/>
      <c r="U118" s="5"/>
      <c r="V118" s="5"/>
      <c r="W118" s="5"/>
      <c r="X118" s="5"/>
      <c r="AR118" s="5"/>
      <c r="AS118" s="5"/>
      <c r="AT118" s="5"/>
      <c r="AU118" s="5"/>
      <c r="AV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</row>
    <row r="119" spans="20:223" ht="12.75">
      <c r="T119" s="5"/>
      <c r="U119" s="5"/>
      <c r="V119" s="5"/>
      <c r="W119" s="5"/>
      <c r="X119" s="5"/>
      <c r="AR119" s="5"/>
      <c r="AS119" s="5"/>
      <c r="AT119" s="5"/>
      <c r="AU119" s="5"/>
      <c r="AV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</row>
    <row r="120" spans="20:223" ht="12.75">
      <c r="T120" s="5"/>
      <c r="U120" s="5"/>
      <c r="V120" s="5"/>
      <c r="W120" s="5"/>
      <c r="X120" s="5"/>
      <c r="AR120" s="5"/>
      <c r="AS120" s="5"/>
      <c r="AT120" s="5"/>
      <c r="AU120" s="5"/>
      <c r="AV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</row>
    <row r="121" spans="20:223" ht="12.75">
      <c r="T121" s="5"/>
      <c r="U121" s="5"/>
      <c r="V121" s="5"/>
      <c r="W121" s="5"/>
      <c r="X121" s="5"/>
      <c r="AR121" s="5"/>
      <c r="AS121" s="5"/>
      <c r="AT121" s="5"/>
      <c r="AU121" s="5"/>
      <c r="AV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</row>
    <row r="122" spans="20:223" ht="12.75">
      <c r="T122" s="5"/>
      <c r="U122" s="5"/>
      <c r="V122" s="5"/>
      <c r="W122" s="5"/>
      <c r="X122" s="5"/>
      <c r="AR122" s="5"/>
      <c r="AS122" s="5"/>
      <c r="AT122" s="5"/>
      <c r="AU122" s="5"/>
      <c r="AV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</row>
    <row r="123" spans="20:223" ht="12.75">
      <c r="T123" s="5"/>
      <c r="U123" s="5"/>
      <c r="V123" s="5"/>
      <c r="W123" s="5"/>
      <c r="X123" s="5"/>
      <c r="AR123" s="5"/>
      <c r="AS123" s="5"/>
      <c r="AT123" s="5"/>
      <c r="AU123" s="5"/>
      <c r="AV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</row>
    <row r="124" spans="20:223" ht="12.75">
      <c r="T124" s="5"/>
      <c r="U124" s="5"/>
      <c r="V124" s="5"/>
      <c r="W124" s="5"/>
      <c r="X124" s="5"/>
      <c r="AR124" s="5"/>
      <c r="AS124" s="5"/>
      <c r="AT124" s="5"/>
      <c r="AU124" s="5"/>
      <c r="AV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</row>
    <row r="125" spans="20:223" ht="12.75">
      <c r="T125" s="5"/>
      <c r="U125" s="5"/>
      <c r="V125" s="5"/>
      <c r="W125" s="5"/>
      <c r="X125" s="5"/>
      <c r="AR125" s="5"/>
      <c r="AS125" s="5"/>
      <c r="AT125" s="5"/>
      <c r="AU125" s="5"/>
      <c r="AV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</row>
    <row r="126" spans="20:223" ht="12.75">
      <c r="T126" s="5"/>
      <c r="U126" s="5"/>
      <c r="V126" s="5"/>
      <c r="W126" s="5"/>
      <c r="X126" s="5"/>
      <c r="AR126" s="5"/>
      <c r="AS126" s="5"/>
      <c r="AT126" s="5"/>
      <c r="AU126" s="5"/>
      <c r="AV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</row>
    <row r="127" spans="20:223" ht="12.75">
      <c r="T127" s="5"/>
      <c r="U127" s="5"/>
      <c r="V127" s="5"/>
      <c r="W127" s="5"/>
      <c r="X127" s="5"/>
      <c r="AR127" s="5"/>
      <c r="AS127" s="5"/>
      <c r="AT127" s="5"/>
      <c r="AU127" s="5"/>
      <c r="AV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</row>
    <row r="128" spans="20:223" ht="12.75">
      <c r="T128" s="5"/>
      <c r="U128" s="5"/>
      <c r="V128" s="5"/>
      <c r="W128" s="5"/>
      <c r="X128" s="5"/>
      <c r="AR128" s="5"/>
      <c r="AS128" s="5"/>
      <c r="AT128" s="5"/>
      <c r="AU128" s="5"/>
      <c r="AV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</row>
    <row r="129" spans="20:223" ht="12.75">
      <c r="T129" s="5"/>
      <c r="U129" s="5"/>
      <c r="V129" s="5"/>
      <c r="W129" s="5"/>
      <c r="X129" s="5"/>
      <c r="AR129" s="5"/>
      <c r="AS129" s="5"/>
      <c r="AT129" s="5"/>
      <c r="AU129" s="5"/>
      <c r="AV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</row>
    <row r="130" spans="20:223" ht="12.75">
      <c r="T130" s="5"/>
      <c r="U130" s="5"/>
      <c r="V130" s="5"/>
      <c r="W130" s="5"/>
      <c r="X130" s="5"/>
      <c r="AR130" s="5"/>
      <c r="AS130" s="5"/>
      <c r="AT130" s="5"/>
      <c r="AU130" s="5"/>
      <c r="AV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</row>
    <row r="131" spans="20:223" ht="12.75">
      <c r="T131" s="5"/>
      <c r="U131" s="5"/>
      <c r="V131" s="5"/>
      <c r="W131" s="5"/>
      <c r="X131" s="5"/>
      <c r="AR131" s="5"/>
      <c r="AS131" s="5"/>
      <c r="AT131" s="5"/>
      <c r="AU131" s="5"/>
      <c r="AV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</row>
    <row r="132" spans="20:223" ht="12.75">
      <c r="T132" s="5"/>
      <c r="U132" s="5"/>
      <c r="V132" s="5"/>
      <c r="W132" s="5"/>
      <c r="X132" s="5"/>
      <c r="AR132" s="5"/>
      <c r="AS132" s="5"/>
      <c r="AT132" s="5"/>
      <c r="AU132" s="5"/>
      <c r="AV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</row>
    <row r="133" spans="20:223" ht="12.75">
      <c r="T133" s="5"/>
      <c r="U133" s="5"/>
      <c r="V133" s="5"/>
      <c r="W133" s="5"/>
      <c r="X133" s="5"/>
      <c r="AR133" s="5"/>
      <c r="AS133" s="5"/>
      <c r="AT133" s="5"/>
      <c r="AU133" s="5"/>
      <c r="AV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</row>
    <row r="134" spans="20:223" ht="12.75">
      <c r="T134" s="5"/>
      <c r="U134" s="5"/>
      <c r="V134" s="5"/>
      <c r="W134" s="5"/>
      <c r="X134" s="5"/>
      <c r="AR134" s="5"/>
      <c r="AS134" s="5"/>
      <c r="AT134" s="5"/>
      <c r="AU134" s="5"/>
      <c r="AV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</row>
    <row r="135" spans="20:223" ht="12.75">
      <c r="T135" s="5"/>
      <c r="U135" s="5"/>
      <c r="V135" s="5"/>
      <c r="W135" s="5"/>
      <c r="X135" s="5"/>
      <c r="AR135" s="5"/>
      <c r="AS135" s="5"/>
      <c r="AT135" s="5"/>
      <c r="AU135" s="5"/>
      <c r="AV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</row>
    <row r="136" spans="20:223" ht="12.75">
      <c r="T136" s="5"/>
      <c r="U136" s="5"/>
      <c r="V136" s="5"/>
      <c r="W136" s="5"/>
      <c r="X136" s="5"/>
      <c r="AR136" s="5"/>
      <c r="AS136" s="5"/>
      <c r="AT136" s="5"/>
      <c r="AU136" s="5"/>
      <c r="AV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</row>
    <row r="137" spans="20:223" ht="12.75">
      <c r="T137" s="5"/>
      <c r="U137" s="5"/>
      <c r="V137" s="5"/>
      <c r="W137" s="5"/>
      <c r="X137" s="5"/>
      <c r="AR137" s="5"/>
      <c r="AS137" s="5"/>
      <c r="AT137" s="5"/>
      <c r="AU137" s="5"/>
      <c r="AV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</row>
    <row r="138" spans="20:223" ht="12.75">
      <c r="T138" s="5"/>
      <c r="U138" s="5"/>
      <c r="V138" s="5"/>
      <c r="W138" s="5"/>
      <c r="X138" s="5"/>
      <c r="AR138" s="5"/>
      <c r="AS138" s="5"/>
      <c r="AT138" s="5"/>
      <c r="AU138" s="5"/>
      <c r="AV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</row>
    <row r="139" spans="20:223" ht="12.75">
      <c r="T139" s="5"/>
      <c r="U139" s="5"/>
      <c r="V139" s="5"/>
      <c r="W139" s="5"/>
      <c r="X139" s="5"/>
      <c r="AR139" s="5"/>
      <c r="AS139" s="5"/>
      <c r="AT139" s="5"/>
      <c r="AU139" s="5"/>
      <c r="AV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</row>
    <row r="140" spans="20:223" ht="12.75">
      <c r="T140" s="5"/>
      <c r="U140" s="5"/>
      <c r="V140" s="5"/>
      <c r="W140" s="5"/>
      <c r="X140" s="5"/>
      <c r="AR140" s="5"/>
      <c r="AS140" s="5"/>
      <c r="AT140" s="5"/>
      <c r="AU140" s="5"/>
      <c r="AV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</row>
    <row r="141" spans="20:223" ht="12.75">
      <c r="T141" s="5"/>
      <c r="U141" s="5"/>
      <c r="V141" s="5"/>
      <c r="W141" s="5"/>
      <c r="X141" s="5"/>
      <c r="AR141" s="5"/>
      <c r="AS141" s="5"/>
      <c r="AT141" s="5"/>
      <c r="AU141" s="5"/>
      <c r="AV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</row>
    <row r="142" spans="20:223" ht="12.75">
      <c r="T142" s="5"/>
      <c r="U142" s="5"/>
      <c r="V142" s="5"/>
      <c r="W142" s="5"/>
      <c r="X142" s="5"/>
      <c r="AR142" s="5"/>
      <c r="AS142" s="5"/>
      <c r="AT142" s="5"/>
      <c r="AU142" s="5"/>
      <c r="AV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</row>
    <row r="143" spans="20:223" ht="12.75">
      <c r="T143" s="5"/>
      <c r="U143" s="5"/>
      <c r="V143" s="5"/>
      <c r="W143" s="5"/>
      <c r="X143" s="5"/>
      <c r="AR143" s="5"/>
      <c r="AS143" s="5"/>
      <c r="AT143" s="5"/>
      <c r="AU143" s="5"/>
      <c r="AV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</row>
    <row r="144" spans="20:223" ht="12.75">
      <c r="T144" s="5"/>
      <c r="U144" s="5"/>
      <c r="V144" s="5"/>
      <c r="W144" s="5"/>
      <c r="X144" s="5"/>
      <c r="AR144" s="5"/>
      <c r="AS144" s="5"/>
      <c r="AT144" s="5"/>
      <c r="AU144" s="5"/>
      <c r="AV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</row>
    <row r="145" spans="20:223" ht="12.75">
      <c r="T145" s="5"/>
      <c r="U145" s="5"/>
      <c r="V145" s="5"/>
      <c r="W145" s="5"/>
      <c r="X145" s="5"/>
      <c r="AR145" s="5"/>
      <c r="AS145" s="5"/>
      <c r="AT145" s="5"/>
      <c r="AU145" s="5"/>
      <c r="AV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</row>
    <row r="146" spans="20:223" ht="12.75">
      <c r="T146" s="5"/>
      <c r="U146" s="5"/>
      <c r="V146" s="5"/>
      <c r="W146" s="5"/>
      <c r="X146" s="5"/>
      <c r="AR146" s="5"/>
      <c r="AS146" s="5"/>
      <c r="AT146" s="5"/>
      <c r="AU146" s="5"/>
      <c r="AV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</row>
    <row r="147" spans="20:223" ht="12.75">
      <c r="T147" s="5"/>
      <c r="U147" s="5"/>
      <c r="V147" s="5"/>
      <c r="W147" s="5"/>
      <c r="X147" s="5"/>
      <c r="AR147" s="5"/>
      <c r="AS147" s="5"/>
      <c r="AT147" s="5"/>
      <c r="AU147" s="5"/>
      <c r="AV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</row>
    <row r="148" spans="20:223" ht="12.75">
      <c r="T148" s="5"/>
      <c r="U148" s="5"/>
      <c r="V148" s="5"/>
      <c r="W148" s="5"/>
      <c r="X148" s="5"/>
      <c r="AR148" s="5"/>
      <c r="AS148" s="5"/>
      <c r="AT148" s="5"/>
      <c r="AU148" s="5"/>
      <c r="AV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</row>
    <row r="149" spans="20:223" ht="12.75">
      <c r="T149" s="5"/>
      <c r="U149" s="5"/>
      <c r="V149" s="5"/>
      <c r="W149" s="5"/>
      <c r="X149" s="5"/>
      <c r="AR149" s="5"/>
      <c r="AS149" s="5"/>
      <c r="AT149" s="5"/>
      <c r="AU149" s="5"/>
      <c r="AV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</row>
    <row r="150" spans="20:223" ht="12.75">
      <c r="T150" s="5"/>
      <c r="U150" s="5"/>
      <c r="V150" s="5"/>
      <c r="W150" s="5"/>
      <c r="X150" s="5"/>
      <c r="AR150" s="5"/>
      <c r="AS150" s="5"/>
      <c r="AT150" s="5"/>
      <c r="AU150" s="5"/>
      <c r="AV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</row>
    <row r="151" spans="20:223" ht="12.75">
      <c r="T151" s="5"/>
      <c r="U151" s="5"/>
      <c r="V151" s="5"/>
      <c r="W151" s="5"/>
      <c r="X151" s="5"/>
      <c r="AR151" s="5"/>
      <c r="AS151" s="5"/>
      <c r="AT151" s="5"/>
      <c r="AU151" s="5"/>
      <c r="AV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</row>
    <row r="152" spans="20:223" ht="12.75">
      <c r="T152" s="5"/>
      <c r="U152" s="5"/>
      <c r="V152" s="5"/>
      <c r="W152" s="5"/>
      <c r="X152" s="5"/>
      <c r="AR152" s="5"/>
      <c r="AS152" s="5"/>
      <c r="AT152" s="5"/>
      <c r="AU152" s="5"/>
      <c r="AV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</row>
    <row r="153" spans="20:223" ht="12.75">
      <c r="T153" s="5"/>
      <c r="U153" s="5"/>
      <c r="V153" s="5"/>
      <c r="W153" s="5"/>
      <c r="X153" s="5"/>
      <c r="AR153" s="5"/>
      <c r="AS153" s="5"/>
      <c r="AT153" s="5"/>
      <c r="AU153" s="5"/>
      <c r="AV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</row>
    <row r="154" spans="20:223" ht="12.75">
      <c r="T154" s="5"/>
      <c r="U154" s="5"/>
      <c r="V154" s="5"/>
      <c r="W154" s="5"/>
      <c r="X154" s="5"/>
      <c r="AR154" s="5"/>
      <c r="AS154" s="5"/>
      <c r="AT154" s="5"/>
      <c r="AU154" s="5"/>
      <c r="AV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</row>
    <row r="155" spans="20:223" ht="12.75">
      <c r="T155" s="5"/>
      <c r="U155" s="5"/>
      <c r="V155" s="5"/>
      <c r="W155" s="5"/>
      <c r="X155" s="5"/>
      <c r="AR155" s="5"/>
      <c r="AS155" s="5"/>
      <c r="AT155" s="5"/>
      <c r="AU155" s="5"/>
      <c r="AV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</row>
    <row r="156" spans="20:223" ht="12.75">
      <c r="T156" s="5"/>
      <c r="U156" s="5"/>
      <c r="V156" s="5"/>
      <c r="W156" s="5"/>
      <c r="X156" s="5"/>
      <c r="AR156" s="5"/>
      <c r="AS156" s="5"/>
      <c r="AT156" s="5"/>
      <c r="AU156" s="5"/>
      <c r="AV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</row>
    <row r="157" spans="20:223" ht="12.75">
      <c r="T157" s="5"/>
      <c r="U157" s="5"/>
      <c r="V157" s="5"/>
      <c r="W157" s="5"/>
      <c r="X157" s="5"/>
      <c r="AR157" s="5"/>
      <c r="AS157" s="5"/>
      <c r="AT157" s="5"/>
      <c r="AU157" s="5"/>
      <c r="AV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</row>
    <row r="158" spans="20:223" ht="12.75">
      <c r="T158" s="5"/>
      <c r="U158" s="5"/>
      <c r="V158" s="5"/>
      <c r="W158" s="5"/>
      <c r="X158" s="5"/>
      <c r="AR158" s="5"/>
      <c r="AS158" s="5"/>
      <c r="AT158" s="5"/>
      <c r="AU158" s="5"/>
      <c r="AV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</row>
    <row r="159" spans="20:223" ht="12.75">
      <c r="T159" s="5"/>
      <c r="U159" s="5"/>
      <c r="V159" s="5"/>
      <c r="W159" s="5"/>
      <c r="X159" s="5"/>
      <c r="AR159" s="5"/>
      <c r="AS159" s="5"/>
      <c r="AT159" s="5"/>
      <c r="AU159" s="5"/>
      <c r="AV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</row>
    <row r="160" spans="20:223" ht="12.75">
      <c r="T160" s="5"/>
      <c r="U160" s="5"/>
      <c r="V160" s="5"/>
      <c r="W160" s="5"/>
      <c r="X160" s="5"/>
      <c r="AR160" s="5"/>
      <c r="AS160" s="5"/>
      <c r="AT160" s="5"/>
      <c r="AU160" s="5"/>
      <c r="AV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</row>
    <row r="161" spans="20:223" ht="12.75">
      <c r="T161" s="5"/>
      <c r="U161" s="5"/>
      <c r="V161" s="5"/>
      <c r="W161" s="5"/>
      <c r="X161" s="5"/>
      <c r="AR161" s="5"/>
      <c r="AS161" s="5"/>
      <c r="AT161" s="5"/>
      <c r="AU161" s="5"/>
      <c r="AV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</row>
    <row r="162" spans="20:223" ht="12.75">
      <c r="T162" s="5"/>
      <c r="U162" s="5"/>
      <c r="V162" s="5"/>
      <c r="W162" s="5"/>
      <c r="X162" s="5"/>
      <c r="AR162" s="5"/>
      <c r="AS162" s="5"/>
      <c r="AT162" s="5"/>
      <c r="AU162" s="5"/>
      <c r="AV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</row>
    <row r="163" spans="20:223" ht="12.75">
      <c r="T163" s="5"/>
      <c r="U163" s="5"/>
      <c r="V163" s="5"/>
      <c r="W163" s="5"/>
      <c r="X163" s="5"/>
      <c r="AR163" s="5"/>
      <c r="AS163" s="5"/>
      <c r="AT163" s="5"/>
      <c r="AU163" s="5"/>
      <c r="AV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</row>
    <row r="164" spans="20:223" ht="12.75">
      <c r="T164" s="5"/>
      <c r="U164" s="5"/>
      <c r="V164" s="5"/>
      <c r="W164" s="5"/>
      <c r="X164" s="5"/>
      <c r="AR164" s="5"/>
      <c r="AS164" s="5"/>
      <c r="AT164" s="5"/>
      <c r="AU164" s="5"/>
      <c r="AV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</row>
    <row r="165" spans="20:223" ht="12.75">
      <c r="T165" s="5"/>
      <c r="U165" s="5"/>
      <c r="V165" s="5"/>
      <c r="W165" s="5"/>
      <c r="X165" s="5"/>
      <c r="AR165" s="5"/>
      <c r="AS165" s="5"/>
      <c r="AT165" s="5"/>
      <c r="AU165" s="5"/>
      <c r="AV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</row>
    <row r="166" spans="20:223" ht="12.75">
      <c r="T166" s="5"/>
      <c r="U166" s="5"/>
      <c r="V166" s="5"/>
      <c r="W166" s="5"/>
      <c r="X166" s="5"/>
      <c r="AR166" s="5"/>
      <c r="AS166" s="5"/>
      <c r="AT166" s="5"/>
      <c r="AU166" s="5"/>
      <c r="AV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</row>
    <row r="167" spans="20:223" ht="12.75">
      <c r="T167" s="5"/>
      <c r="U167" s="5"/>
      <c r="V167" s="5"/>
      <c r="W167" s="5"/>
      <c r="X167" s="5"/>
      <c r="AR167" s="5"/>
      <c r="AS167" s="5"/>
      <c r="AT167" s="5"/>
      <c r="AU167" s="5"/>
      <c r="AV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</row>
    <row r="168" spans="20:223" ht="12.75">
      <c r="T168" s="5"/>
      <c r="U168" s="5"/>
      <c r="V168" s="5"/>
      <c r="W168" s="5"/>
      <c r="X168" s="5"/>
      <c r="AR168" s="5"/>
      <c r="AS168" s="5"/>
      <c r="AT168" s="5"/>
      <c r="AU168" s="5"/>
      <c r="AV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</row>
    <row r="169" spans="20:223" ht="12.75">
      <c r="T169" s="5"/>
      <c r="U169" s="5"/>
      <c r="V169" s="5"/>
      <c r="W169" s="5"/>
      <c r="X169" s="5"/>
      <c r="AR169" s="5"/>
      <c r="AS169" s="5"/>
      <c r="AT169" s="5"/>
      <c r="AU169" s="5"/>
      <c r="AV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</row>
    <row r="170" spans="20:223" ht="12.75">
      <c r="T170" s="5"/>
      <c r="U170" s="5"/>
      <c r="V170" s="5"/>
      <c r="W170" s="5"/>
      <c r="X170" s="5"/>
      <c r="AR170" s="5"/>
      <c r="AS170" s="5"/>
      <c r="AT170" s="5"/>
      <c r="AU170" s="5"/>
      <c r="AV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</row>
    <row r="171" spans="20:223" ht="12.75">
      <c r="T171" s="5"/>
      <c r="U171" s="5"/>
      <c r="V171" s="5"/>
      <c r="W171" s="5"/>
      <c r="X171" s="5"/>
      <c r="AR171" s="5"/>
      <c r="AS171" s="5"/>
      <c r="AT171" s="5"/>
      <c r="AU171" s="5"/>
      <c r="AV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</row>
    <row r="172" spans="20:223" ht="12.75">
      <c r="T172" s="5"/>
      <c r="U172" s="5"/>
      <c r="V172" s="5"/>
      <c r="W172" s="5"/>
      <c r="X172" s="5"/>
      <c r="AR172" s="5"/>
      <c r="AS172" s="5"/>
      <c r="AT172" s="5"/>
      <c r="AU172" s="5"/>
      <c r="AV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</row>
    <row r="173" spans="20:223" ht="12.75">
      <c r="T173" s="5"/>
      <c r="U173" s="5"/>
      <c r="V173" s="5"/>
      <c r="W173" s="5"/>
      <c r="X173" s="5"/>
      <c r="AR173" s="5"/>
      <c r="AS173" s="5"/>
      <c r="AT173" s="5"/>
      <c r="AU173" s="5"/>
      <c r="AV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</row>
    <row r="174" spans="20:223" ht="12.75">
      <c r="T174" s="5"/>
      <c r="U174" s="5"/>
      <c r="V174" s="5"/>
      <c r="W174" s="5"/>
      <c r="X174" s="5"/>
      <c r="AR174" s="5"/>
      <c r="AS174" s="5"/>
      <c r="AT174" s="5"/>
      <c r="AU174" s="5"/>
      <c r="AV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</row>
    <row r="175" spans="20:223" ht="12.75">
      <c r="T175" s="5"/>
      <c r="U175" s="5"/>
      <c r="V175" s="5"/>
      <c r="W175" s="5"/>
      <c r="X175" s="5"/>
      <c r="AR175" s="5"/>
      <c r="AS175" s="5"/>
      <c r="AT175" s="5"/>
      <c r="AU175" s="5"/>
      <c r="AV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</row>
    <row r="176" spans="20:223" ht="12.75">
      <c r="T176" s="5"/>
      <c r="U176" s="5"/>
      <c r="V176" s="5"/>
      <c r="W176" s="5"/>
      <c r="X176" s="5"/>
      <c r="AR176" s="5"/>
      <c r="AS176" s="5"/>
      <c r="AT176" s="5"/>
      <c r="AU176" s="5"/>
      <c r="AV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</row>
    <row r="177" spans="20:223" ht="12.75">
      <c r="T177" s="5"/>
      <c r="U177" s="5"/>
      <c r="V177" s="5"/>
      <c r="W177" s="5"/>
      <c r="X177" s="5"/>
      <c r="AR177" s="5"/>
      <c r="AS177" s="5"/>
      <c r="AT177" s="5"/>
      <c r="AU177" s="5"/>
      <c r="AV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</row>
    <row r="178" spans="20:223" ht="12.75">
      <c r="T178" s="5"/>
      <c r="U178" s="5"/>
      <c r="V178" s="5"/>
      <c r="W178" s="5"/>
      <c r="X178" s="5"/>
      <c r="AR178" s="5"/>
      <c r="AS178" s="5"/>
      <c r="AT178" s="5"/>
      <c r="AU178" s="5"/>
      <c r="AV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</row>
    <row r="179" spans="20:223" ht="12.75">
      <c r="T179" s="5"/>
      <c r="U179" s="5"/>
      <c r="V179" s="5"/>
      <c r="W179" s="5"/>
      <c r="X179" s="5"/>
      <c r="AR179" s="5"/>
      <c r="AS179" s="5"/>
      <c r="AT179" s="5"/>
      <c r="AU179" s="5"/>
      <c r="AV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</row>
    <row r="180" spans="20:223" ht="12.75">
      <c r="T180" s="5"/>
      <c r="U180" s="5"/>
      <c r="V180" s="5"/>
      <c r="W180" s="5"/>
      <c r="X180" s="5"/>
      <c r="AR180" s="5"/>
      <c r="AS180" s="5"/>
      <c r="AT180" s="5"/>
      <c r="AU180" s="5"/>
      <c r="AV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</row>
    <row r="181" spans="20:223" ht="12.75">
      <c r="T181" s="5"/>
      <c r="U181" s="5"/>
      <c r="V181" s="5"/>
      <c r="W181" s="5"/>
      <c r="X181" s="5"/>
      <c r="AR181" s="5"/>
      <c r="AS181" s="5"/>
      <c r="AT181" s="5"/>
      <c r="AU181" s="5"/>
      <c r="AV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</row>
    <row r="182" spans="20:223" ht="12.75">
      <c r="T182" s="5"/>
      <c r="U182" s="5"/>
      <c r="V182" s="5"/>
      <c r="W182" s="5"/>
      <c r="X182" s="5"/>
      <c r="AR182" s="5"/>
      <c r="AS182" s="5"/>
      <c r="AT182" s="5"/>
      <c r="AU182" s="5"/>
      <c r="AV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</row>
    <row r="183" spans="20:223" ht="12.75">
      <c r="T183" s="5"/>
      <c r="U183" s="5"/>
      <c r="V183" s="5"/>
      <c r="W183" s="5"/>
      <c r="X183" s="5"/>
      <c r="AR183" s="5"/>
      <c r="AS183" s="5"/>
      <c r="AT183" s="5"/>
      <c r="AU183" s="5"/>
      <c r="AV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</row>
    <row r="184" spans="20:223" ht="12.75">
      <c r="T184" s="5"/>
      <c r="U184" s="5"/>
      <c r="V184" s="5"/>
      <c r="W184" s="5"/>
      <c r="X184" s="5"/>
      <c r="AR184" s="5"/>
      <c r="AS184" s="5"/>
      <c r="AT184" s="5"/>
      <c r="AU184" s="5"/>
      <c r="AV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</row>
    <row r="185" spans="20:223" ht="12.75">
      <c r="T185" s="5"/>
      <c r="U185" s="5"/>
      <c r="V185" s="5"/>
      <c r="W185" s="5"/>
      <c r="X185" s="5"/>
      <c r="AR185" s="5"/>
      <c r="AS185" s="5"/>
      <c r="AT185" s="5"/>
      <c r="AU185" s="5"/>
      <c r="AV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</row>
    <row r="186" spans="20:223" ht="12.75">
      <c r="T186" s="5"/>
      <c r="U186" s="5"/>
      <c r="V186" s="5"/>
      <c r="W186" s="5"/>
      <c r="X186" s="5"/>
      <c r="AR186" s="5"/>
      <c r="AS186" s="5"/>
      <c r="AT186" s="5"/>
      <c r="AU186" s="5"/>
      <c r="AV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</row>
    <row r="187" spans="20:223" ht="12.75">
      <c r="T187" s="5"/>
      <c r="U187" s="5"/>
      <c r="V187" s="5"/>
      <c r="W187" s="5"/>
      <c r="X187" s="5"/>
      <c r="AR187" s="5"/>
      <c r="AS187" s="5"/>
      <c r="AT187" s="5"/>
      <c r="AU187" s="5"/>
      <c r="AV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</row>
    <row r="188" spans="20:223" ht="12.75">
      <c r="T188" s="5"/>
      <c r="U188" s="5"/>
      <c r="V188" s="5"/>
      <c r="W188" s="5"/>
      <c r="X188" s="5"/>
      <c r="AR188" s="5"/>
      <c r="AS188" s="5"/>
      <c r="AT188" s="5"/>
      <c r="AU188" s="5"/>
      <c r="AV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</row>
    <row r="189" spans="20:223" ht="12.75">
      <c r="T189" s="5"/>
      <c r="U189" s="5"/>
      <c r="V189" s="5"/>
      <c r="W189" s="5"/>
      <c r="X189" s="5"/>
      <c r="AR189" s="5"/>
      <c r="AS189" s="5"/>
      <c r="AT189" s="5"/>
      <c r="AU189" s="5"/>
      <c r="AV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</row>
    <row r="190" spans="20:223" ht="12.75">
      <c r="T190" s="5"/>
      <c r="U190" s="5"/>
      <c r="V190" s="5"/>
      <c r="W190" s="5"/>
      <c r="X190" s="5"/>
      <c r="AR190" s="5"/>
      <c r="AS190" s="5"/>
      <c r="AT190" s="5"/>
      <c r="AU190" s="5"/>
      <c r="AV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</row>
    <row r="191" spans="20:223" ht="12.75">
      <c r="T191" s="5"/>
      <c r="U191" s="5"/>
      <c r="V191" s="5"/>
      <c r="W191" s="5"/>
      <c r="X191" s="5"/>
      <c r="AR191" s="5"/>
      <c r="AS191" s="5"/>
      <c r="AT191" s="5"/>
      <c r="AU191" s="5"/>
      <c r="AV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</row>
    <row r="192" spans="20:223" ht="12.75">
      <c r="T192" s="5"/>
      <c r="U192" s="5"/>
      <c r="V192" s="5"/>
      <c r="W192" s="5"/>
      <c r="X192" s="5"/>
      <c r="AR192" s="5"/>
      <c r="AS192" s="5"/>
      <c r="AT192" s="5"/>
      <c r="AU192" s="5"/>
      <c r="AV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</row>
    <row r="193" spans="20:223" ht="12.75">
      <c r="T193" s="5"/>
      <c r="U193" s="5"/>
      <c r="V193" s="5"/>
      <c r="W193" s="5"/>
      <c r="X193" s="5"/>
      <c r="AR193" s="5"/>
      <c r="AS193" s="5"/>
      <c r="AT193" s="5"/>
      <c r="AU193" s="5"/>
      <c r="AV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</row>
    <row r="194" spans="20:223" ht="12.75">
      <c r="T194" s="5"/>
      <c r="U194" s="5"/>
      <c r="V194" s="5"/>
      <c r="W194" s="5"/>
      <c r="X194" s="5"/>
      <c r="AR194" s="5"/>
      <c r="AS194" s="5"/>
      <c r="AT194" s="5"/>
      <c r="AU194" s="5"/>
      <c r="AV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</row>
    <row r="195" spans="20:223" ht="12.75">
      <c r="T195" s="5"/>
      <c r="U195" s="5"/>
      <c r="V195" s="5"/>
      <c r="W195" s="5"/>
      <c r="X195" s="5"/>
      <c r="AR195" s="5"/>
      <c r="AS195" s="5"/>
      <c r="AT195" s="5"/>
      <c r="AU195" s="5"/>
      <c r="AV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</row>
    <row r="196" spans="20:223" ht="12.75">
      <c r="T196" s="5"/>
      <c r="U196" s="5"/>
      <c r="V196" s="5"/>
      <c r="W196" s="5"/>
      <c r="X196" s="5"/>
      <c r="AR196" s="5"/>
      <c r="AS196" s="5"/>
      <c r="AT196" s="5"/>
      <c r="AU196" s="5"/>
      <c r="AV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</row>
    <row r="197" spans="20:223" ht="12.75">
      <c r="T197" s="5"/>
      <c r="U197" s="5"/>
      <c r="V197" s="5"/>
      <c r="W197" s="5"/>
      <c r="X197" s="5"/>
      <c r="AR197" s="5"/>
      <c r="AS197" s="5"/>
      <c r="AT197" s="5"/>
      <c r="AU197" s="5"/>
      <c r="AV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</row>
    <row r="198" spans="20:223" ht="12.75">
      <c r="T198" s="5"/>
      <c r="U198" s="5"/>
      <c r="V198" s="5"/>
      <c r="W198" s="5"/>
      <c r="X198" s="5"/>
      <c r="AR198" s="5"/>
      <c r="AS198" s="5"/>
      <c r="AT198" s="5"/>
      <c r="AU198" s="5"/>
      <c r="AV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</row>
    <row r="199" spans="20:223" ht="12.75">
      <c r="T199" s="5"/>
      <c r="U199" s="5"/>
      <c r="V199" s="5"/>
      <c r="W199" s="5"/>
      <c r="X199" s="5"/>
      <c r="AR199" s="5"/>
      <c r="AS199" s="5"/>
      <c r="AT199" s="5"/>
      <c r="AU199" s="5"/>
      <c r="AV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</row>
    <row r="200" spans="20:223" ht="12.75">
      <c r="T200" s="5"/>
      <c r="U200" s="5"/>
      <c r="V200" s="5"/>
      <c r="W200" s="5"/>
      <c r="X200" s="5"/>
      <c r="AR200" s="5"/>
      <c r="AS200" s="5"/>
      <c r="AT200" s="5"/>
      <c r="AU200" s="5"/>
      <c r="AV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</row>
    <row r="201" spans="20:223" ht="12.75">
      <c r="T201" s="5"/>
      <c r="U201" s="5"/>
      <c r="V201" s="5"/>
      <c r="W201" s="5"/>
      <c r="X201" s="5"/>
      <c r="AR201" s="5"/>
      <c r="AS201" s="5"/>
      <c r="AT201" s="5"/>
      <c r="AU201" s="5"/>
      <c r="AV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</row>
    <row r="202" spans="20:223" ht="12.75">
      <c r="T202" s="5"/>
      <c r="U202" s="5"/>
      <c r="V202" s="5"/>
      <c r="W202" s="5"/>
      <c r="X202" s="5"/>
      <c r="AR202" s="5"/>
      <c r="AS202" s="5"/>
      <c r="AT202" s="5"/>
      <c r="AU202" s="5"/>
      <c r="AV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</row>
    <row r="203" spans="20:223" ht="12.75">
      <c r="T203" s="5"/>
      <c r="U203" s="5"/>
      <c r="V203" s="5"/>
      <c r="W203" s="5"/>
      <c r="X203" s="5"/>
      <c r="AR203" s="5"/>
      <c r="AS203" s="5"/>
      <c r="AT203" s="5"/>
      <c r="AU203" s="5"/>
      <c r="AV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</row>
    <row r="204" spans="20:223" ht="12.75">
      <c r="T204" s="5"/>
      <c r="U204" s="5"/>
      <c r="V204" s="5"/>
      <c r="W204" s="5"/>
      <c r="X204" s="5"/>
      <c r="AR204" s="5"/>
      <c r="AS204" s="5"/>
      <c r="AT204" s="5"/>
      <c r="AU204" s="5"/>
      <c r="AV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</row>
    <row r="205" spans="20:223" ht="12.75">
      <c r="T205" s="5"/>
      <c r="U205" s="5"/>
      <c r="V205" s="5"/>
      <c r="W205" s="5"/>
      <c r="X205" s="5"/>
      <c r="AR205" s="5"/>
      <c r="AS205" s="5"/>
      <c r="AT205" s="5"/>
      <c r="AU205" s="5"/>
      <c r="AV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</row>
    <row r="206" spans="20:223" ht="12.75">
      <c r="T206" s="5"/>
      <c r="U206" s="5"/>
      <c r="V206" s="5"/>
      <c r="W206" s="5"/>
      <c r="X206" s="5"/>
      <c r="AR206" s="5"/>
      <c r="AS206" s="5"/>
      <c r="AT206" s="5"/>
      <c r="AU206" s="5"/>
      <c r="AV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</row>
    <row r="207" spans="20:223" ht="12.75">
      <c r="T207" s="5"/>
      <c r="U207" s="5"/>
      <c r="V207" s="5"/>
      <c r="W207" s="5"/>
      <c r="X207" s="5"/>
      <c r="AR207" s="5"/>
      <c r="AS207" s="5"/>
      <c r="AT207" s="5"/>
      <c r="AU207" s="5"/>
      <c r="AV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</row>
    <row r="208" spans="20:223" ht="12.75">
      <c r="T208" s="5"/>
      <c r="U208" s="5"/>
      <c r="V208" s="5"/>
      <c r="W208" s="5"/>
      <c r="X208" s="5"/>
      <c r="AR208" s="5"/>
      <c r="AS208" s="5"/>
      <c r="AT208" s="5"/>
      <c r="AU208" s="5"/>
      <c r="AV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</row>
    <row r="209" spans="20:223" ht="12.75">
      <c r="T209" s="5"/>
      <c r="U209" s="5"/>
      <c r="V209" s="5"/>
      <c r="W209" s="5"/>
      <c r="X209" s="5"/>
      <c r="AR209" s="5"/>
      <c r="AS209" s="5"/>
      <c r="AT209" s="5"/>
      <c r="AU209" s="5"/>
      <c r="AV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</row>
    <row r="210" spans="20:223" ht="12.75">
      <c r="T210" s="5"/>
      <c r="U210" s="5"/>
      <c r="V210" s="5"/>
      <c r="W210" s="5"/>
      <c r="X210" s="5"/>
      <c r="AR210" s="5"/>
      <c r="AS210" s="5"/>
      <c r="AT210" s="5"/>
      <c r="AU210" s="5"/>
      <c r="AV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</row>
    <row r="211" spans="20:223" ht="12.75">
      <c r="T211" s="5"/>
      <c r="U211" s="5"/>
      <c r="V211" s="5"/>
      <c r="W211" s="5"/>
      <c r="X211" s="5"/>
      <c r="AR211" s="5"/>
      <c r="AS211" s="5"/>
      <c r="AT211" s="5"/>
      <c r="AU211" s="5"/>
      <c r="AV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</row>
    <row r="212" spans="20:223" ht="12.75">
      <c r="T212" s="5"/>
      <c r="U212" s="5"/>
      <c r="V212" s="5"/>
      <c r="W212" s="5"/>
      <c r="X212" s="5"/>
      <c r="AR212" s="5"/>
      <c r="AS212" s="5"/>
      <c r="AT212" s="5"/>
      <c r="AU212" s="5"/>
      <c r="AV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</row>
    <row r="213" spans="20:223" ht="12.75">
      <c r="T213" s="5"/>
      <c r="U213" s="5"/>
      <c r="V213" s="5"/>
      <c r="W213" s="5"/>
      <c r="X213" s="5"/>
      <c r="AR213" s="5"/>
      <c r="AS213" s="5"/>
      <c r="AT213" s="5"/>
      <c r="AU213" s="5"/>
      <c r="AV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</row>
    <row r="214" spans="20:223" ht="12.75">
      <c r="T214" s="5"/>
      <c r="U214" s="5"/>
      <c r="V214" s="5"/>
      <c r="W214" s="5"/>
      <c r="X214" s="5"/>
      <c r="AR214" s="5"/>
      <c r="AS214" s="5"/>
      <c r="AT214" s="5"/>
      <c r="AU214" s="5"/>
      <c r="AV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</row>
    <row r="215" spans="20:223" ht="12.75">
      <c r="T215" s="5"/>
      <c r="U215" s="5"/>
      <c r="V215" s="5"/>
      <c r="W215" s="5"/>
      <c r="X215" s="5"/>
      <c r="AR215" s="5"/>
      <c r="AS215" s="5"/>
      <c r="AT215" s="5"/>
      <c r="AU215" s="5"/>
      <c r="AV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</row>
    <row r="216" spans="20:223" ht="12.75">
      <c r="T216" s="5"/>
      <c r="U216" s="5"/>
      <c r="V216" s="5"/>
      <c r="W216" s="5"/>
      <c r="X216" s="5"/>
      <c r="AR216" s="5"/>
      <c r="AS216" s="5"/>
      <c r="AT216" s="5"/>
      <c r="AU216" s="5"/>
      <c r="AV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</row>
    <row r="217" spans="20:223" ht="12.75">
      <c r="T217" s="5"/>
      <c r="U217" s="5"/>
      <c r="V217" s="5"/>
      <c r="W217" s="5"/>
      <c r="X217" s="5"/>
      <c r="AR217" s="5"/>
      <c r="AS217" s="5"/>
      <c r="AT217" s="5"/>
      <c r="AU217" s="5"/>
      <c r="AV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</row>
    <row r="218" spans="20:223" ht="12.75">
      <c r="T218" s="5"/>
      <c r="U218" s="5"/>
      <c r="V218" s="5"/>
      <c r="W218" s="5"/>
      <c r="X218" s="5"/>
      <c r="AR218" s="5"/>
      <c r="AS218" s="5"/>
      <c r="AT218" s="5"/>
      <c r="AU218" s="5"/>
      <c r="AV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</row>
    <row r="219" spans="20:223" ht="12.75">
      <c r="T219" s="5"/>
      <c r="U219" s="5"/>
      <c r="V219" s="5"/>
      <c r="W219" s="5"/>
      <c r="X219" s="5"/>
      <c r="AR219" s="5"/>
      <c r="AS219" s="5"/>
      <c r="AT219" s="5"/>
      <c r="AU219" s="5"/>
      <c r="AV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</row>
    <row r="220" spans="20:223" ht="12.75">
      <c r="T220" s="5"/>
      <c r="U220" s="5"/>
      <c r="V220" s="5"/>
      <c r="W220" s="5"/>
      <c r="X220" s="5"/>
      <c r="AR220" s="5"/>
      <c r="AS220" s="5"/>
      <c r="AT220" s="5"/>
      <c r="AU220" s="5"/>
      <c r="AV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</row>
    <row r="221" spans="20:223" ht="12.75">
      <c r="T221" s="5"/>
      <c r="U221" s="5"/>
      <c r="V221" s="5"/>
      <c r="W221" s="5"/>
      <c r="X221" s="5"/>
      <c r="AR221" s="5"/>
      <c r="AS221" s="5"/>
      <c r="AT221" s="5"/>
      <c r="AU221" s="5"/>
      <c r="AV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</row>
    <row r="222" spans="20:223" ht="12.75">
      <c r="T222" s="5"/>
      <c r="U222" s="5"/>
      <c r="V222" s="5"/>
      <c r="W222" s="5"/>
      <c r="X222" s="5"/>
      <c r="AR222" s="5"/>
      <c r="AS222" s="5"/>
      <c r="AT222" s="5"/>
      <c r="AU222" s="5"/>
      <c r="AV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</row>
    <row r="223" spans="20:223" ht="12.75">
      <c r="T223" s="5"/>
      <c r="U223" s="5"/>
      <c r="V223" s="5"/>
      <c r="W223" s="5"/>
      <c r="X223" s="5"/>
      <c r="AR223" s="5"/>
      <c r="AS223" s="5"/>
      <c r="AT223" s="5"/>
      <c r="AU223" s="5"/>
      <c r="AV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</row>
    <row r="224" spans="20:223" ht="12.75">
      <c r="T224" s="5"/>
      <c r="U224" s="5"/>
      <c r="V224" s="5"/>
      <c r="W224" s="5"/>
      <c r="X224" s="5"/>
      <c r="AR224" s="5"/>
      <c r="AS224" s="5"/>
      <c r="AT224" s="5"/>
      <c r="AU224" s="5"/>
      <c r="AV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</row>
    <row r="225" spans="20:223" ht="12.75">
      <c r="T225" s="5"/>
      <c r="U225" s="5"/>
      <c r="V225" s="5"/>
      <c r="W225" s="5"/>
      <c r="X225" s="5"/>
      <c r="AR225" s="5"/>
      <c r="AS225" s="5"/>
      <c r="AT225" s="5"/>
      <c r="AU225" s="5"/>
      <c r="AV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</row>
    <row r="226" spans="20:223" ht="12.75">
      <c r="T226" s="5"/>
      <c r="U226" s="5"/>
      <c r="V226" s="5"/>
      <c r="W226" s="5"/>
      <c r="X226" s="5"/>
      <c r="AR226" s="5"/>
      <c r="AS226" s="5"/>
      <c r="AT226" s="5"/>
      <c r="AU226" s="5"/>
      <c r="AV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</row>
    <row r="227" spans="20:223" ht="12.75">
      <c r="T227" s="5"/>
      <c r="U227" s="5"/>
      <c r="V227" s="5"/>
      <c r="W227" s="5"/>
      <c r="X227" s="5"/>
      <c r="AR227" s="5"/>
      <c r="AS227" s="5"/>
      <c r="AT227" s="5"/>
      <c r="AU227" s="5"/>
      <c r="AV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</row>
    <row r="228" spans="20:223" ht="12.75">
      <c r="T228" s="5"/>
      <c r="U228" s="5"/>
      <c r="V228" s="5"/>
      <c r="W228" s="5"/>
      <c r="X228" s="5"/>
      <c r="AR228" s="5"/>
      <c r="AS228" s="5"/>
      <c r="AT228" s="5"/>
      <c r="AU228" s="5"/>
      <c r="AV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</row>
    <row r="229" spans="20:223" ht="12.75">
      <c r="T229" s="5"/>
      <c r="U229" s="5"/>
      <c r="V229" s="5"/>
      <c r="W229" s="5"/>
      <c r="X229" s="5"/>
      <c r="AR229" s="5"/>
      <c r="AS229" s="5"/>
      <c r="AT229" s="5"/>
      <c r="AU229" s="5"/>
      <c r="AV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</row>
    <row r="230" spans="20:223" ht="12.75">
      <c r="T230" s="5"/>
      <c r="U230" s="5"/>
      <c r="V230" s="5"/>
      <c r="W230" s="5"/>
      <c r="X230" s="5"/>
      <c r="AR230" s="5"/>
      <c r="AS230" s="5"/>
      <c r="AT230" s="5"/>
      <c r="AU230" s="5"/>
      <c r="AV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</row>
    <row r="231" spans="20:223" ht="12.75">
      <c r="T231" s="5"/>
      <c r="U231" s="5"/>
      <c r="V231" s="5"/>
      <c r="W231" s="5"/>
      <c r="X231" s="5"/>
      <c r="AR231" s="5"/>
      <c r="AS231" s="5"/>
      <c r="AT231" s="5"/>
      <c r="AU231" s="5"/>
      <c r="AV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</row>
    <row r="232" spans="20:223" ht="12.75">
      <c r="T232" s="5"/>
      <c r="U232" s="5"/>
      <c r="V232" s="5"/>
      <c r="W232" s="5"/>
      <c r="X232" s="5"/>
      <c r="AR232" s="5"/>
      <c r="AS232" s="5"/>
      <c r="AT232" s="5"/>
      <c r="AU232" s="5"/>
      <c r="AV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</row>
    <row r="233" spans="20:223" ht="12.75">
      <c r="T233" s="5"/>
      <c r="U233" s="5"/>
      <c r="V233" s="5"/>
      <c r="W233" s="5"/>
      <c r="X233" s="5"/>
      <c r="AR233" s="5"/>
      <c r="AS233" s="5"/>
      <c r="AT233" s="5"/>
      <c r="AU233" s="5"/>
      <c r="AV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</row>
    <row r="234" spans="20:223" ht="12.75">
      <c r="T234" s="5"/>
      <c r="U234" s="5"/>
      <c r="V234" s="5"/>
      <c r="W234" s="5"/>
      <c r="X234" s="5"/>
      <c r="AR234" s="5"/>
      <c r="AS234" s="5"/>
      <c r="AT234" s="5"/>
      <c r="AU234" s="5"/>
      <c r="AV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</row>
    <row r="235" spans="20:223" ht="12.75">
      <c r="T235" s="5"/>
      <c r="U235" s="5"/>
      <c r="V235" s="5"/>
      <c r="W235" s="5"/>
      <c r="X235" s="5"/>
      <c r="AR235" s="5"/>
      <c r="AS235" s="5"/>
      <c r="AT235" s="5"/>
      <c r="AU235" s="5"/>
      <c r="AV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</row>
    <row r="236" spans="20:223" ht="12.75">
      <c r="T236" s="5"/>
      <c r="U236" s="5"/>
      <c r="V236" s="5"/>
      <c r="W236" s="5"/>
      <c r="X236" s="5"/>
      <c r="AR236" s="5"/>
      <c r="AS236" s="5"/>
      <c r="AT236" s="5"/>
      <c r="AU236" s="5"/>
      <c r="AV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</row>
    <row r="237" spans="20:223" ht="12.75">
      <c r="T237" s="5"/>
      <c r="U237" s="5"/>
      <c r="V237" s="5"/>
      <c r="W237" s="5"/>
      <c r="X237" s="5"/>
      <c r="AR237" s="5"/>
      <c r="AS237" s="5"/>
      <c r="AT237" s="5"/>
      <c r="AU237" s="5"/>
      <c r="AV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</row>
    <row r="238" spans="20:223" ht="12.75">
      <c r="T238" s="5"/>
      <c r="U238" s="5"/>
      <c r="V238" s="5"/>
      <c r="W238" s="5"/>
      <c r="X238" s="5"/>
      <c r="AR238" s="5"/>
      <c r="AS238" s="5"/>
      <c r="AT238" s="5"/>
      <c r="AU238" s="5"/>
      <c r="AV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</row>
    <row r="239" spans="20:223" ht="12.75">
      <c r="T239" s="5"/>
      <c r="U239" s="5"/>
      <c r="V239" s="5"/>
      <c r="W239" s="5"/>
      <c r="X239" s="5"/>
      <c r="AR239" s="5"/>
      <c r="AS239" s="5"/>
      <c r="AT239" s="5"/>
      <c r="AU239" s="5"/>
      <c r="AV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</row>
    <row r="240" spans="20:223" ht="12.75">
      <c r="T240" s="5"/>
      <c r="U240" s="5"/>
      <c r="V240" s="5"/>
      <c r="W240" s="5"/>
      <c r="X240" s="5"/>
      <c r="AR240" s="5"/>
      <c r="AS240" s="5"/>
      <c r="AT240" s="5"/>
      <c r="AU240" s="5"/>
      <c r="AV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</row>
    <row r="241" spans="20:223" ht="12.75">
      <c r="T241" s="5"/>
      <c r="U241" s="5"/>
      <c r="V241" s="5"/>
      <c r="W241" s="5"/>
      <c r="X241" s="5"/>
      <c r="AR241" s="5"/>
      <c r="AS241" s="5"/>
      <c r="AT241" s="5"/>
      <c r="AU241" s="5"/>
      <c r="AV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</row>
    <row r="242" spans="20:223" ht="12.75">
      <c r="T242" s="5"/>
      <c r="U242" s="5"/>
      <c r="V242" s="5"/>
      <c r="W242" s="5"/>
      <c r="X242" s="5"/>
      <c r="AR242" s="5"/>
      <c r="AS242" s="5"/>
      <c r="AT242" s="5"/>
      <c r="AU242" s="5"/>
      <c r="AV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</row>
    <row r="243" spans="20:223" ht="12.75">
      <c r="T243" s="5"/>
      <c r="U243" s="5"/>
      <c r="V243" s="5"/>
      <c r="W243" s="5"/>
      <c r="X243" s="5"/>
      <c r="AR243" s="5"/>
      <c r="AS243" s="5"/>
      <c r="AT243" s="5"/>
      <c r="AU243" s="5"/>
      <c r="AV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</row>
    <row r="244" spans="20:223" ht="12.75">
      <c r="T244" s="5"/>
      <c r="U244" s="5"/>
      <c r="V244" s="5"/>
      <c r="W244" s="5"/>
      <c r="X244" s="5"/>
      <c r="AR244" s="5"/>
      <c r="AS244" s="5"/>
      <c r="AT244" s="5"/>
      <c r="AU244" s="5"/>
      <c r="AV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</row>
    <row r="245" spans="20:223" ht="12.75">
      <c r="T245" s="5"/>
      <c r="U245" s="5"/>
      <c r="V245" s="5"/>
      <c r="W245" s="5"/>
      <c r="X245" s="5"/>
      <c r="AR245" s="5"/>
      <c r="AS245" s="5"/>
      <c r="AT245" s="5"/>
      <c r="AU245" s="5"/>
      <c r="AV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</row>
    <row r="246" spans="20:223" ht="12.75">
      <c r="T246" s="5"/>
      <c r="U246" s="5"/>
      <c r="V246" s="5"/>
      <c r="W246" s="5"/>
      <c r="X246" s="5"/>
      <c r="AR246" s="5"/>
      <c r="AS246" s="5"/>
      <c r="AT246" s="5"/>
      <c r="AU246" s="5"/>
      <c r="AV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</row>
    <row r="247" spans="20:223" ht="12.75">
      <c r="T247" s="5"/>
      <c r="U247" s="5"/>
      <c r="V247" s="5"/>
      <c r="W247" s="5"/>
      <c r="X247" s="5"/>
      <c r="AR247" s="5"/>
      <c r="AS247" s="5"/>
      <c r="AT247" s="5"/>
      <c r="AU247" s="5"/>
      <c r="AV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</row>
    <row r="248" spans="20:223" ht="12.75">
      <c r="T248" s="5"/>
      <c r="U248" s="5"/>
      <c r="V248" s="5"/>
      <c r="W248" s="5"/>
      <c r="X248" s="5"/>
      <c r="AR248" s="5"/>
      <c r="AS248" s="5"/>
      <c r="AT248" s="5"/>
      <c r="AU248" s="5"/>
      <c r="AV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</row>
    <row r="249" spans="20:223" ht="12.75">
      <c r="T249" s="5"/>
      <c r="U249" s="5"/>
      <c r="V249" s="5"/>
      <c r="W249" s="5"/>
      <c r="X249" s="5"/>
      <c r="AR249" s="5"/>
      <c r="AS249" s="5"/>
      <c r="AT249" s="5"/>
      <c r="AU249" s="5"/>
      <c r="AV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</row>
    <row r="250" spans="20:223" ht="12.75">
      <c r="T250" s="5"/>
      <c r="U250" s="5"/>
      <c r="V250" s="5"/>
      <c r="W250" s="5"/>
      <c r="X250" s="5"/>
      <c r="AR250" s="5"/>
      <c r="AS250" s="5"/>
      <c r="AT250" s="5"/>
      <c r="AU250" s="5"/>
      <c r="AV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</row>
    <row r="251" spans="20:223" ht="12.75">
      <c r="T251" s="5"/>
      <c r="U251" s="5"/>
      <c r="V251" s="5"/>
      <c r="W251" s="5"/>
      <c r="X251" s="5"/>
      <c r="AR251" s="5"/>
      <c r="AS251" s="5"/>
      <c r="AT251" s="5"/>
      <c r="AU251" s="5"/>
      <c r="AV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</row>
    <row r="252" spans="20:223" ht="12.75">
      <c r="T252" s="5"/>
      <c r="U252" s="5"/>
      <c r="V252" s="5"/>
      <c r="W252" s="5"/>
      <c r="X252" s="5"/>
      <c r="AR252" s="5"/>
      <c r="AS252" s="5"/>
      <c r="AT252" s="5"/>
      <c r="AU252" s="5"/>
      <c r="AV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</row>
    <row r="253" spans="20:223" ht="12.75">
      <c r="T253" s="5"/>
      <c r="U253" s="5"/>
      <c r="V253" s="5"/>
      <c r="W253" s="5"/>
      <c r="X253" s="5"/>
      <c r="AR253" s="5"/>
      <c r="AS253" s="5"/>
      <c r="AT253" s="5"/>
      <c r="AU253" s="5"/>
      <c r="AV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</row>
    <row r="254" spans="20:223" ht="12.75">
      <c r="T254" s="5"/>
      <c r="U254" s="5"/>
      <c r="V254" s="5"/>
      <c r="W254" s="5"/>
      <c r="X254" s="5"/>
      <c r="AR254" s="5"/>
      <c r="AS254" s="5"/>
      <c r="AT254" s="5"/>
      <c r="AU254" s="5"/>
      <c r="AV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</row>
    <row r="255" spans="20:223" ht="12.75">
      <c r="T255" s="5"/>
      <c r="U255" s="5"/>
      <c r="V255" s="5"/>
      <c r="W255" s="5"/>
      <c r="X255" s="5"/>
      <c r="AR255" s="5"/>
      <c r="AS255" s="5"/>
      <c r="AT255" s="5"/>
      <c r="AU255" s="5"/>
      <c r="AV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</row>
    <row r="256" spans="20:223" ht="12.75">
      <c r="T256" s="5"/>
      <c r="U256" s="5"/>
      <c r="V256" s="5"/>
      <c r="W256" s="5"/>
      <c r="X256" s="5"/>
      <c r="AR256" s="5"/>
      <c r="AS256" s="5"/>
      <c r="AT256" s="5"/>
      <c r="AU256" s="5"/>
      <c r="AV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</row>
    <row r="257" spans="20:223" ht="12.75">
      <c r="T257" s="5"/>
      <c r="U257" s="5"/>
      <c r="V257" s="5"/>
      <c r="W257" s="5"/>
      <c r="X257" s="5"/>
      <c r="AR257" s="5"/>
      <c r="AS257" s="5"/>
      <c r="AT257" s="5"/>
      <c r="AU257" s="5"/>
      <c r="AV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</row>
    <row r="258" spans="20:223" ht="12.75">
      <c r="T258" s="5"/>
      <c r="U258" s="5"/>
      <c r="V258" s="5"/>
      <c r="W258" s="5"/>
      <c r="X258" s="5"/>
      <c r="AR258" s="5"/>
      <c r="AS258" s="5"/>
      <c r="AT258" s="5"/>
      <c r="AU258" s="5"/>
      <c r="AV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</row>
    <row r="259" spans="20:223" ht="12.75">
      <c r="T259" s="5"/>
      <c r="U259" s="5"/>
      <c r="V259" s="5"/>
      <c r="W259" s="5"/>
      <c r="X259" s="5"/>
      <c r="AR259" s="5"/>
      <c r="AS259" s="5"/>
      <c r="AT259" s="5"/>
      <c r="AU259" s="5"/>
      <c r="AV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</row>
    <row r="260" spans="20:223" ht="12.75">
      <c r="T260" s="5"/>
      <c r="U260" s="5"/>
      <c r="V260" s="5"/>
      <c r="W260" s="5"/>
      <c r="X260" s="5"/>
      <c r="AR260" s="5"/>
      <c r="AS260" s="5"/>
      <c r="AT260" s="5"/>
      <c r="AU260" s="5"/>
      <c r="AV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</row>
    <row r="261" spans="20:223" ht="12.75">
      <c r="T261" s="5"/>
      <c r="U261" s="5"/>
      <c r="V261" s="5"/>
      <c r="W261" s="5"/>
      <c r="X261" s="5"/>
      <c r="AR261" s="5"/>
      <c r="AS261" s="5"/>
      <c r="AT261" s="5"/>
      <c r="AU261" s="5"/>
      <c r="AV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</row>
    <row r="262" spans="20:223" ht="12.75">
      <c r="T262" s="5"/>
      <c r="U262" s="5"/>
      <c r="V262" s="5"/>
      <c r="W262" s="5"/>
      <c r="X262" s="5"/>
      <c r="AR262" s="5"/>
      <c r="AS262" s="5"/>
      <c r="AT262" s="5"/>
      <c r="AU262" s="5"/>
      <c r="AV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</row>
    <row r="263" spans="20:223" ht="12.75">
      <c r="T263" s="5"/>
      <c r="U263" s="5"/>
      <c r="V263" s="5"/>
      <c r="W263" s="5"/>
      <c r="X263" s="5"/>
      <c r="AR263" s="5"/>
      <c r="AS263" s="5"/>
      <c r="AT263" s="5"/>
      <c r="AU263" s="5"/>
      <c r="AV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</row>
    <row r="264" spans="20:223" ht="12.75">
      <c r="T264" s="5"/>
      <c r="U264" s="5"/>
      <c r="V264" s="5"/>
      <c r="W264" s="5"/>
      <c r="X264" s="5"/>
      <c r="AR264" s="5"/>
      <c r="AS264" s="5"/>
      <c r="AT264" s="5"/>
      <c r="AU264" s="5"/>
      <c r="AV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</row>
    <row r="265" spans="20:223" ht="12.75">
      <c r="T265" s="5"/>
      <c r="U265" s="5"/>
      <c r="V265" s="5"/>
      <c r="W265" s="5"/>
      <c r="X265" s="5"/>
      <c r="AR265" s="5"/>
      <c r="AS265" s="5"/>
      <c r="AT265" s="5"/>
      <c r="AU265" s="5"/>
      <c r="AV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</row>
    <row r="266" spans="20:223" ht="12.75">
      <c r="T266" s="5"/>
      <c r="U266" s="5"/>
      <c r="V266" s="5"/>
      <c r="W266" s="5"/>
      <c r="X266" s="5"/>
      <c r="AR266" s="5"/>
      <c r="AS266" s="5"/>
      <c r="AT266" s="5"/>
      <c r="AU266" s="5"/>
      <c r="AV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</row>
    <row r="267" spans="20:223" ht="12.75">
      <c r="T267" s="5"/>
      <c r="U267" s="5"/>
      <c r="V267" s="5"/>
      <c r="W267" s="5"/>
      <c r="X267" s="5"/>
      <c r="AR267" s="5"/>
      <c r="AS267" s="5"/>
      <c r="AT267" s="5"/>
      <c r="AU267" s="5"/>
      <c r="AV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</row>
    <row r="268" spans="20:223" ht="12.75">
      <c r="T268" s="5"/>
      <c r="U268" s="5"/>
      <c r="V268" s="5"/>
      <c r="W268" s="5"/>
      <c r="X268" s="5"/>
      <c r="AR268" s="5"/>
      <c r="AS268" s="5"/>
      <c r="AT268" s="5"/>
      <c r="AU268" s="5"/>
      <c r="AV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</row>
    <row r="269" spans="20:223" ht="12.75">
      <c r="T269" s="5"/>
      <c r="U269" s="5"/>
      <c r="V269" s="5"/>
      <c r="W269" s="5"/>
      <c r="X269" s="5"/>
      <c r="AR269" s="5"/>
      <c r="AS269" s="5"/>
      <c r="AT269" s="5"/>
      <c r="AU269" s="5"/>
      <c r="AV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</row>
    <row r="270" spans="20:223" ht="12.75">
      <c r="T270" s="5"/>
      <c r="U270" s="5"/>
      <c r="V270" s="5"/>
      <c r="W270" s="5"/>
      <c r="X270" s="5"/>
      <c r="AR270" s="5"/>
      <c r="AS270" s="5"/>
      <c r="AT270" s="5"/>
      <c r="AU270" s="5"/>
      <c r="AV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</row>
    <row r="271" spans="20:223" ht="12.75">
      <c r="T271" s="5"/>
      <c r="U271" s="5"/>
      <c r="V271" s="5"/>
      <c r="W271" s="5"/>
      <c r="X271" s="5"/>
      <c r="AR271" s="5"/>
      <c r="AS271" s="5"/>
      <c r="AT271" s="5"/>
      <c r="AU271" s="5"/>
      <c r="AV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</row>
    <row r="272" spans="20:223" ht="12.75">
      <c r="T272" s="5"/>
      <c r="U272" s="5"/>
      <c r="V272" s="5"/>
      <c r="W272" s="5"/>
      <c r="X272" s="5"/>
      <c r="AR272" s="5"/>
      <c r="AS272" s="5"/>
      <c r="AT272" s="5"/>
      <c r="AU272" s="5"/>
      <c r="AV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</row>
    <row r="273" spans="20:223" ht="12.75">
      <c r="T273" s="5"/>
      <c r="U273" s="5"/>
      <c r="V273" s="5"/>
      <c r="W273" s="5"/>
      <c r="X273" s="5"/>
      <c r="AR273" s="5"/>
      <c r="AS273" s="5"/>
      <c r="AT273" s="5"/>
      <c r="AU273" s="5"/>
      <c r="AV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</row>
    <row r="274" spans="20:223" ht="12.75">
      <c r="T274" s="5"/>
      <c r="U274" s="5"/>
      <c r="V274" s="5"/>
      <c r="W274" s="5"/>
      <c r="X274" s="5"/>
      <c r="AR274" s="5"/>
      <c r="AS274" s="5"/>
      <c r="AT274" s="5"/>
      <c r="AU274" s="5"/>
      <c r="AV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</row>
    <row r="275" spans="20:223" ht="12.75">
      <c r="T275" s="5"/>
      <c r="U275" s="5"/>
      <c r="V275" s="5"/>
      <c r="W275" s="5"/>
      <c r="X275" s="5"/>
      <c r="AR275" s="5"/>
      <c r="AS275" s="5"/>
      <c r="AT275" s="5"/>
      <c r="AU275" s="5"/>
      <c r="AV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</row>
    <row r="276" spans="20:223" ht="12.75">
      <c r="T276" s="5"/>
      <c r="U276" s="5"/>
      <c r="V276" s="5"/>
      <c r="W276" s="5"/>
      <c r="X276" s="5"/>
      <c r="AR276" s="5"/>
      <c r="AS276" s="5"/>
      <c r="AT276" s="5"/>
      <c r="AU276" s="5"/>
      <c r="AV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</row>
    <row r="277" spans="20:223" ht="12.75">
      <c r="T277" s="5"/>
      <c r="U277" s="5"/>
      <c r="V277" s="5"/>
      <c r="W277" s="5"/>
      <c r="X277" s="5"/>
      <c r="AR277" s="5"/>
      <c r="AS277" s="5"/>
      <c r="AT277" s="5"/>
      <c r="AU277" s="5"/>
      <c r="AV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</row>
    <row r="278" spans="20:223" ht="12.75">
      <c r="T278" s="5"/>
      <c r="U278" s="5"/>
      <c r="V278" s="5"/>
      <c r="W278" s="5"/>
      <c r="X278" s="5"/>
      <c r="AR278" s="5"/>
      <c r="AS278" s="5"/>
      <c r="AT278" s="5"/>
      <c r="AU278" s="5"/>
      <c r="AV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</row>
    <row r="279" spans="20:223" ht="12.75">
      <c r="T279" s="5"/>
      <c r="U279" s="5"/>
      <c r="V279" s="5"/>
      <c r="W279" s="5"/>
      <c r="X279" s="5"/>
      <c r="AR279" s="5"/>
      <c r="AS279" s="5"/>
      <c r="AT279" s="5"/>
      <c r="AU279" s="5"/>
      <c r="AV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</row>
    <row r="280" spans="20:223" ht="12.75">
      <c r="T280" s="5"/>
      <c r="U280" s="5"/>
      <c r="V280" s="5"/>
      <c r="W280" s="5"/>
      <c r="X280" s="5"/>
      <c r="AR280" s="5"/>
      <c r="AS280" s="5"/>
      <c r="AT280" s="5"/>
      <c r="AU280" s="5"/>
      <c r="AV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</row>
    <row r="281" spans="20:223" ht="12.75">
      <c r="T281" s="5"/>
      <c r="U281" s="5"/>
      <c r="V281" s="5"/>
      <c r="W281" s="5"/>
      <c r="X281" s="5"/>
      <c r="AR281" s="5"/>
      <c r="AS281" s="5"/>
      <c r="AT281" s="5"/>
      <c r="AU281" s="5"/>
      <c r="AV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</row>
    <row r="282" spans="20:223" ht="12.75">
      <c r="T282" s="5"/>
      <c r="U282" s="5"/>
      <c r="V282" s="5"/>
      <c r="W282" s="5"/>
      <c r="X282" s="5"/>
      <c r="AR282" s="5"/>
      <c r="AS282" s="5"/>
      <c r="AT282" s="5"/>
      <c r="AU282" s="5"/>
      <c r="AV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</row>
    <row r="283" spans="20:223" ht="12.75">
      <c r="T283" s="5"/>
      <c r="U283" s="5"/>
      <c r="V283" s="5"/>
      <c r="W283" s="5"/>
      <c r="X283" s="5"/>
      <c r="AR283" s="5"/>
      <c r="AS283" s="5"/>
      <c r="AT283" s="5"/>
      <c r="AU283" s="5"/>
      <c r="AV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</row>
    <row r="284" spans="20:223" ht="12.75">
      <c r="T284" s="5"/>
      <c r="U284" s="5"/>
      <c r="V284" s="5"/>
      <c r="W284" s="5"/>
      <c r="X284" s="5"/>
      <c r="AR284" s="5"/>
      <c r="AS284" s="5"/>
      <c r="AT284" s="5"/>
      <c r="AU284" s="5"/>
      <c r="AV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</row>
    <row r="285" spans="20:223" ht="12.75">
      <c r="T285" s="5"/>
      <c r="U285" s="5"/>
      <c r="V285" s="5"/>
      <c r="W285" s="5"/>
      <c r="X285" s="5"/>
      <c r="AR285" s="5"/>
      <c r="AS285" s="5"/>
      <c r="AT285" s="5"/>
      <c r="AU285" s="5"/>
      <c r="AV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</row>
    <row r="286" spans="20:223" ht="12.75">
      <c r="T286" s="5"/>
      <c r="U286" s="5"/>
      <c r="V286" s="5"/>
      <c r="W286" s="5"/>
      <c r="X286" s="5"/>
      <c r="AR286" s="5"/>
      <c r="AS286" s="5"/>
      <c r="AT286" s="5"/>
      <c r="AU286" s="5"/>
      <c r="AV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</row>
    <row r="287" spans="20:223" ht="12.75">
      <c r="T287" s="5"/>
      <c r="U287" s="5"/>
      <c r="V287" s="5"/>
      <c r="W287" s="5"/>
      <c r="X287" s="5"/>
      <c r="AR287" s="5"/>
      <c r="AS287" s="5"/>
      <c r="AT287" s="5"/>
      <c r="AU287" s="5"/>
      <c r="AV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</row>
    <row r="288" spans="20:223" ht="12.75">
      <c r="T288" s="5"/>
      <c r="U288" s="5"/>
      <c r="V288" s="5"/>
      <c r="W288" s="5"/>
      <c r="X288" s="5"/>
      <c r="AR288" s="5"/>
      <c r="AS288" s="5"/>
      <c r="AT288" s="5"/>
      <c r="AU288" s="5"/>
      <c r="AV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</row>
    <row r="289" spans="20:223" ht="12.75">
      <c r="T289" s="5"/>
      <c r="U289" s="5"/>
      <c r="V289" s="5"/>
      <c r="W289" s="5"/>
      <c r="X289" s="5"/>
      <c r="AR289" s="5"/>
      <c r="AS289" s="5"/>
      <c r="AT289" s="5"/>
      <c r="AU289" s="5"/>
      <c r="AV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</row>
    <row r="290" spans="20:223" ht="12.75">
      <c r="T290" s="5"/>
      <c r="U290" s="5"/>
      <c r="V290" s="5"/>
      <c r="W290" s="5"/>
      <c r="X290" s="5"/>
      <c r="AR290" s="5"/>
      <c r="AS290" s="5"/>
      <c r="AT290" s="5"/>
      <c r="AU290" s="5"/>
      <c r="AV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</row>
    <row r="291" spans="20:223" ht="12.75">
      <c r="T291" s="5"/>
      <c r="U291" s="5"/>
      <c r="V291" s="5"/>
      <c r="W291" s="5"/>
      <c r="X291" s="5"/>
      <c r="AR291" s="5"/>
      <c r="AS291" s="5"/>
      <c r="AT291" s="5"/>
      <c r="AU291" s="5"/>
      <c r="AV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</row>
    <row r="292" spans="20:223" ht="12.75">
      <c r="T292" s="5"/>
      <c r="U292" s="5"/>
      <c r="V292" s="5"/>
      <c r="W292" s="5"/>
      <c r="X292" s="5"/>
      <c r="AR292" s="5"/>
      <c r="AS292" s="5"/>
      <c r="AT292" s="5"/>
      <c r="AU292" s="5"/>
      <c r="AV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</row>
    <row r="293" spans="20:223" ht="12.75">
      <c r="T293" s="5"/>
      <c r="U293" s="5"/>
      <c r="V293" s="5"/>
      <c r="W293" s="5"/>
      <c r="X293" s="5"/>
      <c r="AR293" s="5"/>
      <c r="AS293" s="5"/>
      <c r="AT293" s="5"/>
      <c r="AU293" s="5"/>
      <c r="AV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</row>
    <row r="294" spans="20:223" ht="12.75">
      <c r="T294" s="5"/>
      <c r="U294" s="5"/>
      <c r="V294" s="5"/>
      <c r="W294" s="5"/>
      <c r="X294" s="5"/>
      <c r="AR294" s="5"/>
      <c r="AS294" s="5"/>
      <c r="AT294" s="5"/>
      <c r="AU294" s="5"/>
      <c r="AV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</row>
    <row r="295" spans="20:223" ht="12.75">
      <c r="T295" s="5"/>
      <c r="U295" s="5"/>
      <c r="V295" s="5"/>
      <c r="W295" s="5"/>
      <c r="X295" s="5"/>
      <c r="AR295" s="5"/>
      <c r="AS295" s="5"/>
      <c r="AT295" s="5"/>
      <c r="AU295" s="5"/>
      <c r="AV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</row>
    <row r="296" spans="20:223" ht="12.75">
      <c r="T296" s="5"/>
      <c r="U296" s="5"/>
      <c r="V296" s="5"/>
      <c r="W296" s="5"/>
      <c r="X296" s="5"/>
      <c r="AR296" s="5"/>
      <c r="AS296" s="5"/>
      <c r="AT296" s="5"/>
      <c r="AU296" s="5"/>
      <c r="AV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</row>
    <row r="297" spans="20:223" ht="12.75">
      <c r="T297" s="5"/>
      <c r="U297" s="5"/>
      <c r="V297" s="5"/>
      <c r="W297" s="5"/>
      <c r="X297" s="5"/>
      <c r="AR297" s="5"/>
      <c r="AS297" s="5"/>
      <c r="AT297" s="5"/>
      <c r="AU297" s="5"/>
      <c r="AV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</row>
    <row r="298" spans="20:223" ht="12.75">
      <c r="T298" s="5"/>
      <c r="U298" s="5"/>
      <c r="V298" s="5"/>
      <c r="W298" s="5"/>
      <c r="X298" s="5"/>
      <c r="AR298" s="5"/>
      <c r="AS298" s="5"/>
      <c r="AT298" s="5"/>
      <c r="AU298" s="5"/>
      <c r="AV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</row>
    <row r="299" spans="20:223" ht="12.75">
      <c r="T299" s="5"/>
      <c r="U299" s="5"/>
      <c r="V299" s="5"/>
      <c r="W299" s="5"/>
      <c r="X299" s="5"/>
      <c r="AR299" s="5"/>
      <c r="AS299" s="5"/>
      <c r="AT299" s="5"/>
      <c r="AU299" s="5"/>
      <c r="AV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</row>
    <row r="300" spans="20:223" ht="12.75">
      <c r="T300" s="5"/>
      <c r="U300" s="5"/>
      <c r="V300" s="5"/>
      <c r="W300" s="5"/>
      <c r="X300" s="5"/>
      <c r="AR300" s="5"/>
      <c r="AS300" s="5"/>
      <c r="AT300" s="5"/>
      <c r="AU300" s="5"/>
      <c r="AV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</row>
    <row r="301" spans="20:223" ht="12.75">
      <c r="T301" s="5"/>
      <c r="U301" s="5"/>
      <c r="V301" s="5"/>
      <c r="W301" s="5"/>
      <c r="X301" s="5"/>
      <c r="AR301" s="5"/>
      <c r="AS301" s="5"/>
      <c r="AT301" s="5"/>
      <c r="AU301" s="5"/>
      <c r="AV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</row>
    <row r="302" spans="20:223" ht="12.75">
      <c r="T302" s="5"/>
      <c r="U302" s="5"/>
      <c r="V302" s="5"/>
      <c r="W302" s="5"/>
      <c r="X302" s="5"/>
      <c r="AR302" s="5"/>
      <c r="AS302" s="5"/>
      <c r="AT302" s="5"/>
      <c r="AU302" s="5"/>
      <c r="AV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</row>
    <row r="303" spans="20:223" ht="12.75">
      <c r="T303" s="5"/>
      <c r="U303" s="5"/>
      <c r="V303" s="5"/>
      <c r="W303" s="5"/>
      <c r="X303" s="5"/>
      <c r="AR303" s="5"/>
      <c r="AS303" s="5"/>
      <c r="AT303" s="5"/>
      <c r="AU303" s="5"/>
      <c r="AV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</row>
    <row r="304" spans="20:223" ht="12.75">
      <c r="T304" s="5"/>
      <c r="U304" s="5"/>
      <c r="V304" s="5"/>
      <c r="W304" s="5"/>
      <c r="X304" s="5"/>
      <c r="AR304" s="5"/>
      <c r="AS304" s="5"/>
      <c r="AT304" s="5"/>
      <c r="AU304" s="5"/>
      <c r="AV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</row>
    <row r="305" spans="20:223" ht="12.75">
      <c r="T305" s="5"/>
      <c r="U305" s="5"/>
      <c r="V305" s="5"/>
      <c r="W305" s="5"/>
      <c r="X305" s="5"/>
      <c r="AR305" s="5"/>
      <c r="AS305" s="5"/>
      <c r="AT305" s="5"/>
      <c r="AU305" s="5"/>
      <c r="AV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</row>
    <row r="306" spans="20:223" ht="12.75">
      <c r="T306" s="5"/>
      <c r="U306" s="5"/>
      <c r="V306" s="5"/>
      <c r="W306" s="5"/>
      <c r="X306" s="5"/>
      <c r="AR306" s="5"/>
      <c r="AS306" s="5"/>
      <c r="AT306" s="5"/>
      <c r="AU306" s="5"/>
      <c r="AV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</row>
    <row r="307" spans="20:223" ht="12.75">
      <c r="T307" s="5"/>
      <c r="U307" s="5"/>
      <c r="V307" s="5"/>
      <c r="W307" s="5"/>
      <c r="X307" s="5"/>
      <c r="AR307" s="5"/>
      <c r="AS307" s="5"/>
      <c r="AT307" s="5"/>
      <c r="AU307" s="5"/>
      <c r="AV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</row>
    <row r="308" spans="20:223" ht="12.75">
      <c r="T308" s="5"/>
      <c r="U308" s="5"/>
      <c r="V308" s="5"/>
      <c r="W308" s="5"/>
      <c r="X308" s="5"/>
      <c r="AR308" s="5"/>
      <c r="AS308" s="5"/>
      <c r="AT308" s="5"/>
      <c r="AU308" s="5"/>
      <c r="AV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</row>
    <row r="309" spans="20:223" ht="12.75">
      <c r="T309" s="5"/>
      <c r="U309" s="5"/>
      <c r="V309" s="5"/>
      <c r="W309" s="5"/>
      <c r="X309" s="5"/>
      <c r="AR309" s="5"/>
      <c r="AS309" s="5"/>
      <c r="AT309" s="5"/>
      <c r="AU309" s="5"/>
      <c r="AV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</row>
    <row r="310" spans="20:223" ht="12.75">
      <c r="T310" s="5"/>
      <c r="U310" s="5"/>
      <c r="V310" s="5"/>
      <c r="W310" s="5"/>
      <c r="X310" s="5"/>
      <c r="AR310" s="5"/>
      <c r="AS310" s="5"/>
      <c r="AT310" s="5"/>
      <c r="AU310" s="5"/>
      <c r="AV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</row>
    <row r="311" spans="20:223" ht="12.75">
      <c r="T311" s="5"/>
      <c r="U311" s="5"/>
      <c r="V311" s="5"/>
      <c r="W311" s="5"/>
      <c r="X311" s="5"/>
      <c r="AR311" s="5"/>
      <c r="AS311" s="5"/>
      <c r="AT311" s="5"/>
      <c r="AU311" s="5"/>
      <c r="AV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</row>
    <row r="312" spans="20:223" ht="12.75">
      <c r="T312" s="5"/>
      <c r="U312" s="5"/>
      <c r="V312" s="5"/>
      <c r="W312" s="5"/>
      <c r="X312" s="5"/>
      <c r="AR312" s="5"/>
      <c r="AS312" s="5"/>
      <c r="AT312" s="5"/>
      <c r="AU312" s="5"/>
      <c r="AV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</row>
    <row r="313" spans="20:223" ht="12.75">
      <c r="T313" s="5"/>
      <c r="U313" s="5"/>
      <c r="V313" s="5"/>
      <c r="W313" s="5"/>
      <c r="X313" s="5"/>
      <c r="AR313" s="5"/>
      <c r="AS313" s="5"/>
      <c r="AT313" s="5"/>
      <c r="AU313" s="5"/>
      <c r="AV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</row>
    <row r="314" spans="20:223" ht="12.75">
      <c r="T314" s="5"/>
      <c r="U314" s="5"/>
      <c r="V314" s="5"/>
      <c r="W314" s="5"/>
      <c r="X314" s="5"/>
      <c r="AR314" s="5"/>
      <c r="AS314" s="5"/>
      <c r="AT314" s="5"/>
      <c r="AU314" s="5"/>
      <c r="AV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</row>
    <row r="315" spans="20:223" ht="12.75">
      <c r="T315" s="5"/>
      <c r="U315" s="5"/>
      <c r="V315" s="5"/>
      <c r="W315" s="5"/>
      <c r="X315" s="5"/>
      <c r="AR315" s="5"/>
      <c r="AS315" s="5"/>
      <c r="AT315" s="5"/>
      <c r="AU315" s="5"/>
      <c r="AV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</row>
    <row r="316" spans="20:223" ht="12.75">
      <c r="T316" s="5"/>
      <c r="U316" s="5"/>
      <c r="V316" s="5"/>
      <c r="W316" s="5"/>
      <c r="X316" s="5"/>
      <c r="AR316" s="5"/>
      <c r="AS316" s="5"/>
      <c r="AT316" s="5"/>
      <c r="AU316" s="5"/>
      <c r="AV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</row>
    <row r="317" spans="20:223" ht="12.75">
      <c r="T317" s="5"/>
      <c r="U317" s="5"/>
      <c r="V317" s="5"/>
      <c r="W317" s="5"/>
      <c r="X317" s="5"/>
      <c r="AR317" s="5"/>
      <c r="AS317" s="5"/>
      <c r="AT317" s="5"/>
      <c r="AU317" s="5"/>
      <c r="AV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</row>
    <row r="318" spans="20:223" ht="12.75">
      <c r="T318" s="5"/>
      <c r="U318" s="5"/>
      <c r="V318" s="5"/>
      <c r="W318" s="5"/>
      <c r="X318" s="5"/>
      <c r="AR318" s="5"/>
      <c r="AS318" s="5"/>
      <c r="AT318" s="5"/>
      <c r="AU318" s="5"/>
      <c r="AV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</row>
    <row r="319" spans="20:223" ht="12.75">
      <c r="T319" s="5"/>
      <c r="U319" s="5"/>
      <c r="V319" s="5"/>
      <c r="W319" s="5"/>
      <c r="X319" s="5"/>
      <c r="AR319" s="5"/>
      <c r="AS319" s="5"/>
      <c r="AT319" s="5"/>
      <c r="AU319" s="5"/>
      <c r="AV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</row>
    <row r="320" spans="20:223" ht="12.75">
      <c r="T320" s="5"/>
      <c r="U320" s="5"/>
      <c r="V320" s="5"/>
      <c r="W320" s="5"/>
      <c r="X320" s="5"/>
      <c r="AR320" s="5"/>
      <c r="AS320" s="5"/>
      <c r="AT320" s="5"/>
      <c r="AU320" s="5"/>
      <c r="AV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</row>
    <row r="321" spans="20:223" ht="12.75">
      <c r="T321" s="5"/>
      <c r="U321" s="5"/>
      <c r="V321" s="5"/>
      <c r="W321" s="5"/>
      <c r="X321" s="5"/>
      <c r="AR321" s="5"/>
      <c r="AS321" s="5"/>
      <c r="AT321" s="5"/>
      <c r="AU321" s="5"/>
      <c r="AV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</row>
    <row r="322" spans="20:223" ht="12.75">
      <c r="T322" s="5"/>
      <c r="U322" s="5"/>
      <c r="V322" s="5"/>
      <c r="W322" s="5"/>
      <c r="X322" s="5"/>
      <c r="AR322" s="5"/>
      <c r="AS322" s="5"/>
      <c r="AT322" s="5"/>
      <c r="AU322" s="5"/>
      <c r="AV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</row>
    <row r="323" spans="20:223" ht="12.75">
      <c r="T323" s="5"/>
      <c r="U323" s="5"/>
      <c r="V323" s="5"/>
      <c r="W323" s="5"/>
      <c r="X323" s="5"/>
      <c r="AR323" s="5"/>
      <c r="AS323" s="5"/>
      <c r="AT323" s="5"/>
      <c r="AU323" s="5"/>
      <c r="AV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</row>
    <row r="324" spans="20:223" ht="12.75">
      <c r="T324" s="5"/>
      <c r="U324" s="5"/>
      <c r="V324" s="5"/>
      <c r="W324" s="5"/>
      <c r="X324" s="5"/>
      <c r="AR324" s="5"/>
      <c r="AS324" s="5"/>
      <c r="AT324" s="5"/>
      <c r="AU324" s="5"/>
      <c r="AV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</row>
    <row r="325" spans="20:223" ht="12.75">
      <c r="T325" s="5"/>
      <c r="U325" s="5"/>
      <c r="V325" s="5"/>
      <c r="W325" s="5"/>
      <c r="X325" s="5"/>
      <c r="AR325" s="5"/>
      <c r="AS325" s="5"/>
      <c r="AT325" s="5"/>
      <c r="AU325" s="5"/>
      <c r="AV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</row>
    <row r="326" spans="20:223" ht="12.75">
      <c r="T326" s="5"/>
      <c r="U326" s="5"/>
      <c r="V326" s="5"/>
      <c r="W326" s="5"/>
      <c r="X326" s="5"/>
      <c r="AR326" s="5"/>
      <c r="AS326" s="5"/>
      <c r="AT326" s="5"/>
      <c r="AU326" s="5"/>
      <c r="AV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</row>
    <row r="327" spans="20:223" ht="12.75">
      <c r="T327" s="5"/>
      <c r="U327" s="5"/>
      <c r="V327" s="5"/>
      <c r="W327" s="5"/>
      <c r="X327" s="5"/>
      <c r="AR327" s="5"/>
      <c r="AS327" s="5"/>
      <c r="AT327" s="5"/>
      <c r="AU327" s="5"/>
      <c r="AV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</row>
    <row r="328" spans="20:223" ht="12.75">
      <c r="T328" s="5"/>
      <c r="U328" s="5"/>
      <c r="V328" s="5"/>
      <c r="W328" s="5"/>
      <c r="X328" s="5"/>
      <c r="AR328" s="5"/>
      <c r="AS328" s="5"/>
      <c r="AT328" s="5"/>
      <c r="AU328" s="5"/>
      <c r="AV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</row>
    <row r="329" spans="20:223" ht="12.75">
      <c r="T329" s="5"/>
      <c r="U329" s="5"/>
      <c r="V329" s="5"/>
      <c r="W329" s="5"/>
      <c r="X329" s="5"/>
      <c r="AR329" s="5"/>
      <c r="AS329" s="5"/>
      <c r="AT329" s="5"/>
      <c r="AU329" s="5"/>
      <c r="AV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</row>
    <row r="330" spans="20:223" ht="12.75">
      <c r="T330" s="5"/>
      <c r="U330" s="5"/>
      <c r="V330" s="5"/>
      <c r="W330" s="5"/>
      <c r="X330" s="5"/>
      <c r="AR330" s="5"/>
      <c r="AS330" s="5"/>
      <c r="AT330" s="5"/>
      <c r="AU330" s="5"/>
      <c r="AV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</row>
    <row r="331" spans="20:223" ht="12.75">
      <c r="T331" s="5"/>
      <c r="U331" s="5"/>
      <c r="V331" s="5"/>
      <c r="W331" s="5"/>
      <c r="X331" s="5"/>
      <c r="AR331" s="5"/>
      <c r="AS331" s="5"/>
      <c r="AT331" s="5"/>
      <c r="AU331" s="5"/>
      <c r="AV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</row>
    <row r="332" spans="20:223" ht="12.75">
      <c r="T332" s="5"/>
      <c r="U332" s="5"/>
      <c r="V332" s="5"/>
      <c r="W332" s="5"/>
      <c r="X332" s="5"/>
      <c r="AR332" s="5"/>
      <c r="AS332" s="5"/>
      <c r="AT332" s="5"/>
      <c r="AU332" s="5"/>
      <c r="AV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</row>
    <row r="333" spans="20:223" ht="12.75">
      <c r="T333" s="5"/>
      <c r="U333" s="5"/>
      <c r="V333" s="5"/>
      <c r="W333" s="5"/>
      <c r="X333" s="5"/>
      <c r="AR333" s="5"/>
      <c r="AS333" s="5"/>
      <c r="AT333" s="5"/>
      <c r="AU333" s="5"/>
      <c r="AV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</row>
    <row r="334" spans="20:223" ht="12.75">
      <c r="T334" s="5"/>
      <c r="U334" s="5"/>
      <c r="V334" s="5"/>
      <c r="W334" s="5"/>
      <c r="X334" s="5"/>
      <c r="AR334" s="5"/>
      <c r="AS334" s="5"/>
      <c r="AT334" s="5"/>
      <c r="AU334" s="5"/>
      <c r="AV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</row>
    <row r="335" spans="20:223" ht="12.75">
      <c r="T335" s="5"/>
      <c r="U335" s="5"/>
      <c r="V335" s="5"/>
      <c r="W335" s="5"/>
      <c r="X335" s="5"/>
      <c r="AR335" s="5"/>
      <c r="AS335" s="5"/>
      <c r="AT335" s="5"/>
      <c r="AU335" s="5"/>
      <c r="AV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</row>
    <row r="336" spans="20:223" ht="12.75">
      <c r="T336" s="5"/>
      <c r="U336" s="5"/>
      <c r="V336" s="5"/>
      <c r="W336" s="5"/>
      <c r="X336" s="5"/>
      <c r="AR336" s="5"/>
      <c r="AS336" s="5"/>
      <c r="AT336" s="5"/>
      <c r="AU336" s="5"/>
      <c r="AV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</row>
    <row r="337" spans="20:223" ht="12.75">
      <c r="T337" s="5"/>
      <c r="U337" s="5"/>
      <c r="V337" s="5"/>
      <c r="W337" s="5"/>
      <c r="X337" s="5"/>
      <c r="AR337" s="5"/>
      <c r="AS337" s="5"/>
      <c r="AT337" s="5"/>
      <c r="AU337" s="5"/>
      <c r="AV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</row>
    <row r="338" spans="20:223" ht="12.75">
      <c r="T338" s="5"/>
      <c r="U338" s="5"/>
      <c r="V338" s="5"/>
      <c r="W338" s="5"/>
      <c r="X338" s="5"/>
      <c r="AR338" s="5"/>
      <c r="AS338" s="5"/>
      <c r="AT338" s="5"/>
      <c r="AU338" s="5"/>
      <c r="AV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</row>
    <row r="339" spans="20:223" ht="12.75">
      <c r="T339" s="5"/>
      <c r="U339" s="5"/>
      <c r="V339" s="5"/>
      <c r="W339" s="5"/>
      <c r="X339" s="5"/>
      <c r="AR339" s="5"/>
      <c r="AS339" s="5"/>
      <c r="AT339" s="5"/>
      <c r="AU339" s="5"/>
      <c r="AV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</row>
    <row r="340" spans="20:223" ht="12.75">
      <c r="T340" s="5"/>
      <c r="U340" s="5"/>
      <c r="V340" s="5"/>
      <c r="W340" s="5"/>
      <c r="X340" s="5"/>
      <c r="AR340" s="5"/>
      <c r="AS340" s="5"/>
      <c r="AT340" s="5"/>
      <c r="AU340" s="5"/>
      <c r="AV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</row>
    <row r="341" spans="20:223" ht="12.75">
      <c r="T341" s="5"/>
      <c r="U341" s="5"/>
      <c r="V341" s="5"/>
      <c r="W341" s="5"/>
      <c r="X341" s="5"/>
      <c r="AR341" s="5"/>
      <c r="AS341" s="5"/>
      <c r="AT341" s="5"/>
      <c r="AU341" s="5"/>
      <c r="AV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</row>
    <row r="342" spans="20:223" ht="12.75">
      <c r="T342" s="5"/>
      <c r="U342" s="5"/>
      <c r="V342" s="5"/>
      <c r="W342" s="5"/>
      <c r="X342" s="5"/>
      <c r="AR342" s="5"/>
      <c r="AS342" s="5"/>
      <c r="AT342" s="5"/>
      <c r="AU342" s="5"/>
      <c r="AV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</row>
    <row r="343" spans="20:223" ht="12.75">
      <c r="T343" s="5"/>
      <c r="U343" s="5"/>
      <c r="V343" s="5"/>
      <c r="W343" s="5"/>
      <c r="X343" s="5"/>
      <c r="AR343" s="5"/>
      <c r="AS343" s="5"/>
      <c r="AT343" s="5"/>
      <c r="AU343" s="5"/>
      <c r="AV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</row>
    <row r="344" spans="20:223" ht="12.75">
      <c r="T344" s="5"/>
      <c r="U344" s="5"/>
      <c r="V344" s="5"/>
      <c r="W344" s="5"/>
      <c r="X344" s="5"/>
      <c r="AR344" s="5"/>
      <c r="AS344" s="5"/>
      <c r="AT344" s="5"/>
      <c r="AU344" s="5"/>
      <c r="AV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</row>
    <row r="345" spans="20:223" ht="12.75">
      <c r="T345" s="5"/>
      <c r="U345" s="5"/>
      <c r="V345" s="5"/>
      <c r="W345" s="5"/>
      <c r="X345" s="5"/>
      <c r="AR345" s="5"/>
      <c r="AS345" s="5"/>
      <c r="AT345" s="5"/>
      <c r="AU345" s="5"/>
      <c r="AV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</row>
    <row r="346" spans="20:223" ht="12.75">
      <c r="T346" s="5"/>
      <c r="U346" s="5"/>
      <c r="V346" s="5"/>
      <c r="W346" s="5"/>
      <c r="X346" s="5"/>
      <c r="AR346" s="5"/>
      <c r="AS346" s="5"/>
      <c r="AT346" s="5"/>
      <c r="AU346" s="5"/>
      <c r="AV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</row>
    <row r="347" spans="20:223" ht="12.75">
      <c r="T347" s="5"/>
      <c r="U347" s="5"/>
      <c r="V347" s="5"/>
      <c r="W347" s="5"/>
      <c r="X347" s="5"/>
      <c r="AR347" s="5"/>
      <c r="AS347" s="5"/>
      <c r="AT347" s="5"/>
      <c r="AU347" s="5"/>
      <c r="AV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</row>
    <row r="348" spans="20:223" ht="12.75">
      <c r="T348" s="5"/>
      <c r="U348" s="5"/>
      <c r="V348" s="5"/>
      <c r="W348" s="5"/>
      <c r="X348" s="5"/>
      <c r="AR348" s="5"/>
      <c r="AS348" s="5"/>
      <c r="AT348" s="5"/>
      <c r="AU348" s="5"/>
      <c r="AV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</row>
    <row r="349" spans="20:223" ht="12.75">
      <c r="T349" s="5"/>
      <c r="U349" s="5"/>
      <c r="V349" s="5"/>
      <c r="W349" s="5"/>
      <c r="X349" s="5"/>
      <c r="AR349" s="5"/>
      <c r="AS349" s="5"/>
      <c r="AT349" s="5"/>
      <c r="AU349" s="5"/>
      <c r="AV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</row>
    <row r="350" spans="20:223" ht="12.75">
      <c r="T350" s="5"/>
      <c r="U350" s="5"/>
      <c r="V350" s="5"/>
      <c r="W350" s="5"/>
      <c r="X350" s="5"/>
      <c r="AR350" s="5"/>
      <c r="AS350" s="5"/>
      <c r="AT350" s="5"/>
      <c r="AU350" s="5"/>
      <c r="AV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</row>
    <row r="351" spans="20:223" ht="12.75">
      <c r="T351" s="5"/>
      <c r="U351" s="5"/>
      <c r="V351" s="5"/>
      <c r="W351" s="5"/>
      <c r="X351" s="5"/>
      <c r="AR351" s="5"/>
      <c r="AS351" s="5"/>
      <c r="AT351" s="5"/>
      <c r="AU351" s="5"/>
      <c r="AV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</row>
    <row r="352" spans="20:223" ht="12.75">
      <c r="T352" s="5"/>
      <c r="U352" s="5"/>
      <c r="V352" s="5"/>
      <c r="W352" s="5"/>
      <c r="X352" s="5"/>
      <c r="AR352" s="5"/>
      <c r="AS352" s="5"/>
      <c r="AT352" s="5"/>
      <c r="AU352" s="5"/>
      <c r="AV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</row>
    <row r="353" spans="20:223" ht="12.75">
      <c r="T353" s="5"/>
      <c r="U353" s="5"/>
      <c r="V353" s="5"/>
      <c r="W353" s="5"/>
      <c r="X353" s="5"/>
      <c r="AR353" s="5"/>
      <c r="AS353" s="5"/>
      <c r="AT353" s="5"/>
      <c r="AU353" s="5"/>
      <c r="AV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</row>
    <row r="354" spans="20:223" ht="12.75">
      <c r="T354" s="5"/>
      <c r="U354" s="5"/>
      <c r="V354" s="5"/>
      <c r="W354" s="5"/>
      <c r="X354" s="5"/>
      <c r="AR354" s="5"/>
      <c r="AS354" s="5"/>
      <c r="AT354" s="5"/>
      <c r="AU354" s="5"/>
      <c r="AV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</row>
    <row r="355" spans="20:223" ht="12.75">
      <c r="T355" s="5"/>
      <c r="U355" s="5"/>
      <c r="V355" s="5"/>
      <c r="W355" s="5"/>
      <c r="X355" s="5"/>
      <c r="AR355" s="5"/>
      <c r="AS355" s="5"/>
      <c r="AT355" s="5"/>
      <c r="AU355" s="5"/>
      <c r="AV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</row>
    <row r="356" spans="20:223" ht="12.75">
      <c r="T356" s="5"/>
      <c r="U356" s="5"/>
      <c r="V356" s="5"/>
      <c r="W356" s="5"/>
      <c r="X356" s="5"/>
      <c r="AR356" s="5"/>
      <c r="AS356" s="5"/>
      <c r="AT356" s="5"/>
      <c r="AU356" s="5"/>
      <c r="AV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</row>
    <row r="357" spans="20:223" ht="12.75">
      <c r="T357" s="5"/>
      <c r="U357" s="5"/>
      <c r="V357" s="5"/>
      <c r="W357" s="5"/>
      <c r="X357" s="5"/>
      <c r="AR357" s="5"/>
      <c r="AS357" s="5"/>
      <c r="AT357" s="5"/>
      <c r="AU357" s="5"/>
      <c r="AV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</row>
    <row r="358" spans="20:223" ht="12.75">
      <c r="T358" s="5"/>
      <c r="U358" s="5"/>
      <c r="V358" s="5"/>
      <c r="W358" s="5"/>
      <c r="X358" s="5"/>
      <c r="AR358" s="5"/>
      <c r="AS358" s="5"/>
      <c r="AT358" s="5"/>
      <c r="AU358" s="5"/>
      <c r="AV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</row>
    <row r="359" spans="20:223" ht="12.75">
      <c r="T359" s="5"/>
      <c r="U359" s="5"/>
      <c r="V359" s="5"/>
      <c r="W359" s="5"/>
      <c r="X359" s="5"/>
      <c r="AR359" s="5"/>
      <c r="AS359" s="5"/>
      <c r="AT359" s="5"/>
      <c r="AU359" s="5"/>
      <c r="AV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</row>
    <row r="360" spans="20:223" ht="12.75">
      <c r="T360" s="5"/>
      <c r="U360" s="5"/>
      <c r="V360" s="5"/>
      <c r="W360" s="5"/>
      <c r="X360" s="5"/>
      <c r="AR360" s="5"/>
      <c r="AS360" s="5"/>
      <c r="AT360" s="5"/>
      <c r="AU360" s="5"/>
      <c r="AV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</row>
    <row r="361" spans="20:223" ht="12.75">
      <c r="T361" s="5"/>
      <c r="U361" s="5"/>
      <c r="V361" s="5"/>
      <c r="W361" s="5"/>
      <c r="X361" s="5"/>
      <c r="AR361" s="5"/>
      <c r="AS361" s="5"/>
      <c r="AT361" s="5"/>
      <c r="AU361" s="5"/>
      <c r="AV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</row>
    <row r="362" spans="20:223" ht="12.75">
      <c r="T362" s="5"/>
      <c r="U362" s="5"/>
      <c r="V362" s="5"/>
      <c r="W362" s="5"/>
      <c r="X362" s="5"/>
      <c r="AR362" s="5"/>
      <c r="AS362" s="5"/>
      <c r="AT362" s="5"/>
      <c r="AU362" s="5"/>
      <c r="AV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</row>
    <row r="363" spans="20:223" ht="12.75">
      <c r="T363" s="5"/>
      <c r="U363" s="5"/>
      <c r="V363" s="5"/>
      <c r="W363" s="5"/>
      <c r="X363" s="5"/>
      <c r="AR363" s="5"/>
      <c r="AS363" s="5"/>
      <c r="AT363" s="5"/>
      <c r="AU363" s="5"/>
      <c r="AV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</row>
    <row r="364" spans="20:223" ht="12.75">
      <c r="T364" s="5"/>
      <c r="U364" s="5"/>
      <c r="V364" s="5"/>
      <c r="W364" s="5"/>
      <c r="X364" s="5"/>
      <c r="AR364" s="5"/>
      <c r="AS364" s="5"/>
      <c r="AT364" s="5"/>
      <c r="AU364" s="5"/>
      <c r="AV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</row>
    <row r="365" spans="20:223" ht="12.75">
      <c r="T365" s="5"/>
      <c r="U365" s="5"/>
      <c r="V365" s="5"/>
      <c r="W365" s="5"/>
      <c r="X365" s="5"/>
      <c r="AR365" s="5"/>
      <c r="AS365" s="5"/>
      <c r="AT365" s="5"/>
      <c r="AU365" s="5"/>
      <c r="AV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</row>
    <row r="366" spans="20:223" ht="12.75">
      <c r="T366" s="5"/>
      <c r="U366" s="5"/>
      <c r="V366" s="5"/>
      <c r="W366" s="5"/>
      <c r="X366" s="5"/>
      <c r="AR366" s="5"/>
      <c r="AS366" s="5"/>
      <c r="AT366" s="5"/>
      <c r="AU366" s="5"/>
      <c r="AV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</row>
    <row r="367" spans="20:223" ht="12.75">
      <c r="T367" s="5"/>
      <c r="U367" s="5"/>
      <c r="V367" s="5"/>
      <c r="W367" s="5"/>
      <c r="X367" s="5"/>
      <c r="AR367" s="5"/>
      <c r="AS367" s="5"/>
      <c r="AT367" s="5"/>
      <c r="AU367" s="5"/>
      <c r="AV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</row>
    <row r="368" spans="20:223" ht="12.75">
      <c r="T368" s="5"/>
      <c r="U368" s="5"/>
      <c r="V368" s="5"/>
      <c r="W368" s="5"/>
      <c r="X368" s="5"/>
      <c r="AR368" s="5"/>
      <c r="AS368" s="5"/>
      <c r="AT368" s="5"/>
      <c r="AU368" s="5"/>
      <c r="AV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</row>
    <row r="369" spans="20:223" ht="12.75">
      <c r="T369" s="5"/>
      <c r="U369" s="5"/>
      <c r="V369" s="5"/>
      <c r="W369" s="5"/>
      <c r="X369" s="5"/>
      <c r="AR369" s="5"/>
      <c r="AS369" s="5"/>
      <c r="AT369" s="5"/>
      <c r="AU369" s="5"/>
      <c r="AV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</row>
    <row r="370" spans="20:223" ht="12.75">
      <c r="T370" s="5"/>
      <c r="U370" s="5"/>
      <c r="V370" s="5"/>
      <c r="W370" s="5"/>
      <c r="X370" s="5"/>
      <c r="AR370" s="5"/>
      <c r="AS370" s="5"/>
      <c r="AT370" s="5"/>
      <c r="AU370" s="5"/>
      <c r="AV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</row>
    <row r="371" spans="20:223" ht="12.75">
      <c r="T371" s="5"/>
      <c r="U371" s="5"/>
      <c r="V371" s="5"/>
      <c r="W371" s="5"/>
      <c r="X371" s="5"/>
      <c r="AR371" s="5"/>
      <c r="AS371" s="5"/>
      <c r="AT371" s="5"/>
      <c r="AU371" s="5"/>
      <c r="AV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</row>
    <row r="372" spans="20:223" ht="12.75">
      <c r="T372" s="5"/>
      <c r="U372" s="5"/>
      <c r="V372" s="5"/>
      <c r="W372" s="5"/>
      <c r="X372" s="5"/>
      <c r="AR372" s="5"/>
      <c r="AS372" s="5"/>
      <c r="AT372" s="5"/>
      <c r="AU372" s="5"/>
      <c r="AV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</row>
    <row r="373" spans="20:223" ht="12.75">
      <c r="T373" s="5"/>
      <c r="U373" s="5"/>
      <c r="V373" s="5"/>
      <c r="W373" s="5"/>
      <c r="X373" s="5"/>
      <c r="AR373" s="5"/>
      <c r="AS373" s="5"/>
      <c r="AT373" s="5"/>
      <c r="AU373" s="5"/>
      <c r="AV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</row>
    <row r="374" spans="20:223" ht="12.75">
      <c r="T374" s="5"/>
      <c r="U374" s="5"/>
      <c r="V374" s="5"/>
      <c r="W374" s="5"/>
      <c r="X374" s="5"/>
      <c r="AR374" s="5"/>
      <c r="AS374" s="5"/>
      <c r="AT374" s="5"/>
      <c r="AU374" s="5"/>
      <c r="AV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</row>
    <row r="375" spans="20:223" ht="12.75">
      <c r="T375" s="5"/>
      <c r="U375" s="5"/>
      <c r="V375" s="5"/>
      <c r="W375" s="5"/>
      <c r="X375" s="5"/>
      <c r="AR375" s="5"/>
      <c r="AS375" s="5"/>
      <c r="AT375" s="5"/>
      <c r="AU375" s="5"/>
      <c r="AV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</row>
    <row r="376" spans="20:223" ht="12.75">
      <c r="T376" s="5"/>
      <c r="U376" s="5"/>
      <c r="V376" s="5"/>
      <c r="W376" s="5"/>
      <c r="X376" s="5"/>
      <c r="AR376" s="5"/>
      <c r="AS376" s="5"/>
      <c r="AT376" s="5"/>
      <c r="AU376" s="5"/>
      <c r="AV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</row>
    <row r="377" spans="20:223" ht="12.75">
      <c r="T377" s="5"/>
      <c r="U377" s="5"/>
      <c r="V377" s="5"/>
      <c r="W377" s="5"/>
      <c r="X377" s="5"/>
      <c r="AR377" s="5"/>
      <c r="AS377" s="5"/>
      <c r="AT377" s="5"/>
      <c r="AU377" s="5"/>
      <c r="AV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</row>
    <row r="378" spans="20:223" ht="12.75">
      <c r="T378" s="5"/>
      <c r="U378" s="5"/>
      <c r="V378" s="5"/>
      <c r="W378" s="5"/>
      <c r="X378" s="5"/>
      <c r="AR378" s="5"/>
      <c r="AS378" s="5"/>
      <c r="AT378" s="5"/>
      <c r="AU378" s="5"/>
      <c r="AV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</row>
    <row r="379" spans="20:223" ht="12.75">
      <c r="T379" s="5"/>
      <c r="U379" s="5"/>
      <c r="V379" s="5"/>
      <c r="W379" s="5"/>
      <c r="X379" s="5"/>
      <c r="AR379" s="5"/>
      <c r="AS379" s="5"/>
      <c r="AT379" s="5"/>
      <c r="AU379" s="5"/>
      <c r="AV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</row>
    <row r="380" spans="20:223" ht="12.75">
      <c r="T380" s="5"/>
      <c r="U380" s="5"/>
      <c r="V380" s="5"/>
      <c r="W380" s="5"/>
      <c r="X380" s="5"/>
      <c r="AR380" s="5"/>
      <c r="AS380" s="5"/>
      <c r="AT380" s="5"/>
      <c r="AU380" s="5"/>
      <c r="AV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</row>
    <row r="381" spans="20:223" ht="12.75">
      <c r="T381" s="5"/>
      <c r="U381" s="5"/>
      <c r="V381" s="5"/>
      <c r="W381" s="5"/>
      <c r="X381" s="5"/>
      <c r="AR381" s="5"/>
      <c r="AS381" s="5"/>
      <c r="AT381" s="5"/>
      <c r="AU381" s="5"/>
      <c r="AV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</row>
    <row r="382" spans="20:223" ht="12.75">
      <c r="T382" s="5"/>
      <c r="U382" s="5"/>
      <c r="V382" s="5"/>
      <c r="W382" s="5"/>
      <c r="X382" s="5"/>
      <c r="AR382" s="5"/>
      <c r="AS382" s="5"/>
      <c r="AT382" s="5"/>
      <c r="AU382" s="5"/>
      <c r="AV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</row>
    <row r="383" spans="20:223" ht="12.75">
      <c r="T383" s="5"/>
      <c r="U383" s="5"/>
      <c r="V383" s="5"/>
      <c r="W383" s="5"/>
      <c r="X383" s="5"/>
      <c r="AR383" s="5"/>
      <c r="AS383" s="5"/>
      <c r="AT383" s="5"/>
      <c r="AU383" s="5"/>
      <c r="AV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</row>
    <row r="384" spans="20:223" ht="12.75">
      <c r="T384" s="5"/>
      <c r="U384" s="5"/>
      <c r="V384" s="5"/>
      <c r="W384" s="5"/>
      <c r="X384" s="5"/>
      <c r="AR384" s="5"/>
      <c r="AS384" s="5"/>
      <c r="AT384" s="5"/>
      <c r="AU384" s="5"/>
      <c r="AV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</row>
    <row r="385" spans="20:223" ht="12.75">
      <c r="T385" s="5"/>
      <c r="U385" s="5"/>
      <c r="V385" s="5"/>
      <c r="W385" s="5"/>
      <c r="X385" s="5"/>
      <c r="AR385" s="5"/>
      <c r="AS385" s="5"/>
      <c r="AT385" s="5"/>
      <c r="AU385" s="5"/>
      <c r="AV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</row>
    <row r="386" spans="20:223" ht="12.75">
      <c r="T386" s="5"/>
      <c r="U386" s="5"/>
      <c r="V386" s="5"/>
      <c r="W386" s="5"/>
      <c r="X386" s="5"/>
      <c r="AR386" s="5"/>
      <c r="AS386" s="5"/>
      <c r="AT386" s="5"/>
      <c r="AU386" s="5"/>
      <c r="AV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</row>
    <row r="387" spans="20:223" ht="12.75">
      <c r="T387" s="5"/>
      <c r="U387" s="5"/>
      <c r="V387" s="5"/>
      <c r="W387" s="5"/>
      <c r="X387" s="5"/>
      <c r="AR387" s="5"/>
      <c r="AS387" s="5"/>
      <c r="AT387" s="5"/>
      <c r="AU387" s="5"/>
      <c r="AV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</row>
    <row r="388" spans="20:223" ht="12.75">
      <c r="T388" s="5"/>
      <c r="U388" s="5"/>
      <c r="V388" s="5"/>
      <c r="W388" s="5"/>
      <c r="X388" s="5"/>
      <c r="AR388" s="5"/>
      <c r="AS388" s="5"/>
      <c r="AT388" s="5"/>
      <c r="AU388" s="5"/>
      <c r="AV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</row>
    <row r="389" spans="20:223" ht="12.75">
      <c r="T389" s="5"/>
      <c r="U389" s="5"/>
      <c r="V389" s="5"/>
      <c r="W389" s="5"/>
      <c r="X389" s="5"/>
      <c r="AR389" s="5"/>
      <c r="AS389" s="5"/>
      <c r="AT389" s="5"/>
      <c r="AU389" s="5"/>
      <c r="AV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</row>
    <row r="390" spans="20:223" ht="12.75">
      <c r="T390" s="5"/>
      <c r="U390" s="5"/>
      <c r="V390" s="5"/>
      <c r="W390" s="5"/>
      <c r="X390" s="5"/>
      <c r="AR390" s="5"/>
      <c r="AS390" s="5"/>
      <c r="AT390" s="5"/>
      <c r="AU390" s="5"/>
      <c r="AV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</row>
    <row r="391" spans="20:223" ht="12.75">
      <c r="T391" s="5"/>
      <c r="U391" s="5"/>
      <c r="V391" s="5"/>
      <c r="W391" s="5"/>
      <c r="X391" s="5"/>
      <c r="AR391" s="5"/>
      <c r="AS391" s="5"/>
      <c r="AT391" s="5"/>
      <c r="AU391" s="5"/>
      <c r="AV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</row>
    <row r="392" spans="20:223" ht="12.75">
      <c r="T392" s="5"/>
      <c r="U392" s="5"/>
      <c r="V392" s="5"/>
      <c r="W392" s="5"/>
      <c r="X392" s="5"/>
      <c r="AR392" s="5"/>
      <c r="AS392" s="5"/>
      <c r="AT392" s="5"/>
      <c r="AU392" s="5"/>
      <c r="AV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</row>
    <row r="393" spans="20:223" ht="12.75">
      <c r="T393" s="5"/>
      <c r="U393" s="5"/>
      <c r="V393" s="5"/>
      <c r="W393" s="5"/>
      <c r="X393" s="5"/>
      <c r="AR393" s="5"/>
      <c r="AS393" s="5"/>
      <c r="AT393" s="5"/>
      <c r="AU393" s="5"/>
      <c r="AV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</row>
    <row r="394" spans="20:223" ht="12.75">
      <c r="T394" s="5"/>
      <c r="U394" s="5"/>
      <c r="V394" s="5"/>
      <c r="W394" s="5"/>
      <c r="X394" s="5"/>
      <c r="AR394" s="5"/>
      <c r="AS394" s="5"/>
      <c r="AT394" s="5"/>
      <c r="AU394" s="5"/>
      <c r="AV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</row>
    <row r="395" spans="20:223" ht="12.75">
      <c r="T395" s="5"/>
      <c r="U395" s="5"/>
      <c r="V395" s="5"/>
      <c r="W395" s="5"/>
      <c r="X395" s="5"/>
      <c r="AR395" s="5"/>
      <c r="AS395" s="5"/>
      <c r="AT395" s="5"/>
      <c r="AU395" s="5"/>
      <c r="AV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</row>
    <row r="396" spans="20:223" ht="12.75">
      <c r="T396" s="5"/>
      <c r="U396" s="5"/>
      <c r="V396" s="5"/>
      <c r="W396" s="5"/>
      <c r="X396" s="5"/>
      <c r="AR396" s="5"/>
      <c r="AS396" s="5"/>
      <c r="AT396" s="5"/>
      <c r="AU396" s="5"/>
      <c r="AV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</row>
    <row r="397" spans="20:223" ht="12.75">
      <c r="T397" s="5"/>
      <c r="U397" s="5"/>
      <c r="V397" s="5"/>
      <c r="W397" s="5"/>
      <c r="X397" s="5"/>
      <c r="AR397" s="5"/>
      <c r="AS397" s="5"/>
      <c r="AT397" s="5"/>
      <c r="AU397" s="5"/>
      <c r="AV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</row>
    <row r="398" spans="20:223" ht="12.75">
      <c r="T398" s="5"/>
      <c r="U398" s="5"/>
      <c r="V398" s="5"/>
      <c r="W398" s="5"/>
      <c r="X398" s="5"/>
      <c r="AR398" s="5"/>
      <c r="AS398" s="5"/>
      <c r="AT398" s="5"/>
      <c r="AU398" s="5"/>
      <c r="AV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</row>
    <row r="399" spans="20:223" ht="12.75">
      <c r="T399" s="5"/>
      <c r="U399" s="5"/>
      <c r="V399" s="5"/>
      <c r="W399" s="5"/>
      <c r="X399" s="5"/>
      <c r="AR399" s="5"/>
      <c r="AS399" s="5"/>
      <c r="AT399" s="5"/>
      <c r="AU399" s="5"/>
      <c r="AV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</row>
    <row r="400" spans="20:223" ht="12.75">
      <c r="T400" s="5"/>
      <c r="U400" s="5"/>
      <c r="V400" s="5"/>
      <c r="W400" s="5"/>
      <c r="X400" s="5"/>
      <c r="AR400" s="5"/>
      <c r="AS400" s="5"/>
      <c r="AT400" s="5"/>
      <c r="AU400" s="5"/>
      <c r="AV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</row>
    <row r="401" spans="20:223" ht="12.75">
      <c r="T401" s="5"/>
      <c r="U401" s="5"/>
      <c r="V401" s="5"/>
      <c r="W401" s="5"/>
      <c r="X401" s="5"/>
      <c r="AR401" s="5"/>
      <c r="AS401" s="5"/>
      <c r="AT401" s="5"/>
      <c r="AU401" s="5"/>
      <c r="AV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</row>
    <row r="402" spans="20:223" ht="12.75">
      <c r="T402" s="5"/>
      <c r="U402" s="5"/>
      <c r="V402" s="5"/>
      <c r="W402" s="5"/>
      <c r="X402" s="5"/>
      <c r="AR402" s="5"/>
      <c r="AS402" s="5"/>
      <c r="AT402" s="5"/>
      <c r="AU402" s="5"/>
      <c r="AV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</row>
    <row r="403" spans="20:223" ht="12.75">
      <c r="T403" s="5"/>
      <c r="U403" s="5"/>
      <c r="V403" s="5"/>
      <c r="W403" s="5"/>
      <c r="X403" s="5"/>
      <c r="AR403" s="5"/>
      <c r="AS403" s="5"/>
      <c r="AT403" s="5"/>
      <c r="AU403" s="5"/>
      <c r="AV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</row>
    <row r="404" spans="20:223" ht="12.75">
      <c r="T404" s="5"/>
      <c r="U404" s="5"/>
      <c r="V404" s="5"/>
      <c r="W404" s="5"/>
      <c r="X404" s="5"/>
      <c r="AR404" s="5"/>
      <c r="AS404" s="5"/>
      <c r="AT404" s="5"/>
      <c r="AU404" s="5"/>
      <c r="AV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</row>
    <row r="405" spans="20:223" ht="12.75">
      <c r="T405" s="5"/>
      <c r="U405" s="5"/>
      <c r="V405" s="5"/>
      <c r="W405" s="5"/>
      <c r="X405" s="5"/>
      <c r="AR405" s="5"/>
      <c r="AS405" s="5"/>
      <c r="AT405" s="5"/>
      <c r="AU405" s="5"/>
      <c r="AV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</row>
    <row r="406" spans="20:223" ht="12.75">
      <c r="T406" s="5"/>
      <c r="U406" s="5"/>
      <c r="V406" s="5"/>
      <c r="W406" s="5"/>
      <c r="X406" s="5"/>
      <c r="AR406" s="5"/>
      <c r="AS406" s="5"/>
      <c r="AT406" s="5"/>
      <c r="AU406" s="5"/>
      <c r="AV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</row>
    <row r="407" spans="20:223" ht="12.75">
      <c r="T407" s="5"/>
      <c r="U407" s="5"/>
      <c r="V407" s="5"/>
      <c r="W407" s="5"/>
      <c r="X407" s="5"/>
      <c r="AR407" s="5"/>
      <c r="AS407" s="5"/>
      <c r="AT407" s="5"/>
      <c r="AU407" s="5"/>
      <c r="AV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</row>
    <row r="408" spans="20:223" ht="12.75">
      <c r="T408" s="5"/>
      <c r="U408" s="5"/>
      <c r="V408" s="5"/>
      <c r="W408" s="5"/>
      <c r="X408" s="5"/>
      <c r="AR408" s="5"/>
      <c r="AS408" s="5"/>
      <c r="AT408" s="5"/>
      <c r="AU408" s="5"/>
      <c r="AV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</row>
    <row r="409" spans="20:223" ht="12.75">
      <c r="T409" s="5"/>
      <c r="U409" s="5"/>
      <c r="V409" s="5"/>
      <c r="W409" s="5"/>
      <c r="X409" s="5"/>
      <c r="AR409" s="5"/>
      <c r="AS409" s="5"/>
      <c r="AT409" s="5"/>
      <c r="AU409" s="5"/>
      <c r="AV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</row>
    <row r="410" spans="20:223" ht="12.75">
      <c r="T410" s="5"/>
      <c r="U410" s="5"/>
      <c r="V410" s="5"/>
      <c r="W410" s="5"/>
      <c r="X410" s="5"/>
      <c r="AR410" s="5"/>
      <c r="AS410" s="5"/>
      <c r="AT410" s="5"/>
      <c r="AU410" s="5"/>
      <c r="AV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</row>
    <row r="411" spans="20:223" ht="12.75">
      <c r="T411" s="5"/>
      <c r="U411" s="5"/>
      <c r="V411" s="5"/>
      <c r="W411" s="5"/>
      <c r="X411" s="5"/>
      <c r="AR411" s="5"/>
      <c r="AS411" s="5"/>
      <c r="AT411" s="5"/>
      <c r="AU411" s="5"/>
      <c r="AV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</row>
    <row r="412" spans="20:223" ht="12.75">
      <c r="T412" s="5"/>
      <c r="U412" s="5"/>
      <c r="V412" s="5"/>
      <c r="W412" s="5"/>
      <c r="X412" s="5"/>
      <c r="AR412" s="5"/>
      <c r="AS412" s="5"/>
      <c r="AT412" s="5"/>
      <c r="AU412" s="5"/>
      <c r="AV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</row>
    <row r="413" spans="20:223" ht="12.75">
      <c r="T413" s="5"/>
      <c r="U413" s="5"/>
      <c r="V413" s="5"/>
      <c r="W413" s="5"/>
      <c r="X413" s="5"/>
      <c r="AR413" s="5"/>
      <c r="AS413" s="5"/>
      <c r="AT413" s="5"/>
      <c r="AU413" s="5"/>
      <c r="AV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</row>
    <row r="414" spans="20:223" ht="12.75">
      <c r="T414" s="5"/>
      <c r="U414" s="5"/>
      <c r="V414" s="5"/>
      <c r="W414" s="5"/>
      <c r="X414" s="5"/>
      <c r="AR414" s="5"/>
      <c r="AS414" s="5"/>
      <c r="AT414" s="5"/>
      <c r="AU414" s="5"/>
      <c r="AV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</row>
    <row r="415" spans="20:223" ht="12.75">
      <c r="T415" s="5"/>
      <c r="U415" s="5"/>
      <c r="V415" s="5"/>
      <c r="W415" s="5"/>
      <c r="X415" s="5"/>
      <c r="AR415" s="5"/>
      <c r="AS415" s="5"/>
      <c r="AT415" s="5"/>
      <c r="AU415" s="5"/>
      <c r="AV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</row>
    <row r="416" spans="20:223" ht="12.75">
      <c r="T416" s="5"/>
      <c r="U416" s="5"/>
      <c r="V416" s="5"/>
      <c r="W416" s="5"/>
      <c r="X416" s="5"/>
      <c r="AR416" s="5"/>
      <c r="AS416" s="5"/>
      <c r="AT416" s="5"/>
      <c r="AU416" s="5"/>
      <c r="AV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</row>
    <row r="417" spans="20:223" ht="12.75">
      <c r="T417" s="5"/>
      <c r="U417" s="5"/>
      <c r="V417" s="5"/>
      <c r="W417" s="5"/>
      <c r="X417" s="5"/>
      <c r="AR417" s="5"/>
      <c r="AS417" s="5"/>
      <c r="AT417" s="5"/>
      <c r="AU417" s="5"/>
      <c r="AV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</row>
    <row r="418" spans="20:223" ht="12.75">
      <c r="T418" s="5"/>
      <c r="U418" s="5"/>
      <c r="V418" s="5"/>
      <c r="W418" s="5"/>
      <c r="X418" s="5"/>
      <c r="AR418" s="5"/>
      <c r="AS418" s="5"/>
      <c r="AT418" s="5"/>
      <c r="AU418" s="5"/>
      <c r="AV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</row>
    <row r="419" spans="20:223" ht="12.75">
      <c r="T419" s="5"/>
      <c r="U419" s="5"/>
      <c r="V419" s="5"/>
      <c r="W419" s="5"/>
      <c r="X419" s="5"/>
      <c r="AR419" s="5"/>
      <c r="AS419" s="5"/>
      <c r="AT419" s="5"/>
      <c r="AU419" s="5"/>
      <c r="AV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</row>
    <row r="420" spans="20:223" ht="12.75">
      <c r="T420" s="5"/>
      <c r="U420" s="5"/>
      <c r="V420" s="5"/>
      <c r="W420" s="5"/>
      <c r="X420" s="5"/>
      <c r="AR420" s="5"/>
      <c r="AS420" s="5"/>
      <c r="AT420" s="5"/>
      <c r="AU420" s="5"/>
      <c r="AV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</row>
    <row r="421" spans="20:223" ht="12.75">
      <c r="T421" s="5"/>
      <c r="U421" s="5"/>
      <c r="V421" s="5"/>
      <c r="W421" s="5"/>
      <c r="X421" s="5"/>
      <c r="AR421" s="5"/>
      <c r="AS421" s="5"/>
      <c r="AT421" s="5"/>
      <c r="AU421" s="5"/>
      <c r="AV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</row>
    <row r="422" spans="20:223" ht="12.75">
      <c r="T422" s="5"/>
      <c r="U422" s="5"/>
      <c r="V422" s="5"/>
      <c r="W422" s="5"/>
      <c r="X422" s="5"/>
      <c r="AR422" s="5"/>
      <c r="AS422" s="5"/>
      <c r="AT422" s="5"/>
      <c r="AU422" s="5"/>
      <c r="AV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</row>
    <row r="423" spans="20:223" ht="12.75">
      <c r="T423" s="5"/>
      <c r="U423" s="5"/>
      <c r="V423" s="5"/>
      <c r="W423" s="5"/>
      <c r="X423" s="5"/>
      <c r="AR423" s="5"/>
      <c r="AS423" s="5"/>
      <c r="AT423" s="5"/>
      <c r="AU423" s="5"/>
      <c r="AV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</row>
    <row r="424" spans="20:223" ht="12.75">
      <c r="T424" s="5"/>
      <c r="U424" s="5"/>
      <c r="V424" s="5"/>
      <c r="W424" s="5"/>
      <c r="X424" s="5"/>
      <c r="AR424" s="5"/>
      <c r="AS424" s="5"/>
      <c r="AT424" s="5"/>
      <c r="AU424" s="5"/>
      <c r="AV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</row>
    <row r="425" spans="20:223" ht="12.75">
      <c r="T425" s="5"/>
      <c r="U425" s="5"/>
      <c r="V425" s="5"/>
      <c r="W425" s="5"/>
      <c r="X425" s="5"/>
      <c r="AR425" s="5"/>
      <c r="AS425" s="5"/>
      <c r="AT425" s="5"/>
      <c r="AU425" s="5"/>
      <c r="AV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</row>
    <row r="426" spans="20:223" ht="12.75">
      <c r="T426" s="5"/>
      <c r="U426" s="5"/>
      <c r="V426" s="5"/>
      <c r="W426" s="5"/>
      <c r="X426" s="5"/>
      <c r="AR426" s="5"/>
      <c r="AS426" s="5"/>
      <c r="AT426" s="5"/>
      <c r="AU426" s="5"/>
      <c r="AV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</row>
    <row r="427" spans="20:223" ht="12.75">
      <c r="T427" s="5"/>
      <c r="U427" s="5"/>
      <c r="V427" s="5"/>
      <c r="W427" s="5"/>
      <c r="X427" s="5"/>
      <c r="AR427" s="5"/>
      <c r="AS427" s="5"/>
      <c r="AT427" s="5"/>
      <c r="AU427" s="5"/>
      <c r="AV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</row>
    <row r="428" spans="20:223" ht="12.75">
      <c r="T428" s="5"/>
      <c r="U428" s="5"/>
      <c r="V428" s="5"/>
      <c r="W428" s="5"/>
      <c r="X428" s="5"/>
      <c r="AR428" s="5"/>
      <c r="AS428" s="5"/>
      <c r="AT428" s="5"/>
      <c r="AU428" s="5"/>
      <c r="AV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</row>
    <row r="429" spans="20:223" ht="12.75">
      <c r="T429" s="5"/>
      <c r="U429" s="5"/>
      <c r="V429" s="5"/>
      <c r="W429" s="5"/>
      <c r="X429" s="5"/>
      <c r="AR429" s="5"/>
      <c r="AS429" s="5"/>
      <c r="AT429" s="5"/>
      <c r="AU429" s="5"/>
      <c r="AV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</row>
    <row r="430" spans="20:223" ht="12.75">
      <c r="T430" s="5"/>
      <c r="U430" s="5"/>
      <c r="V430" s="5"/>
      <c r="W430" s="5"/>
      <c r="X430" s="5"/>
      <c r="AR430" s="5"/>
      <c r="AS430" s="5"/>
      <c r="AT430" s="5"/>
      <c r="AU430" s="5"/>
      <c r="AV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</row>
    <row r="431" spans="20:223" ht="12.75">
      <c r="T431" s="5"/>
      <c r="U431" s="5"/>
      <c r="V431" s="5"/>
      <c r="W431" s="5"/>
      <c r="X431" s="5"/>
      <c r="AR431" s="5"/>
      <c r="AS431" s="5"/>
      <c r="AT431" s="5"/>
      <c r="AU431" s="5"/>
      <c r="AV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</row>
    <row r="432" spans="20:223" ht="12.75">
      <c r="T432" s="5"/>
      <c r="U432" s="5"/>
      <c r="V432" s="5"/>
      <c r="W432" s="5"/>
      <c r="X432" s="5"/>
      <c r="AR432" s="5"/>
      <c r="AS432" s="5"/>
      <c r="AT432" s="5"/>
      <c r="AU432" s="5"/>
      <c r="AV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</row>
    <row r="433" spans="20:223" ht="12.75">
      <c r="T433" s="5"/>
      <c r="U433" s="5"/>
      <c r="V433" s="5"/>
      <c r="W433" s="5"/>
      <c r="X433" s="5"/>
      <c r="AR433" s="5"/>
      <c r="AS433" s="5"/>
      <c r="AT433" s="5"/>
      <c r="AU433" s="5"/>
      <c r="AV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</row>
    <row r="434" spans="20:223" ht="12.75">
      <c r="T434" s="5"/>
      <c r="U434" s="5"/>
      <c r="V434" s="5"/>
      <c r="W434" s="5"/>
      <c r="X434" s="5"/>
      <c r="AR434" s="5"/>
      <c r="AS434" s="5"/>
      <c r="AT434" s="5"/>
      <c r="AU434" s="5"/>
      <c r="AV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</row>
    <row r="435" spans="20:223" ht="12.75">
      <c r="T435" s="5"/>
      <c r="U435" s="5"/>
      <c r="V435" s="5"/>
      <c r="W435" s="5"/>
      <c r="X435" s="5"/>
      <c r="AR435" s="5"/>
      <c r="AS435" s="5"/>
      <c r="AT435" s="5"/>
      <c r="AU435" s="5"/>
      <c r="AV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</row>
    <row r="436" spans="20:223" ht="12.75">
      <c r="T436" s="5"/>
      <c r="U436" s="5"/>
      <c r="V436" s="5"/>
      <c r="W436" s="5"/>
      <c r="X436" s="5"/>
      <c r="AR436" s="5"/>
      <c r="AS436" s="5"/>
      <c r="AT436" s="5"/>
      <c r="AU436" s="5"/>
      <c r="AV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</row>
    <row r="437" spans="20:223" ht="12.75">
      <c r="T437" s="5"/>
      <c r="U437" s="5"/>
      <c r="V437" s="5"/>
      <c r="W437" s="5"/>
      <c r="X437" s="5"/>
      <c r="AR437" s="5"/>
      <c r="AS437" s="5"/>
      <c r="AT437" s="5"/>
      <c r="AU437" s="5"/>
      <c r="AV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</row>
    <row r="438" spans="20:223" ht="12.75">
      <c r="T438" s="5"/>
      <c r="U438" s="5"/>
      <c r="V438" s="5"/>
      <c r="W438" s="5"/>
      <c r="X438" s="5"/>
      <c r="AR438" s="5"/>
      <c r="AS438" s="5"/>
      <c r="AT438" s="5"/>
      <c r="AU438" s="5"/>
      <c r="AV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</row>
    <row r="439" spans="20:223" ht="12.75">
      <c r="T439" s="5"/>
      <c r="U439" s="5"/>
      <c r="V439" s="5"/>
      <c r="W439" s="5"/>
      <c r="X439" s="5"/>
      <c r="AR439" s="5"/>
      <c r="AS439" s="5"/>
      <c r="AT439" s="5"/>
      <c r="AU439" s="5"/>
      <c r="AV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</row>
    <row r="440" spans="20:223" ht="12.75">
      <c r="T440" s="5"/>
      <c r="U440" s="5"/>
      <c r="V440" s="5"/>
      <c r="W440" s="5"/>
      <c r="X440" s="5"/>
      <c r="AR440" s="5"/>
      <c r="AS440" s="5"/>
      <c r="AT440" s="5"/>
      <c r="AU440" s="5"/>
      <c r="AV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</row>
    <row r="441" spans="20:223" ht="12.75">
      <c r="T441" s="5"/>
      <c r="U441" s="5"/>
      <c r="V441" s="5"/>
      <c r="W441" s="5"/>
      <c r="X441" s="5"/>
      <c r="AR441" s="5"/>
      <c r="AS441" s="5"/>
      <c r="AT441" s="5"/>
      <c r="AU441" s="5"/>
      <c r="AV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</row>
    <row r="442" spans="20:223" ht="12.75">
      <c r="T442" s="5"/>
      <c r="U442" s="5"/>
      <c r="V442" s="5"/>
      <c r="W442" s="5"/>
      <c r="X442" s="5"/>
      <c r="AR442" s="5"/>
      <c r="AS442" s="5"/>
      <c r="AT442" s="5"/>
      <c r="AU442" s="5"/>
      <c r="AV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</row>
    <row r="443" spans="20:223" ht="12.75">
      <c r="T443" s="5"/>
      <c r="U443" s="5"/>
      <c r="V443" s="5"/>
      <c r="W443" s="5"/>
      <c r="X443" s="5"/>
      <c r="AR443" s="5"/>
      <c r="AS443" s="5"/>
      <c r="AT443" s="5"/>
      <c r="AU443" s="5"/>
      <c r="AV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</row>
    <row r="444" spans="20:223" ht="12.75">
      <c r="T444" s="5"/>
      <c r="U444" s="5"/>
      <c r="V444" s="5"/>
      <c r="W444" s="5"/>
      <c r="X444" s="5"/>
      <c r="AR444" s="5"/>
      <c r="AS444" s="5"/>
      <c r="AT444" s="5"/>
      <c r="AU444" s="5"/>
      <c r="AV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</row>
    <row r="445" spans="20:223" ht="12.75">
      <c r="T445" s="5"/>
      <c r="U445" s="5"/>
      <c r="V445" s="5"/>
      <c r="W445" s="5"/>
      <c r="X445" s="5"/>
      <c r="AR445" s="5"/>
      <c r="AS445" s="5"/>
      <c r="AT445" s="5"/>
      <c r="AU445" s="5"/>
      <c r="AV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</row>
    <row r="446" spans="20:223" ht="12.75">
      <c r="T446" s="5"/>
      <c r="U446" s="5"/>
      <c r="V446" s="5"/>
      <c r="W446" s="5"/>
      <c r="X446" s="5"/>
      <c r="AR446" s="5"/>
      <c r="AS446" s="5"/>
      <c r="AT446" s="5"/>
      <c r="AU446" s="5"/>
      <c r="AV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</row>
    <row r="447" spans="20:223" ht="12.75">
      <c r="T447" s="5"/>
      <c r="U447" s="5"/>
      <c r="V447" s="5"/>
      <c r="W447" s="5"/>
      <c r="X447" s="5"/>
      <c r="AR447" s="5"/>
      <c r="AS447" s="5"/>
      <c r="AT447" s="5"/>
      <c r="AU447" s="5"/>
      <c r="AV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</row>
    <row r="448" spans="20:223" ht="12.75">
      <c r="T448" s="5"/>
      <c r="U448" s="5"/>
      <c r="V448" s="5"/>
      <c r="W448" s="5"/>
      <c r="X448" s="5"/>
      <c r="AR448" s="5"/>
      <c r="AS448" s="5"/>
      <c r="AT448" s="5"/>
      <c r="AU448" s="5"/>
      <c r="AV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</row>
    <row r="449" spans="20:223" ht="12.75">
      <c r="T449" s="5"/>
      <c r="U449" s="5"/>
      <c r="V449" s="5"/>
      <c r="W449" s="5"/>
      <c r="X449" s="5"/>
      <c r="AR449" s="5"/>
      <c r="AS449" s="5"/>
      <c r="AT449" s="5"/>
      <c r="AU449" s="5"/>
      <c r="AV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</row>
    <row r="450" spans="20:223" ht="12.75">
      <c r="T450" s="5"/>
      <c r="U450" s="5"/>
      <c r="V450" s="5"/>
      <c r="W450" s="5"/>
      <c r="X450" s="5"/>
      <c r="AR450" s="5"/>
      <c r="AS450" s="5"/>
      <c r="AT450" s="5"/>
      <c r="AU450" s="5"/>
      <c r="AV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</row>
    <row r="451" spans="20:223" ht="12.75">
      <c r="T451" s="5"/>
      <c r="U451" s="5"/>
      <c r="V451" s="5"/>
      <c r="W451" s="5"/>
      <c r="X451" s="5"/>
      <c r="AR451" s="5"/>
      <c r="AS451" s="5"/>
      <c r="AT451" s="5"/>
      <c r="AU451" s="5"/>
      <c r="AV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</row>
    <row r="452" spans="20:223" ht="12.75">
      <c r="T452" s="5"/>
      <c r="U452" s="5"/>
      <c r="V452" s="5"/>
      <c r="W452" s="5"/>
      <c r="X452" s="5"/>
      <c r="AR452" s="5"/>
      <c r="AS452" s="5"/>
      <c r="AT452" s="5"/>
      <c r="AU452" s="5"/>
      <c r="AV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</row>
    <row r="453" spans="20:223" ht="12.75">
      <c r="T453" s="5"/>
      <c r="U453" s="5"/>
      <c r="V453" s="5"/>
      <c r="W453" s="5"/>
      <c r="X453" s="5"/>
      <c r="AR453" s="5"/>
      <c r="AS453" s="5"/>
      <c r="AT453" s="5"/>
      <c r="AU453" s="5"/>
      <c r="AV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</row>
    <row r="454" spans="20:223" ht="12.75">
      <c r="T454" s="5"/>
      <c r="U454" s="5"/>
      <c r="V454" s="5"/>
      <c r="W454" s="5"/>
      <c r="X454" s="5"/>
      <c r="AR454" s="5"/>
      <c r="AS454" s="5"/>
      <c r="AT454" s="5"/>
      <c r="AU454" s="5"/>
      <c r="AV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</row>
    <row r="455" spans="20:223" ht="12.75">
      <c r="T455" s="5"/>
      <c r="U455" s="5"/>
      <c r="V455" s="5"/>
      <c r="W455" s="5"/>
      <c r="X455" s="5"/>
      <c r="AR455" s="5"/>
      <c r="AS455" s="5"/>
      <c r="AT455" s="5"/>
      <c r="AU455" s="5"/>
      <c r="AV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</row>
    <row r="456" spans="20:223" ht="12.75">
      <c r="T456" s="5"/>
      <c r="U456" s="5"/>
      <c r="V456" s="5"/>
      <c r="W456" s="5"/>
      <c r="X456" s="5"/>
      <c r="AR456" s="5"/>
      <c r="AS456" s="5"/>
      <c r="AT456" s="5"/>
      <c r="AU456" s="5"/>
      <c r="AV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</row>
    <row r="457" spans="20:223" ht="12.75">
      <c r="T457" s="5"/>
      <c r="U457" s="5"/>
      <c r="V457" s="5"/>
      <c r="W457" s="5"/>
      <c r="X457" s="5"/>
      <c r="AR457" s="5"/>
      <c r="AS457" s="5"/>
      <c r="AT457" s="5"/>
      <c r="AU457" s="5"/>
      <c r="AV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</row>
    <row r="458" spans="20:223" ht="12.75">
      <c r="T458" s="5"/>
      <c r="U458" s="5"/>
      <c r="V458" s="5"/>
      <c r="W458" s="5"/>
      <c r="X458" s="5"/>
      <c r="AR458" s="5"/>
      <c r="AS458" s="5"/>
      <c r="AT458" s="5"/>
      <c r="AU458" s="5"/>
      <c r="AV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</row>
    <row r="459" spans="20:223" ht="12.75">
      <c r="T459" s="5"/>
      <c r="U459" s="5"/>
      <c r="V459" s="5"/>
      <c r="W459" s="5"/>
      <c r="X459" s="5"/>
      <c r="AR459" s="5"/>
      <c r="AS459" s="5"/>
      <c r="AT459" s="5"/>
      <c r="AU459" s="5"/>
      <c r="AV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</row>
    <row r="460" spans="20:223" ht="12.75">
      <c r="T460" s="5"/>
      <c r="U460" s="5"/>
      <c r="V460" s="5"/>
      <c r="W460" s="5"/>
      <c r="X460" s="5"/>
      <c r="AR460" s="5"/>
      <c r="AS460" s="5"/>
      <c r="AT460" s="5"/>
      <c r="AU460" s="5"/>
      <c r="AV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</row>
    <row r="461" spans="20:223" ht="12.75">
      <c r="T461" s="5"/>
      <c r="U461" s="5"/>
      <c r="V461" s="5"/>
      <c r="W461" s="5"/>
      <c r="X461" s="5"/>
      <c r="AR461" s="5"/>
      <c r="AS461" s="5"/>
      <c r="AT461" s="5"/>
      <c r="AU461" s="5"/>
      <c r="AV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</row>
    <row r="462" spans="20:223" ht="12.75">
      <c r="T462" s="5"/>
      <c r="U462" s="5"/>
      <c r="V462" s="5"/>
      <c r="W462" s="5"/>
      <c r="X462" s="5"/>
      <c r="AR462" s="5"/>
      <c r="AS462" s="5"/>
      <c r="AT462" s="5"/>
      <c r="AU462" s="5"/>
      <c r="AV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</row>
    <row r="463" spans="20:223" ht="12.75">
      <c r="T463" s="5"/>
      <c r="U463" s="5"/>
      <c r="V463" s="5"/>
      <c r="W463" s="5"/>
      <c r="X463" s="5"/>
      <c r="AR463" s="5"/>
      <c r="AS463" s="5"/>
      <c r="AT463" s="5"/>
      <c r="AU463" s="5"/>
      <c r="AV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</row>
    <row r="464" spans="20:223" ht="12.75">
      <c r="T464" s="5"/>
      <c r="U464" s="5"/>
      <c r="V464" s="5"/>
      <c r="W464" s="5"/>
      <c r="X464" s="5"/>
      <c r="AR464" s="5"/>
      <c r="AS464" s="5"/>
      <c r="AT464" s="5"/>
      <c r="AU464" s="5"/>
      <c r="AV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</row>
    <row r="465" spans="20:223" ht="12.75">
      <c r="T465" s="5"/>
      <c r="U465" s="5"/>
      <c r="V465" s="5"/>
      <c r="W465" s="5"/>
      <c r="X465" s="5"/>
      <c r="AR465" s="5"/>
      <c r="AS465" s="5"/>
      <c r="AT465" s="5"/>
      <c r="AU465" s="5"/>
      <c r="AV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</row>
    <row r="466" spans="20:223" ht="12.75">
      <c r="T466" s="5"/>
      <c r="U466" s="5"/>
      <c r="V466" s="5"/>
      <c r="W466" s="5"/>
      <c r="X466" s="5"/>
      <c r="AR466" s="5"/>
      <c r="AS466" s="5"/>
      <c r="AT466" s="5"/>
      <c r="AU466" s="5"/>
      <c r="AV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</row>
    <row r="467" spans="20:223" ht="12.75">
      <c r="T467" s="5"/>
      <c r="U467" s="5"/>
      <c r="V467" s="5"/>
      <c r="W467" s="5"/>
      <c r="X467" s="5"/>
      <c r="AR467" s="5"/>
      <c r="AS467" s="5"/>
      <c r="AT467" s="5"/>
      <c r="AU467" s="5"/>
      <c r="AV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</row>
    <row r="468" spans="20:223" ht="12.75">
      <c r="T468" s="5"/>
      <c r="U468" s="5"/>
      <c r="V468" s="5"/>
      <c r="W468" s="5"/>
      <c r="X468" s="5"/>
      <c r="AR468" s="5"/>
      <c r="AS468" s="5"/>
      <c r="AT468" s="5"/>
      <c r="AU468" s="5"/>
      <c r="AV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</row>
    <row r="469" spans="20:223" ht="12.75">
      <c r="T469" s="5"/>
      <c r="U469" s="5"/>
      <c r="V469" s="5"/>
      <c r="W469" s="5"/>
      <c r="X469" s="5"/>
      <c r="AR469" s="5"/>
      <c r="AS469" s="5"/>
      <c r="AT469" s="5"/>
      <c r="AU469" s="5"/>
      <c r="AV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</row>
    <row r="470" spans="20:223" ht="12.75">
      <c r="T470" s="5"/>
      <c r="U470" s="5"/>
      <c r="V470" s="5"/>
      <c r="W470" s="5"/>
      <c r="X470" s="5"/>
      <c r="AR470" s="5"/>
      <c r="AS470" s="5"/>
      <c r="AT470" s="5"/>
      <c r="AU470" s="5"/>
      <c r="AV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</row>
    <row r="471" spans="20:223" ht="12.75">
      <c r="T471" s="5"/>
      <c r="U471" s="5"/>
      <c r="V471" s="5"/>
      <c r="W471" s="5"/>
      <c r="X471" s="5"/>
      <c r="AR471" s="5"/>
      <c r="AS471" s="5"/>
      <c r="AT471" s="5"/>
      <c r="AU471" s="5"/>
      <c r="AV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</row>
    <row r="472" spans="20:223" ht="12.75">
      <c r="T472" s="5"/>
      <c r="U472" s="5"/>
      <c r="V472" s="5"/>
      <c r="W472" s="5"/>
      <c r="X472" s="5"/>
      <c r="AR472" s="5"/>
      <c r="AS472" s="5"/>
      <c r="AT472" s="5"/>
      <c r="AU472" s="5"/>
      <c r="AV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</row>
    <row r="473" spans="20:223" ht="12.75">
      <c r="T473" s="5"/>
      <c r="U473" s="5"/>
      <c r="V473" s="5"/>
      <c r="W473" s="5"/>
      <c r="X473" s="5"/>
      <c r="AR473" s="5"/>
      <c r="AS473" s="5"/>
      <c r="AT473" s="5"/>
      <c r="AU473" s="5"/>
      <c r="AV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</row>
    <row r="474" spans="20:223" ht="12.75">
      <c r="T474" s="5"/>
      <c r="U474" s="5"/>
      <c r="V474" s="5"/>
      <c r="W474" s="5"/>
      <c r="X474" s="5"/>
      <c r="AR474" s="5"/>
      <c r="AS474" s="5"/>
      <c r="AT474" s="5"/>
      <c r="AU474" s="5"/>
      <c r="AV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</row>
    <row r="475" spans="20:223" ht="12.75">
      <c r="T475" s="5"/>
      <c r="U475" s="5"/>
      <c r="V475" s="5"/>
      <c r="W475" s="5"/>
      <c r="X475" s="5"/>
      <c r="AR475" s="5"/>
      <c r="AS475" s="5"/>
      <c r="AT475" s="5"/>
      <c r="AU475" s="5"/>
      <c r="AV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</row>
    <row r="476" spans="20:223" ht="12.75">
      <c r="T476" s="5"/>
      <c r="U476" s="5"/>
      <c r="V476" s="5"/>
      <c r="W476" s="5"/>
      <c r="X476" s="5"/>
      <c r="AR476" s="5"/>
      <c r="AS476" s="5"/>
      <c r="AT476" s="5"/>
      <c r="AU476" s="5"/>
      <c r="AV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</row>
    <row r="477" spans="20:223" ht="12.75">
      <c r="T477" s="5"/>
      <c r="U477" s="5"/>
      <c r="V477" s="5"/>
      <c r="W477" s="5"/>
      <c r="X477" s="5"/>
      <c r="AR477" s="5"/>
      <c r="AS477" s="5"/>
      <c r="AT477" s="5"/>
      <c r="AU477" s="5"/>
      <c r="AV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</row>
    <row r="478" spans="20:223" ht="12.75">
      <c r="T478" s="5"/>
      <c r="U478" s="5"/>
      <c r="V478" s="5"/>
      <c r="W478" s="5"/>
      <c r="X478" s="5"/>
      <c r="AR478" s="5"/>
      <c r="AS478" s="5"/>
      <c r="AT478" s="5"/>
      <c r="AU478" s="5"/>
      <c r="AV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</row>
    <row r="479" spans="20:223" ht="12.75">
      <c r="T479" s="5"/>
      <c r="U479" s="5"/>
      <c r="V479" s="5"/>
      <c r="W479" s="5"/>
      <c r="X479" s="5"/>
      <c r="AR479" s="5"/>
      <c r="AS479" s="5"/>
      <c r="AT479" s="5"/>
      <c r="AU479" s="5"/>
      <c r="AV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</row>
    <row r="480" spans="20:223" ht="12.75">
      <c r="T480" s="5"/>
      <c r="U480" s="5"/>
      <c r="V480" s="5"/>
      <c r="W480" s="5"/>
      <c r="X480" s="5"/>
      <c r="AR480" s="5"/>
      <c r="AS480" s="5"/>
      <c r="AT480" s="5"/>
      <c r="AU480" s="5"/>
      <c r="AV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</row>
    <row r="481" spans="20:223" ht="12.75">
      <c r="T481" s="5"/>
      <c r="U481" s="5"/>
      <c r="V481" s="5"/>
      <c r="W481" s="5"/>
      <c r="X481" s="5"/>
      <c r="AR481" s="5"/>
      <c r="AS481" s="5"/>
      <c r="AT481" s="5"/>
      <c r="AU481" s="5"/>
      <c r="AV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</row>
    <row r="482" spans="20:223" ht="12.75">
      <c r="T482" s="5"/>
      <c r="U482" s="5"/>
      <c r="V482" s="5"/>
      <c r="W482" s="5"/>
      <c r="X482" s="5"/>
      <c r="AR482" s="5"/>
      <c r="AS482" s="5"/>
      <c r="AT482" s="5"/>
      <c r="AU482" s="5"/>
      <c r="AV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</row>
    <row r="483" spans="20:223" ht="12.75">
      <c r="T483" s="5"/>
      <c r="U483" s="5"/>
      <c r="V483" s="5"/>
      <c r="W483" s="5"/>
      <c r="X483" s="5"/>
      <c r="AR483" s="5"/>
      <c r="AS483" s="5"/>
      <c r="AT483" s="5"/>
      <c r="AU483" s="5"/>
      <c r="AV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</row>
    <row r="484" spans="20:223" ht="12.75">
      <c r="T484" s="5"/>
      <c r="U484" s="5"/>
      <c r="V484" s="5"/>
      <c r="W484" s="5"/>
      <c r="X484" s="5"/>
      <c r="AR484" s="5"/>
      <c r="AS484" s="5"/>
      <c r="AT484" s="5"/>
      <c r="AU484" s="5"/>
      <c r="AV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</row>
    <row r="485" spans="20:223" ht="12.75">
      <c r="T485" s="5"/>
      <c r="U485" s="5"/>
      <c r="V485" s="5"/>
      <c r="W485" s="5"/>
      <c r="X485" s="5"/>
      <c r="AR485" s="5"/>
      <c r="AS485" s="5"/>
      <c r="AT485" s="5"/>
      <c r="AU485" s="5"/>
      <c r="AV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</row>
    <row r="486" spans="20:223" ht="12.75">
      <c r="T486" s="5"/>
      <c r="U486" s="5"/>
      <c r="V486" s="5"/>
      <c r="W486" s="5"/>
      <c r="X486" s="5"/>
      <c r="AR486" s="5"/>
      <c r="AS486" s="5"/>
      <c r="AT486" s="5"/>
      <c r="AU486" s="5"/>
      <c r="AV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</row>
    <row r="487" spans="20:223" ht="12.75">
      <c r="T487" s="5"/>
      <c r="U487" s="5"/>
      <c r="V487" s="5"/>
      <c r="W487" s="5"/>
      <c r="X487" s="5"/>
      <c r="AR487" s="5"/>
      <c r="AS487" s="5"/>
      <c r="AT487" s="5"/>
      <c r="AU487" s="5"/>
      <c r="AV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</row>
    <row r="488" spans="20:223" ht="12.75">
      <c r="T488" s="5"/>
      <c r="U488" s="5"/>
      <c r="V488" s="5"/>
      <c r="W488" s="5"/>
      <c r="X488" s="5"/>
      <c r="AR488" s="5"/>
      <c r="AS488" s="5"/>
      <c r="AT488" s="5"/>
      <c r="AU488" s="5"/>
      <c r="AV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</row>
    <row r="489" spans="20:223" ht="12.75">
      <c r="T489" s="5"/>
      <c r="U489" s="5"/>
      <c r="V489" s="5"/>
      <c r="W489" s="5"/>
      <c r="X489" s="5"/>
      <c r="AR489" s="5"/>
      <c r="AS489" s="5"/>
      <c r="AT489" s="5"/>
      <c r="AU489" s="5"/>
      <c r="AV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</row>
    <row r="490" spans="20:223" ht="12.75">
      <c r="T490" s="5"/>
      <c r="U490" s="5"/>
      <c r="V490" s="5"/>
      <c r="W490" s="5"/>
      <c r="X490" s="5"/>
      <c r="AR490" s="5"/>
      <c r="AS490" s="5"/>
      <c r="AT490" s="5"/>
      <c r="AU490" s="5"/>
      <c r="AV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</row>
    <row r="491" spans="20:223" ht="12.75">
      <c r="T491" s="5"/>
      <c r="U491" s="5"/>
      <c r="V491" s="5"/>
      <c r="W491" s="5"/>
      <c r="X491" s="5"/>
      <c r="AR491" s="5"/>
      <c r="AS491" s="5"/>
      <c r="AT491" s="5"/>
      <c r="AU491" s="5"/>
      <c r="AV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</row>
    <row r="492" spans="20:223" ht="12.75">
      <c r="T492" s="5"/>
      <c r="U492" s="5"/>
      <c r="V492" s="5"/>
      <c r="W492" s="5"/>
      <c r="X492" s="5"/>
      <c r="AR492" s="5"/>
      <c r="AS492" s="5"/>
      <c r="AT492" s="5"/>
      <c r="AU492" s="5"/>
      <c r="AV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</row>
    <row r="493" spans="20:223" ht="12.75">
      <c r="T493" s="5"/>
      <c r="U493" s="5"/>
      <c r="V493" s="5"/>
      <c r="W493" s="5"/>
      <c r="X493" s="5"/>
      <c r="AR493" s="5"/>
      <c r="AS493" s="5"/>
      <c r="AT493" s="5"/>
      <c r="AU493" s="5"/>
      <c r="AV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</row>
    <row r="494" spans="20:223" ht="12.75">
      <c r="T494" s="5"/>
      <c r="U494" s="5"/>
      <c r="V494" s="5"/>
      <c r="W494" s="5"/>
      <c r="X494" s="5"/>
      <c r="AR494" s="5"/>
      <c r="AS494" s="5"/>
      <c r="AT494" s="5"/>
      <c r="AU494" s="5"/>
      <c r="AV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</row>
    <row r="495" spans="20:223" ht="12.75">
      <c r="T495" s="5"/>
      <c r="U495" s="5"/>
      <c r="V495" s="5"/>
      <c r="W495" s="5"/>
      <c r="X495" s="5"/>
      <c r="AR495" s="5"/>
      <c r="AS495" s="5"/>
      <c r="AT495" s="5"/>
      <c r="AU495" s="5"/>
      <c r="AV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</row>
    <row r="496" spans="20:223" ht="12.75">
      <c r="T496" s="5"/>
      <c r="U496" s="5"/>
      <c r="V496" s="5"/>
      <c r="W496" s="5"/>
      <c r="X496" s="5"/>
      <c r="AR496" s="5"/>
      <c r="AS496" s="5"/>
      <c r="AT496" s="5"/>
      <c r="AU496" s="5"/>
      <c r="AV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</row>
    <row r="497" spans="20:223" ht="12.75">
      <c r="T497" s="5"/>
      <c r="U497" s="5"/>
      <c r="V497" s="5"/>
      <c r="W497" s="5"/>
      <c r="X497" s="5"/>
      <c r="AR497" s="5"/>
      <c r="AS497" s="5"/>
      <c r="AT497" s="5"/>
      <c r="AU497" s="5"/>
      <c r="AV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</row>
    <row r="498" spans="20:223" ht="12.75">
      <c r="T498" s="5"/>
      <c r="U498" s="5"/>
      <c r="V498" s="5"/>
      <c r="W498" s="5"/>
      <c r="X498" s="5"/>
      <c r="AR498" s="5"/>
      <c r="AS498" s="5"/>
      <c r="AT498" s="5"/>
      <c r="AU498" s="5"/>
      <c r="AV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</row>
    <row r="499" spans="20:223" ht="12.75">
      <c r="T499" s="5"/>
      <c r="U499" s="5"/>
      <c r="V499" s="5"/>
      <c r="W499" s="5"/>
      <c r="X499" s="5"/>
      <c r="AR499" s="5"/>
      <c r="AS499" s="5"/>
      <c r="AT499" s="5"/>
      <c r="AU499" s="5"/>
      <c r="AV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</row>
    <row r="500" spans="20:223" ht="12.75">
      <c r="T500" s="5"/>
      <c r="U500" s="5"/>
      <c r="V500" s="5"/>
      <c r="W500" s="5"/>
      <c r="X500" s="5"/>
      <c r="AR500" s="5"/>
      <c r="AS500" s="5"/>
      <c r="AT500" s="5"/>
      <c r="AU500" s="5"/>
      <c r="AV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</row>
    <row r="501" spans="20:223" ht="12.75">
      <c r="T501" s="5"/>
      <c r="U501" s="5"/>
      <c r="V501" s="5"/>
      <c r="W501" s="5"/>
      <c r="X501" s="5"/>
      <c r="AR501" s="5"/>
      <c r="AS501" s="5"/>
      <c r="AT501" s="5"/>
      <c r="AU501" s="5"/>
      <c r="AV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</row>
    <row r="502" spans="20:223" ht="12.75">
      <c r="T502" s="5"/>
      <c r="U502" s="5"/>
      <c r="V502" s="5"/>
      <c r="W502" s="5"/>
      <c r="X502" s="5"/>
      <c r="AR502" s="5"/>
      <c r="AS502" s="5"/>
      <c r="AT502" s="5"/>
      <c r="AU502" s="5"/>
      <c r="AV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</row>
    <row r="503" spans="20:223" ht="12.75">
      <c r="T503" s="5"/>
      <c r="U503" s="5"/>
      <c r="V503" s="5"/>
      <c r="W503" s="5"/>
      <c r="X503" s="5"/>
      <c r="AR503" s="5"/>
      <c r="AS503" s="5"/>
      <c r="AT503" s="5"/>
      <c r="AU503" s="5"/>
      <c r="AV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</row>
    <row r="504" spans="20:223" ht="12.75">
      <c r="T504" s="5"/>
      <c r="U504" s="5"/>
      <c r="V504" s="5"/>
      <c r="W504" s="5"/>
      <c r="X504" s="5"/>
      <c r="AR504" s="5"/>
      <c r="AS504" s="5"/>
      <c r="AT504" s="5"/>
      <c r="AU504" s="5"/>
      <c r="AV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</row>
    <row r="505" spans="20:223" ht="12.75">
      <c r="T505" s="5"/>
      <c r="U505" s="5"/>
      <c r="V505" s="5"/>
      <c r="W505" s="5"/>
      <c r="X505" s="5"/>
      <c r="AR505" s="5"/>
      <c r="AS505" s="5"/>
      <c r="AT505" s="5"/>
      <c r="AU505" s="5"/>
      <c r="AV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</row>
    <row r="506" spans="20:223" ht="12.75">
      <c r="T506" s="5"/>
      <c r="U506" s="5"/>
      <c r="V506" s="5"/>
      <c r="W506" s="5"/>
      <c r="X506" s="5"/>
      <c r="AR506" s="5"/>
      <c r="AS506" s="5"/>
      <c r="AT506" s="5"/>
      <c r="AU506" s="5"/>
      <c r="AV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</row>
    <row r="507" spans="20:223" ht="12.75">
      <c r="T507" s="5"/>
      <c r="U507" s="5"/>
      <c r="V507" s="5"/>
      <c r="W507" s="5"/>
      <c r="X507" s="5"/>
      <c r="AR507" s="5"/>
      <c r="AS507" s="5"/>
      <c r="AT507" s="5"/>
      <c r="AU507" s="5"/>
      <c r="AV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</row>
    <row r="508" spans="20:223" ht="12.75">
      <c r="T508" s="5"/>
      <c r="U508" s="5"/>
      <c r="V508" s="5"/>
      <c r="W508" s="5"/>
      <c r="X508" s="5"/>
      <c r="AR508" s="5"/>
      <c r="AS508" s="5"/>
      <c r="AT508" s="5"/>
      <c r="AU508" s="5"/>
      <c r="AV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</row>
    <row r="509" spans="20:223" ht="12.75">
      <c r="T509" s="5"/>
      <c r="U509" s="5"/>
      <c r="V509" s="5"/>
      <c r="W509" s="5"/>
      <c r="X509" s="5"/>
      <c r="AR509" s="5"/>
      <c r="AS509" s="5"/>
      <c r="AT509" s="5"/>
      <c r="AU509" s="5"/>
      <c r="AV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</row>
    <row r="510" spans="20:223" ht="12.75">
      <c r="T510" s="5"/>
      <c r="U510" s="5"/>
      <c r="V510" s="5"/>
      <c r="W510" s="5"/>
      <c r="X510" s="5"/>
      <c r="AR510" s="5"/>
      <c r="AS510" s="5"/>
      <c r="AT510" s="5"/>
      <c r="AU510" s="5"/>
      <c r="AV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</row>
    <row r="511" spans="20:223" ht="12.75">
      <c r="T511" s="5"/>
      <c r="U511" s="5"/>
      <c r="V511" s="5"/>
      <c r="W511" s="5"/>
      <c r="X511" s="5"/>
      <c r="AR511" s="5"/>
      <c r="AS511" s="5"/>
      <c r="AT511" s="5"/>
      <c r="AU511" s="5"/>
      <c r="AV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</row>
    <row r="512" spans="20:223" ht="12.75">
      <c r="T512" s="5"/>
      <c r="U512" s="5"/>
      <c r="V512" s="5"/>
      <c r="W512" s="5"/>
      <c r="X512" s="5"/>
      <c r="AR512" s="5"/>
      <c r="AS512" s="5"/>
      <c r="AT512" s="5"/>
      <c r="AU512" s="5"/>
      <c r="AV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</row>
    <row r="513" spans="20:223" ht="12.75">
      <c r="T513" s="5"/>
      <c r="U513" s="5"/>
      <c r="V513" s="5"/>
      <c r="W513" s="5"/>
      <c r="X513" s="5"/>
      <c r="AR513" s="5"/>
      <c r="AS513" s="5"/>
      <c r="AT513" s="5"/>
      <c r="AU513" s="5"/>
      <c r="AV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</row>
    <row r="514" spans="20:223" ht="12.75">
      <c r="T514" s="5"/>
      <c r="U514" s="5"/>
      <c r="V514" s="5"/>
      <c r="W514" s="5"/>
      <c r="X514" s="5"/>
      <c r="AR514" s="5"/>
      <c r="AS514" s="5"/>
      <c r="AT514" s="5"/>
      <c r="AU514" s="5"/>
      <c r="AV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</row>
    <row r="515" spans="20:223" ht="12.75">
      <c r="T515" s="5"/>
      <c r="U515" s="5"/>
      <c r="V515" s="5"/>
      <c r="W515" s="5"/>
      <c r="X515" s="5"/>
      <c r="AR515" s="5"/>
      <c r="AS515" s="5"/>
      <c r="AT515" s="5"/>
      <c r="AU515" s="5"/>
      <c r="AV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</row>
    <row r="516" spans="20:223" ht="12.75">
      <c r="T516" s="5"/>
      <c r="U516" s="5"/>
      <c r="V516" s="5"/>
      <c r="W516" s="5"/>
      <c r="X516" s="5"/>
      <c r="AR516" s="5"/>
      <c r="AS516" s="5"/>
      <c r="AT516" s="5"/>
      <c r="AU516" s="5"/>
      <c r="AV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</row>
    <row r="517" spans="20:223" ht="12.75">
      <c r="T517" s="5"/>
      <c r="U517" s="5"/>
      <c r="V517" s="5"/>
      <c r="W517" s="5"/>
      <c r="X517" s="5"/>
      <c r="AR517" s="5"/>
      <c r="AS517" s="5"/>
      <c r="AT517" s="5"/>
      <c r="AU517" s="5"/>
      <c r="AV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</row>
    <row r="518" spans="20:223" ht="12.75">
      <c r="T518" s="5"/>
      <c r="U518" s="5"/>
      <c r="V518" s="5"/>
      <c r="W518" s="5"/>
      <c r="X518" s="5"/>
      <c r="AR518" s="5"/>
      <c r="AS518" s="5"/>
      <c r="AT518" s="5"/>
      <c r="AU518" s="5"/>
      <c r="AV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</row>
    <row r="519" spans="20:223" ht="12.75">
      <c r="T519" s="5"/>
      <c r="U519" s="5"/>
      <c r="V519" s="5"/>
      <c r="W519" s="5"/>
      <c r="X519" s="5"/>
      <c r="AR519" s="5"/>
      <c r="AS519" s="5"/>
      <c r="AT519" s="5"/>
      <c r="AU519" s="5"/>
      <c r="AV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</row>
    <row r="520" spans="20:223" ht="12.75">
      <c r="T520" s="5"/>
      <c r="U520" s="5"/>
      <c r="V520" s="5"/>
      <c r="W520" s="5"/>
      <c r="X520" s="5"/>
      <c r="AR520" s="5"/>
      <c r="AS520" s="5"/>
      <c r="AT520" s="5"/>
      <c r="AU520" s="5"/>
      <c r="AV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</row>
    <row r="521" spans="20:223" ht="12.75">
      <c r="T521" s="5"/>
      <c r="U521" s="5"/>
      <c r="V521" s="5"/>
      <c r="W521" s="5"/>
      <c r="X521" s="5"/>
      <c r="AR521" s="5"/>
      <c r="AS521" s="5"/>
      <c r="AT521" s="5"/>
      <c r="AU521" s="5"/>
      <c r="AV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</row>
    <row r="522" spans="20:223" ht="12.75">
      <c r="T522" s="5"/>
      <c r="U522" s="5"/>
      <c r="V522" s="5"/>
      <c r="W522" s="5"/>
      <c r="X522" s="5"/>
      <c r="AR522" s="5"/>
      <c r="AS522" s="5"/>
      <c r="AT522" s="5"/>
      <c r="AU522" s="5"/>
      <c r="AV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</row>
    <row r="523" spans="20:223" ht="12.75">
      <c r="T523" s="5"/>
      <c r="U523" s="5"/>
      <c r="V523" s="5"/>
      <c r="W523" s="5"/>
      <c r="X523" s="5"/>
      <c r="AR523" s="5"/>
      <c r="AS523" s="5"/>
      <c r="AT523" s="5"/>
      <c r="AU523" s="5"/>
      <c r="AV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</row>
    <row r="524" spans="20:223" ht="12.75">
      <c r="T524" s="5"/>
      <c r="U524" s="5"/>
      <c r="V524" s="5"/>
      <c r="W524" s="5"/>
      <c r="X524" s="5"/>
      <c r="AR524" s="5"/>
      <c r="AS524" s="5"/>
      <c r="AT524" s="5"/>
      <c r="AU524" s="5"/>
      <c r="AV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</row>
    <row r="525" spans="20:223" ht="12.75">
      <c r="T525" s="5"/>
      <c r="U525" s="5"/>
      <c r="V525" s="5"/>
      <c r="W525" s="5"/>
      <c r="X525" s="5"/>
      <c r="AR525" s="5"/>
      <c r="AS525" s="5"/>
      <c r="AT525" s="5"/>
      <c r="AU525" s="5"/>
      <c r="AV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</row>
    <row r="526" spans="20:223" ht="12.75">
      <c r="T526" s="5"/>
      <c r="U526" s="5"/>
      <c r="V526" s="5"/>
      <c r="W526" s="5"/>
      <c r="X526" s="5"/>
      <c r="AR526" s="5"/>
      <c r="AS526" s="5"/>
      <c r="AT526" s="5"/>
      <c r="AU526" s="5"/>
      <c r="AV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</row>
    <row r="527" spans="20:223" ht="12.75">
      <c r="T527" s="5"/>
      <c r="U527" s="5"/>
      <c r="V527" s="5"/>
      <c r="W527" s="5"/>
      <c r="X527" s="5"/>
      <c r="AR527" s="5"/>
      <c r="AS527" s="5"/>
      <c r="AT527" s="5"/>
      <c r="AU527" s="5"/>
      <c r="AV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</row>
    <row r="528" spans="20:223" ht="12.75">
      <c r="T528" s="5"/>
      <c r="U528" s="5"/>
      <c r="V528" s="5"/>
      <c r="W528" s="5"/>
      <c r="X528" s="5"/>
      <c r="AR528" s="5"/>
      <c r="AS528" s="5"/>
      <c r="AT528" s="5"/>
      <c r="AU528" s="5"/>
      <c r="AV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</row>
    <row r="529" spans="20:223" ht="12.75">
      <c r="T529" s="5"/>
      <c r="U529" s="5"/>
      <c r="V529" s="5"/>
      <c r="W529" s="5"/>
      <c r="X529" s="5"/>
      <c r="AR529" s="5"/>
      <c r="AS529" s="5"/>
      <c r="AT529" s="5"/>
      <c r="AU529" s="5"/>
      <c r="AV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</row>
    <row r="530" spans="20:223" ht="12.75">
      <c r="T530" s="5"/>
      <c r="U530" s="5"/>
      <c r="V530" s="5"/>
      <c r="W530" s="5"/>
      <c r="X530" s="5"/>
      <c r="AR530" s="5"/>
      <c r="AS530" s="5"/>
      <c r="AT530" s="5"/>
      <c r="AU530" s="5"/>
      <c r="AV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</row>
    <row r="531" spans="20:223" ht="12.75">
      <c r="T531" s="5"/>
      <c r="U531" s="5"/>
      <c r="V531" s="5"/>
      <c r="W531" s="5"/>
      <c r="X531" s="5"/>
      <c r="AR531" s="5"/>
      <c r="AS531" s="5"/>
      <c r="AT531" s="5"/>
      <c r="AU531" s="5"/>
      <c r="AV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</row>
    <row r="532" spans="20:223" ht="12.75">
      <c r="T532" s="5"/>
      <c r="U532" s="5"/>
      <c r="V532" s="5"/>
      <c r="W532" s="5"/>
      <c r="X532" s="5"/>
      <c r="AR532" s="5"/>
      <c r="AS532" s="5"/>
      <c r="AT532" s="5"/>
      <c r="AU532" s="5"/>
      <c r="AV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</row>
    <row r="533" spans="20:223" ht="12.75">
      <c r="T533" s="5"/>
      <c r="U533" s="5"/>
      <c r="V533" s="5"/>
      <c r="W533" s="5"/>
      <c r="X533" s="5"/>
      <c r="AR533" s="5"/>
      <c r="AS533" s="5"/>
      <c r="AT533" s="5"/>
      <c r="AU533" s="5"/>
      <c r="AV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</row>
    <row r="534" spans="20:223" ht="12.75">
      <c r="T534" s="5"/>
      <c r="U534" s="5"/>
      <c r="V534" s="5"/>
      <c r="W534" s="5"/>
      <c r="X534" s="5"/>
      <c r="AR534" s="5"/>
      <c r="AS534" s="5"/>
      <c r="AT534" s="5"/>
      <c r="AU534" s="5"/>
      <c r="AV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</row>
    <row r="535" spans="20:223" ht="12.75">
      <c r="T535" s="5"/>
      <c r="U535" s="5"/>
      <c r="V535" s="5"/>
      <c r="W535" s="5"/>
      <c r="X535" s="5"/>
      <c r="AR535" s="5"/>
      <c r="AS535" s="5"/>
      <c r="AT535" s="5"/>
      <c r="AU535" s="5"/>
      <c r="AV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</row>
    <row r="536" spans="20:223" ht="12.75">
      <c r="T536" s="5"/>
      <c r="U536" s="5"/>
      <c r="V536" s="5"/>
      <c r="W536" s="5"/>
      <c r="X536" s="5"/>
      <c r="AR536" s="5"/>
      <c r="AS536" s="5"/>
      <c r="AT536" s="5"/>
      <c r="AU536" s="5"/>
      <c r="AV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</row>
    <row r="537" spans="20:223" ht="12.75">
      <c r="T537" s="5"/>
      <c r="U537" s="5"/>
      <c r="V537" s="5"/>
      <c r="W537" s="5"/>
      <c r="X537" s="5"/>
      <c r="AR537" s="5"/>
      <c r="AS537" s="5"/>
      <c r="AT537" s="5"/>
      <c r="AU537" s="5"/>
      <c r="AV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</row>
    <row r="538" spans="20:223" ht="12.75">
      <c r="T538" s="5"/>
      <c r="U538" s="5"/>
      <c r="V538" s="5"/>
      <c r="W538" s="5"/>
      <c r="X538" s="5"/>
      <c r="AR538" s="5"/>
      <c r="AS538" s="5"/>
      <c r="AT538" s="5"/>
      <c r="AU538" s="5"/>
      <c r="AV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</row>
    <row r="539" spans="20:223" ht="12.75">
      <c r="T539" s="5"/>
      <c r="U539" s="5"/>
      <c r="V539" s="5"/>
      <c r="W539" s="5"/>
      <c r="X539" s="5"/>
      <c r="AR539" s="5"/>
      <c r="AS539" s="5"/>
      <c r="AT539" s="5"/>
      <c r="AU539" s="5"/>
      <c r="AV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</row>
    <row r="540" spans="20:223" ht="12.75">
      <c r="T540" s="5"/>
      <c r="U540" s="5"/>
      <c r="V540" s="5"/>
      <c r="W540" s="5"/>
      <c r="X540" s="5"/>
      <c r="AR540" s="5"/>
      <c r="AS540" s="5"/>
      <c r="AT540" s="5"/>
      <c r="AU540" s="5"/>
      <c r="AV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</row>
    <row r="541" spans="20:223" ht="12.75">
      <c r="T541" s="5"/>
      <c r="U541" s="5"/>
      <c r="V541" s="5"/>
      <c r="W541" s="5"/>
      <c r="X541" s="5"/>
      <c r="AR541" s="5"/>
      <c r="AS541" s="5"/>
      <c r="AT541" s="5"/>
      <c r="AU541" s="5"/>
      <c r="AV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</row>
    <row r="542" spans="20:223" ht="12.75">
      <c r="T542" s="5"/>
      <c r="U542" s="5"/>
      <c r="V542" s="5"/>
      <c r="W542" s="5"/>
      <c r="X542" s="5"/>
      <c r="AR542" s="5"/>
      <c r="AS542" s="5"/>
      <c r="AT542" s="5"/>
      <c r="AU542" s="5"/>
      <c r="AV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</row>
    <row r="543" spans="20:223" ht="12.75">
      <c r="T543" s="5"/>
      <c r="U543" s="5"/>
      <c r="V543" s="5"/>
      <c r="W543" s="5"/>
      <c r="X543" s="5"/>
      <c r="AR543" s="5"/>
      <c r="AS543" s="5"/>
      <c r="AT543" s="5"/>
      <c r="AU543" s="5"/>
      <c r="AV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</row>
    <row r="544" spans="20:223" ht="12.75">
      <c r="T544" s="5"/>
      <c r="U544" s="5"/>
      <c r="V544" s="5"/>
      <c r="W544" s="5"/>
      <c r="X544" s="5"/>
      <c r="AR544" s="5"/>
      <c r="AS544" s="5"/>
      <c r="AT544" s="5"/>
      <c r="AU544" s="5"/>
      <c r="AV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</row>
    <row r="545" spans="20:223" ht="12.75">
      <c r="T545" s="5"/>
      <c r="U545" s="5"/>
      <c r="V545" s="5"/>
      <c r="W545" s="5"/>
      <c r="X545" s="5"/>
      <c r="AR545" s="5"/>
      <c r="AS545" s="5"/>
      <c r="AT545" s="5"/>
      <c r="AU545" s="5"/>
      <c r="AV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</row>
    <row r="546" spans="20:223" ht="12.75">
      <c r="T546" s="5"/>
      <c r="U546" s="5"/>
      <c r="V546" s="5"/>
      <c r="W546" s="5"/>
      <c r="X546" s="5"/>
      <c r="AR546" s="5"/>
      <c r="AS546" s="5"/>
      <c r="AT546" s="5"/>
      <c r="AU546" s="5"/>
      <c r="AV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</row>
    <row r="547" spans="20:223" ht="12.75">
      <c r="T547" s="5"/>
      <c r="U547" s="5"/>
      <c r="V547" s="5"/>
      <c r="W547" s="5"/>
      <c r="X547" s="5"/>
      <c r="AR547" s="5"/>
      <c r="AS547" s="5"/>
      <c r="AT547" s="5"/>
      <c r="AU547" s="5"/>
      <c r="AV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</row>
    <row r="548" spans="20:223" ht="12.75">
      <c r="T548" s="5"/>
      <c r="U548" s="5"/>
      <c r="V548" s="5"/>
      <c r="W548" s="5"/>
      <c r="X548" s="5"/>
      <c r="AR548" s="5"/>
      <c r="AS548" s="5"/>
      <c r="AT548" s="5"/>
      <c r="AU548" s="5"/>
      <c r="AV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</row>
    <row r="549" spans="20:223" ht="12.75">
      <c r="T549" s="5"/>
      <c r="U549" s="5"/>
      <c r="V549" s="5"/>
      <c r="W549" s="5"/>
      <c r="X549" s="5"/>
      <c r="AR549" s="5"/>
      <c r="AS549" s="5"/>
      <c r="AT549" s="5"/>
      <c r="AU549" s="5"/>
      <c r="AV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</row>
    <row r="550" spans="20:223" ht="12.75">
      <c r="T550" s="5"/>
      <c r="U550" s="5"/>
      <c r="V550" s="5"/>
      <c r="W550" s="5"/>
      <c r="X550" s="5"/>
      <c r="AR550" s="5"/>
      <c r="AS550" s="5"/>
      <c r="AT550" s="5"/>
      <c r="AU550" s="5"/>
      <c r="AV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</row>
    <row r="551" spans="20:223" ht="12.75">
      <c r="T551" s="5"/>
      <c r="U551" s="5"/>
      <c r="V551" s="5"/>
      <c r="W551" s="5"/>
      <c r="X551" s="5"/>
      <c r="AR551" s="5"/>
      <c r="AS551" s="5"/>
      <c r="AT551" s="5"/>
      <c r="AU551" s="5"/>
      <c r="AV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</row>
    <row r="552" spans="20:223" ht="12.75">
      <c r="T552" s="5"/>
      <c r="U552" s="5"/>
      <c r="V552" s="5"/>
      <c r="W552" s="5"/>
      <c r="X552" s="5"/>
      <c r="AR552" s="5"/>
      <c r="AS552" s="5"/>
      <c r="AT552" s="5"/>
      <c r="AU552" s="5"/>
      <c r="AV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</row>
    <row r="553" spans="20:223" ht="12.75">
      <c r="T553" s="5"/>
      <c r="U553" s="5"/>
      <c r="V553" s="5"/>
      <c r="W553" s="5"/>
      <c r="X553" s="5"/>
      <c r="AR553" s="5"/>
      <c r="AS553" s="5"/>
      <c r="AT553" s="5"/>
      <c r="AU553" s="5"/>
      <c r="AV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</row>
    <row r="554" spans="20:223" ht="12.75">
      <c r="T554" s="5"/>
      <c r="U554" s="5"/>
      <c r="V554" s="5"/>
      <c r="W554" s="5"/>
      <c r="X554" s="5"/>
      <c r="AR554" s="5"/>
      <c r="AS554" s="5"/>
      <c r="AT554" s="5"/>
      <c r="AU554" s="5"/>
      <c r="AV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</row>
    <row r="555" spans="20:223" ht="12.75">
      <c r="T555" s="5"/>
      <c r="U555" s="5"/>
      <c r="V555" s="5"/>
      <c r="W555" s="5"/>
      <c r="X555" s="5"/>
      <c r="AR555" s="5"/>
      <c r="AS555" s="5"/>
      <c r="AT555" s="5"/>
      <c r="AU555" s="5"/>
      <c r="AV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</row>
    <row r="556" spans="20:223" ht="12.75">
      <c r="T556" s="5"/>
      <c r="U556" s="5"/>
      <c r="V556" s="5"/>
      <c r="W556" s="5"/>
      <c r="X556" s="5"/>
      <c r="AR556" s="5"/>
      <c r="AS556" s="5"/>
      <c r="AT556" s="5"/>
      <c r="AU556" s="5"/>
      <c r="AV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</row>
    <row r="557" spans="20:223" ht="12.75">
      <c r="T557" s="5"/>
      <c r="U557" s="5"/>
      <c r="V557" s="5"/>
      <c r="W557" s="5"/>
      <c r="X557" s="5"/>
      <c r="AR557" s="5"/>
      <c r="AS557" s="5"/>
      <c r="AT557" s="5"/>
      <c r="AU557" s="5"/>
      <c r="AV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</row>
    <row r="558" spans="20:223" ht="12.75">
      <c r="T558" s="5"/>
      <c r="U558" s="5"/>
      <c r="V558" s="5"/>
      <c r="W558" s="5"/>
      <c r="X558" s="5"/>
      <c r="AR558" s="5"/>
      <c r="AS558" s="5"/>
      <c r="AT558" s="5"/>
      <c r="AU558" s="5"/>
      <c r="AV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</row>
    <row r="559" spans="20:223" ht="12.75">
      <c r="T559" s="5"/>
      <c r="U559" s="5"/>
      <c r="V559" s="5"/>
      <c r="W559" s="5"/>
      <c r="X559" s="5"/>
      <c r="AR559" s="5"/>
      <c r="AS559" s="5"/>
      <c r="AT559" s="5"/>
      <c r="AU559" s="5"/>
      <c r="AV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</row>
  </sheetData>
  <sheetProtection/>
  <printOptions/>
  <pageMargins left="0.7" right="0.7" top="0.75" bottom="0.75" header="0.3" footer="0.3"/>
  <pageSetup horizontalDpi="600" verticalDpi="600" orientation="landscape" scale="81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D69"/>
  <sheetViews>
    <sheetView zoomScale="156" zoomScaleNormal="15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8" sqref="Q8"/>
    </sheetView>
  </sheetViews>
  <sheetFormatPr defaultColWidth="8.7109375" defaultRowHeight="12.75"/>
  <cols>
    <col min="1" max="1" width="9.7109375" style="40" customWidth="1"/>
    <col min="2" max="2" width="3.7109375" style="0" customWidth="1"/>
    <col min="3" max="7" width="13.7109375" style="3" hidden="1" customWidth="1"/>
    <col min="8" max="8" width="3.7109375" style="0" hidden="1" customWidth="1"/>
    <col min="9" max="13" width="13.7109375" style="5" hidden="1" customWidth="1"/>
    <col min="14" max="14" width="3.7109375" style="5" hidden="1" customWidth="1"/>
    <col min="15" max="19" width="12.7109375" style="5" customWidth="1"/>
    <col min="20" max="20" width="3.7109375" style="5" customWidth="1"/>
    <col min="21" max="25" width="13.7109375" style="5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0" width="12.7109375" style="5" customWidth="1"/>
    <col min="41" max="43" width="13.7109375" style="5" customWidth="1"/>
    <col min="44" max="44" width="3.7109375" style="5" customWidth="1"/>
    <col min="45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2.7109375" style="5" customWidth="1"/>
    <col min="80" max="80" width="3.7109375" style="5" customWidth="1"/>
    <col min="81" max="85" width="12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3.7109375" style="5" customWidth="1"/>
    <col min="98" max="98" width="3.7109375" style="5" customWidth="1"/>
    <col min="99" max="103" width="12.7109375" style="5" customWidth="1"/>
    <col min="104" max="104" width="3.7109375" style="5" customWidth="1"/>
    <col min="105" max="109" width="13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  <col min="153" max="157" width="12.7109375" style="5" customWidth="1"/>
    <col min="158" max="158" width="3.7109375" style="5" customWidth="1"/>
    <col min="159" max="163" width="13.7109375" style="5" customWidth="1"/>
    <col min="164" max="164" width="3.7109375" style="5" customWidth="1"/>
    <col min="165" max="169" width="13.7109375" style="5" customWidth="1"/>
    <col min="170" max="170" width="3.7109375" style="5" customWidth="1"/>
    <col min="171" max="175" width="13.7109375" style="0" customWidth="1"/>
    <col min="176" max="176" width="3.7109375" style="0" customWidth="1"/>
    <col min="177" max="179" width="13.7109375" style="0" customWidth="1"/>
    <col min="180" max="181" width="13.140625" style="0" customWidth="1"/>
  </cols>
  <sheetData>
    <row r="1" spans="1:177" ht="12.75">
      <c r="A1" s="1"/>
      <c r="B1" s="2"/>
      <c r="C1" s="4"/>
      <c r="D1" s="4"/>
      <c r="I1" s="4" t="s">
        <v>136</v>
      </c>
      <c r="U1" s="4"/>
      <c r="AA1" s="4" t="s">
        <v>0</v>
      </c>
      <c r="AY1" s="4" t="s">
        <v>0</v>
      </c>
      <c r="CI1" s="4" t="s">
        <v>0</v>
      </c>
      <c r="CU1" s="4"/>
      <c r="DM1" s="4" t="s">
        <v>0</v>
      </c>
      <c r="EE1" s="4" t="s">
        <v>0</v>
      </c>
      <c r="FC1" s="4" t="s">
        <v>0</v>
      </c>
      <c r="FO1" s="4"/>
      <c r="FU1" s="4"/>
    </row>
    <row r="2" spans="1:177" ht="12.75">
      <c r="A2" s="1"/>
      <c r="B2" s="2"/>
      <c r="C2" s="4"/>
      <c r="D2" s="4"/>
      <c r="I2" s="4" t="s">
        <v>135</v>
      </c>
      <c r="U2" s="4"/>
      <c r="AA2" s="4" t="s">
        <v>1</v>
      </c>
      <c r="AY2" s="4" t="s">
        <v>1</v>
      </c>
      <c r="CI2" s="4" t="s">
        <v>1</v>
      </c>
      <c r="CU2" s="4"/>
      <c r="DM2" s="4" t="s">
        <v>1</v>
      </c>
      <c r="EE2" s="4" t="s">
        <v>1</v>
      </c>
      <c r="FC2" s="4" t="s">
        <v>1</v>
      </c>
      <c r="FO2" s="4"/>
      <c r="FU2" s="4"/>
    </row>
    <row r="3" spans="1:177" ht="12.75">
      <c r="A3" s="1"/>
      <c r="B3" s="2"/>
      <c r="C3" s="7"/>
      <c r="D3" s="7"/>
      <c r="I3" s="4" t="str">
        <f>'2019C'!N3</f>
        <v>2010 Series A &amp; 2010 Series B Bond Refinanced on 2019C</v>
      </c>
      <c r="U3" s="4"/>
      <c r="AA3" s="4" t="s">
        <v>2</v>
      </c>
      <c r="AY3" s="4" t="s">
        <v>2</v>
      </c>
      <c r="CI3" s="4" t="s">
        <v>2</v>
      </c>
      <c r="CU3" s="4"/>
      <c r="DM3" s="4" t="s">
        <v>2</v>
      </c>
      <c r="EE3" s="4" t="s">
        <v>2</v>
      </c>
      <c r="FC3" s="4" t="s">
        <v>2</v>
      </c>
      <c r="FO3" s="4"/>
      <c r="FU3" s="4"/>
    </row>
    <row r="4" spans="1:4" ht="12.75">
      <c r="A4" s="1"/>
      <c r="B4" s="2"/>
      <c r="C4" s="4"/>
      <c r="D4" s="4"/>
    </row>
    <row r="5" spans="1:181" ht="12.75">
      <c r="A5" s="9" t="s">
        <v>3</v>
      </c>
      <c r="C5" s="10" t="str">
        <f>'2019C'!B5</f>
        <v>      Total Debt Service - 2010 Series A &amp; B Refinanced on</v>
      </c>
      <c r="D5" s="11"/>
      <c r="E5" s="12"/>
      <c r="F5" s="12"/>
      <c r="G5" s="32"/>
      <c r="I5" s="13" t="s">
        <v>133</v>
      </c>
      <c r="J5" s="16"/>
      <c r="K5" s="15"/>
      <c r="L5" s="12"/>
      <c r="M5" s="32"/>
      <c r="O5" s="43" t="s">
        <v>32</v>
      </c>
      <c r="P5" s="14"/>
      <c r="Q5" s="15"/>
      <c r="R5" s="12"/>
      <c r="S5" s="32"/>
      <c r="U5" s="43" t="s">
        <v>33</v>
      </c>
      <c r="V5" s="14"/>
      <c r="W5" s="15"/>
      <c r="X5" s="12"/>
      <c r="Y5" s="32"/>
      <c r="AA5" s="43" t="s">
        <v>34</v>
      </c>
      <c r="AB5" s="14"/>
      <c r="AC5" s="15"/>
      <c r="AD5" s="12"/>
      <c r="AE5" s="32"/>
      <c r="AG5" s="78" t="s">
        <v>158</v>
      </c>
      <c r="AH5" s="14"/>
      <c r="AI5" s="15"/>
      <c r="AJ5" s="79"/>
      <c r="AK5" s="32"/>
      <c r="AM5" s="43" t="s">
        <v>35</v>
      </c>
      <c r="AN5" s="14"/>
      <c r="AO5" s="15"/>
      <c r="AP5" s="12"/>
      <c r="AQ5" s="32"/>
      <c r="AS5" s="43" t="s">
        <v>36</v>
      </c>
      <c r="AT5" s="14"/>
      <c r="AU5" s="15"/>
      <c r="AV5" s="12"/>
      <c r="AW5" s="32"/>
      <c r="AY5" s="43" t="s">
        <v>37</v>
      </c>
      <c r="AZ5" s="14"/>
      <c r="BA5" s="15"/>
      <c r="BB5" s="12"/>
      <c r="BC5" s="32"/>
      <c r="BE5" s="43" t="s">
        <v>137</v>
      </c>
      <c r="BF5" s="14"/>
      <c r="BG5" s="15"/>
      <c r="BH5" s="12"/>
      <c r="BI5" s="32"/>
      <c r="BK5" s="43" t="s">
        <v>38</v>
      </c>
      <c r="BL5" s="14"/>
      <c r="BM5" s="15"/>
      <c r="BN5" s="12"/>
      <c r="BO5" s="32"/>
      <c r="BQ5" s="43" t="s">
        <v>139</v>
      </c>
      <c r="BR5" s="14"/>
      <c r="BS5" s="15"/>
      <c r="BT5" s="12"/>
      <c r="BU5" s="32"/>
      <c r="BW5" s="13" t="s">
        <v>39</v>
      </c>
      <c r="BX5" s="14"/>
      <c r="BY5" s="15"/>
      <c r="BZ5" s="12"/>
      <c r="CA5" s="32"/>
      <c r="CC5" s="78" t="s">
        <v>159</v>
      </c>
      <c r="CD5" s="14"/>
      <c r="CE5" s="15"/>
      <c r="CF5" s="79"/>
      <c r="CG5" s="32"/>
      <c r="CI5" s="13" t="s">
        <v>140</v>
      </c>
      <c r="CJ5" s="14"/>
      <c r="CK5" s="15"/>
      <c r="CL5" s="12"/>
      <c r="CM5" s="32"/>
      <c r="CO5" s="13" t="s">
        <v>141</v>
      </c>
      <c r="CP5" s="14"/>
      <c r="CQ5" s="15"/>
      <c r="CR5" s="12"/>
      <c r="CS5" s="32"/>
      <c r="CU5" s="43" t="s">
        <v>40</v>
      </c>
      <c r="CV5" s="14"/>
      <c r="CW5" s="15"/>
      <c r="CX5" s="12"/>
      <c r="CY5" s="32"/>
      <c r="DA5" s="13" t="s">
        <v>41</v>
      </c>
      <c r="DB5" s="16"/>
      <c r="DC5" s="15"/>
      <c r="DD5" s="12"/>
      <c r="DE5" s="32"/>
      <c r="DG5" s="13" t="s">
        <v>142</v>
      </c>
      <c r="DH5" s="16"/>
      <c r="DI5" s="15"/>
      <c r="DJ5" s="12"/>
      <c r="DK5" s="32"/>
      <c r="DM5" s="43" t="s">
        <v>42</v>
      </c>
      <c r="DN5" s="16"/>
      <c r="DO5" s="15"/>
      <c r="DP5" s="12"/>
      <c r="DQ5" s="32"/>
      <c r="DS5" s="43" t="s">
        <v>43</v>
      </c>
      <c r="DT5" s="16"/>
      <c r="DU5" s="15"/>
      <c r="DV5" s="12"/>
      <c r="DW5" s="32"/>
      <c r="DY5" s="43" t="s">
        <v>44</v>
      </c>
      <c r="DZ5" s="16"/>
      <c r="EA5" s="15"/>
      <c r="EB5" s="12"/>
      <c r="EC5" s="32"/>
      <c r="ED5" s="46"/>
      <c r="EE5" s="43" t="s">
        <v>45</v>
      </c>
      <c r="EF5" s="16"/>
      <c r="EG5" s="15"/>
      <c r="EH5" s="12"/>
      <c r="EI5" s="32"/>
      <c r="EJ5" s="47"/>
      <c r="EK5" s="43" t="s">
        <v>46</v>
      </c>
      <c r="EL5" s="16"/>
      <c r="EM5" s="15"/>
      <c r="EN5" s="12"/>
      <c r="EO5" s="32"/>
      <c r="EP5" s="47"/>
      <c r="EQ5" s="43" t="s">
        <v>143</v>
      </c>
      <c r="ER5" s="16"/>
      <c r="ES5" s="15"/>
      <c r="ET5" s="12"/>
      <c r="EU5" s="32"/>
      <c r="EV5" s="47"/>
      <c r="EW5" s="13" t="s">
        <v>47</v>
      </c>
      <c r="EX5" s="16"/>
      <c r="EY5" s="15"/>
      <c r="EZ5" s="12"/>
      <c r="FA5" s="32"/>
      <c r="FB5" s="47"/>
      <c r="FC5" s="13" t="s">
        <v>48</v>
      </c>
      <c r="FD5" s="16"/>
      <c r="FE5" s="15"/>
      <c r="FF5" s="12"/>
      <c r="FG5" s="32"/>
      <c r="FH5" s="47"/>
      <c r="FI5" s="13" t="s">
        <v>144</v>
      </c>
      <c r="FJ5" s="16"/>
      <c r="FK5" s="15"/>
      <c r="FL5" s="12"/>
      <c r="FM5" s="32"/>
      <c r="FN5" s="47"/>
      <c r="FO5" s="13" t="s">
        <v>49</v>
      </c>
      <c r="FP5" s="16"/>
      <c r="FQ5" s="15"/>
      <c r="FR5" s="12"/>
      <c r="FS5" s="32"/>
      <c r="FU5" s="13" t="s">
        <v>145</v>
      </c>
      <c r="FV5" s="16"/>
      <c r="FW5" s="15"/>
      <c r="FX5" s="12"/>
      <c r="FY5" s="32"/>
    </row>
    <row r="6" spans="1:186" ht="12.75">
      <c r="A6" s="22" t="s">
        <v>28</v>
      </c>
      <c r="B6" s="8"/>
      <c r="C6" s="44" t="str">
        <f>'2019C'!B6</f>
        <v>2019C</v>
      </c>
      <c r="D6" s="45"/>
      <c r="E6" s="15"/>
      <c r="F6" s="77" t="s">
        <v>156</v>
      </c>
      <c r="G6" s="32" t="s">
        <v>156</v>
      </c>
      <c r="I6" s="23"/>
      <c r="J6" s="24">
        <f>P6+V6+AH6+AN6+BF6+BL6+BX6+CJ6+DB6+DZ6+EX6+FD6+AB6+AT6+AZ6+DN6+DT6+EF6+EL6+FP6</f>
        <v>0.14414290000000002</v>
      </c>
      <c r="K6" s="25">
        <f>Q6+W6+AC6+AI6+AO6+BG6+BM6+BS6+BY6+CK6+DC6+DI6+EA6+EY6+FE6+AU6+BA6+CQ6+DO6+DU6+EG6+EM6+FQ6+CW6+ES6+FK6+FW6</f>
        <v>0.14317110300000002</v>
      </c>
      <c r="L6" s="77" t="s">
        <v>156</v>
      </c>
      <c r="M6" s="32" t="s">
        <v>156</v>
      </c>
      <c r="O6" s="48"/>
      <c r="P6" s="8">
        <v>0.022072</v>
      </c>
      <c r="Q6" s="25">
        <v>0.0331161</v>
      </c>
      <c r="R6" s="77" t="s">
        <v>156</v>
      </c>
      <c r="S6" s="32" t="s">
        <v>156</v>
      </c>
      <c r="U6" s="48"/>
      <c r="V6" s="8">
        <v>0.003547</v>
      </c>
      <c r="W6" s="25">
        <v>0.0035188</v>
      </c>
      <c r="X6" s="77" t="s">
        <v>156</v>
      </c>
      <c r="Y6" s="32" t="s">
        <v>156</v>
      </c>
      <c r="AA6" s="48"/>
      <c r="AB6" s="8">
        <v>0.0003287</v>
      </c>
      <c r="AC6" s="25">
        <v>0.0012052</v>
      </c>
      <c r="AD6" s="77" t="s">
        <v>156</v>
      </c>
      <c r="AE6" s="32" t="s">
        <v>156</v>
      </c>
      <c r="AG6" s="48"/>
      <c r="AH6" s="8"/>
      <c r="AI6" s="25">
        <v>0.000692303</v>
      </c>
      <c r="AJ6" s="77" t="s">
        <v>156</v>
      </c>
      <c r="AK6" s="32" t="s">
        <v>156</v>
      </c>
      <c r="AM6" s="48"/>
      <c r="AN6" s="8">
        <v>0.000666</v>
      </c>
      <c r="AO6" s="25">
        <v>0.0053396</v>
      </c>
      <c r="AP6" s="77" t="s">
        <v>156</v>
      </c>
      <c r="AQ6" s="32" t="s">
        <v>156</v>
      </c>
      <c r="AS6" s="48"/>
      <c r="AT6" s="8">
        <v>0.0555271</v>
      </c>
      <c r="AU6" s="25">
        <v>0.0326129</v>
      </c>
      <c r="AV6" s="77" t="s">
        <v>156</v>
      </c>
      <c r="AW6" s="32" t="s">
        <v>156</v>
      </c>
      <c r="AY6" s="48"/>
      <c r="AZ6" s="8">
        <v>0.0005499</v>
      </c>
      <c r="BA6" s="25">
        <v>0.0015564</v>
      </c>
      <c r="BB6" s="77" t="s">
        <v>156</v>
      </c>
      <c r="BC6" s="32" t="s">
        <v>156</v>
      </c>
      <c r="BE6" s="48"/>
      <c r="BF6" s="8">
        <v>0</v>
      </c>
      <c r="BG6" s="25">
        <v>0.0025266</v>
      </c>
      <c r="BH6" s="77" t="s">
        <v>156</v>
      </c>
      <c r="BI6" s="32" t="s">
        <v>156</v>
      </c>
      <c r="BK6" s="48"/>
      <c r="BL6" s="8">
        <v>0.0034184</v>
      </c>
      <c r="BM6" s="25">
        <v>0.0062159</v>
      </c>
      <c r="BN6" s="77" t="s">
        <v>156</v>
      </c>
      <c r="BO6" s="32" t="s">
        <v>156</v>
      </c>
      <c r="BQ6" s="48"/>
      <c r="BR6" s="8">
        <v>0</v>
      </c>
      <c r="BS6" s="25">
        <v>0.0002986</v>
      </c>
      <c r="BT6" s="77" t="s">
        <v>156</v>
      </c>
      <c r="BU6" s="32" t="s">
        <v>156</v>
      </c>
      <c r="BW6" s="48"/>
      <c r="BX6" s="8">
        <v>0.0005986</v>
      </c>
      <c r="BY6" s="25">
        <v>0.0031881</v>
      </c>
      <c r="BZ6" s="77" t="s">
        <v>156</v>
      </c>
      <c r="CA6" s="32" t="s">
        <v>156</v>
      </c>
      <c r="CC6" s="48"/>
      <c r="CD6" s="8"/>
      <c r="CE6" s="25">
        <v>0.00014179700000000004</v>
      </c>
      <c r="CF6" s="77" t="s">
        <v>156</v>
      </c>
      <c r="CG6" s="32" t="s">
        <v>156</v>
      </c>
      <c r="CI6" s="48"/>
      <c r="CJ6" s="8">
        <v>0.0002762</v>
      </c>
      <c r="CK6" s="25">
        <v>9.51E-05</v>
      </c>
      <c r="CL6" s="77" t="s">
        <v>156</v>
      </c>
      <c r="CM6" s="32" t="s">
        <v>156</v>
      </c>
      <c r="CO6" s="48"/>
      <c r="CP6" s="8">
        <v>0</v>
      </c>
      <c r="CQ6" s="25">
        <v>0.0001589</v>
      </c>
      <c r="CR6" s="77" t="s">
        <v>156</v>
      </c>
      <c r="CS6" s="32" t="s">
        <v>156</v>
      </c>
      <c r="CU6" s="48"/>
      <c r="CV6" s="8">
        <v>0</v>
      </c>
      <c r="CW6" s="25">
        <v>0.0030315</v>
      </c>
      <c r="CX6" s="77" t="s">
        <v>156</v>
      </c>
      <c r="CY6" s="32" t="s">
        <v>156</v>
      </c>
      <c r="DA6" s="48"/>
      <c r="DB6" s="24">
        <v>0.0001864</v>
      </c>
      <c r="DC6" s="25">
        <v>0.0024469</v>
      </c>
      <c r="DD6" s="77" t="s">
        <v>156</v>
      </c>
      <c r="DE6" s="32" t="s">
        <v>156</v>
      </c>
      <c r="DG6" s="48"/>
      <c r="DH6" s="24">
        <v>0</v>
      </c>
      <c r="DI6" s="25">
        <v>0.0004437</v>
      </c>
      <c r="DJ6" s="77" t="s">
        <v>156</v>
      </c>
      <c r="DK6" s="32" t="s">
        <v>156</v>
      </c>
      <c r="DM6" s="48"/>
      <c r="DN6" s="24">
        <v>0.000159</v>
      </c>
      <c r="DO6" s="25">
        <v>0.0001785</v>
      </c>
      <c r="DP6" s="77" t="s">
        <v>156</v>
      </c>
      <c r="DQ6" s="32" t="s">
        <v>156</v>
      </c>
      <c r="DS6" s="48"/>
      <c r="DT6" s="24">
        <v>0.0010773</v>
      </c>
      <c r="DU6" s="25">
        <v>0.0014359</v>
      </c>
      <c r="DV6" s="77" t="s">
        <v>156</v>
      </c>
      <c r="DW6" s="32" t="s">
        <v>156</v>
      </c>
      <c r="DY6" s="48"/>
      <c r="DZ6" s="24">
        <v>0.021679</v>
      </c>
      <c r="EA6" s="25">
        <v>0.0182286</v>
      </c>
      <c r="EB6" s="77" t="s">
        <v>156</v>
      </c>
      <c r="EC6" s="32" t="s">
        <v>156</v>
      </c>
      <c r="ED6" s="46"/>
      <c r="EE6" s="48"/>
      <c r="EF6" s="24">
        <v>0.0009203</v>
      </c>
      <c r="EG6" s="25">
        <v>0.0015272</v>
      </c>
      <c r="EH6" s="77" t="s">
        <v>156</v>
      </c>
      <c r="EI6" s="32" t="s">
        <v>156</v>
      </c>
      <c r="EJ6" s="47"/>
      <c r="EK6" s="48"/>
      <c r="EL6" s="24">
        <v>0.0015257</v>
      </c>
      <c r="EM6" s="25">
        <v>0.0005991</v>
      </c>
      <c r="EN6" s="77" t="s">
        <v>156</v>
      </c>
      <c r="EO6" s="32" t="s">
        <v>156</v>
      </c>
      <c r="EP6" s="47"/>
      <c r="EQ6" s="48"/>
      <c r="ER6" s="24">
        <v>0</v>
      </c>
      <c r="ES6" s="25">
        <v>0.0004914</v>
      </c>
      <c r="ET6" s="77" t="s">
        <v>156</v>
      </c>
      <c r="EU6" s="32" t="s">
        <v>156</v>
      </c>
      <c r="EV6" s="47"/>
      <c r="EW6" s="48"/>
      <c r="EX6" s="24">
        <v>0.0012825</v>
      </c>
      <c r="EY6" s="25">
        <v>0.0044851</v>
      </c>
      <c r="EZ6" s="77" t="s">
        <v>156</v>
      </c>
      <c r="FA6" s="32" t="s">
        <v>156</v>
      </c>
      <c r="FB6" s="47"/>
      <c r="FC6" s="48"/>
      <c r="FD6" s="24">
        <v>0.0268066</v>
      </c>
      <c r="FE6" s="25">
        <v>0.0129373</v>
      </c>
      <c r="FF6" s="77" t="s">
        <v>156</v>
      </c>
      <c r="FG6" s="32" t="s">
        <v>156</v>
      </c>
      <c r="FH6" s="37"/>
      <c r="FI6" s="48"/>
      <c r="FJ6" s="24">
        <v>0</v>
      </c>
      <c r="FK6" s="25">
        <v>0.0001326</v>
      </c>
      <c r="FL6" s="77" t="s">
        <v>156</v>
      </c>
      <c r="FM6" s="32" t="s">
        <v>156</v>
      </c>
      <c r="FN6" s="37"/>
      <c r="FO6" s="48"/>
      <c r="FP6" s="24">
        <v>0.0035222</v>
      </c>
      <c r="FQ6" s="25">
        <v>0.0062666</v>
      </c>
      <c r="FR6" s="77" t="s">
        <v>156</v>
      </c>
      <c r="FS6" s="32" t="s">
        <v>156</v>
      </c>
      <c r="FT6" s="8"/>
      <c r="FU6" s="48"/>
      <c r="FV6" s="24">
        <v>0</v>
      </c>
      <c r="FW6" s="25">
        <v>0.0004422</v>
      </c>
      <c r="FX6" s="77" t="s">
        <v>156</v>
      </c>
      <c r="FY6" s="32" t="s">
        <v>156</v>
      </c>
      <c r="FZ6" s="8"/>
      <c r="GA6" s="8"/>
      <c r="GB6" s="8"/>
      <c r="GC6" s="8"/>
      <c r="GD6" s="8"/>
    </row>
    <row r="7" spans="1:181" ht="12.75">
      <c r="A7" s="31"/>
      <c r="C7" s="32" t="s">
        <v>29</v>
      </c>
      <c r="D7" s="32" t="s">
        <v>30</v>
      </c>
      <c r="E7" s="32" t="s">
        <v>31</v>
      </c>
      <c r="F7" s="32" t="s">
        <v>157</v>
      </c>
      <c r="G7" s="32" t="s">
        <v>165</v>
      </c>
      <c r="I7" s="32" t="s">
        <v>29</v>
      </c>
      <c r="J7" s="32" t="s">
        <v>30</v>
      </c>
      <c r="K7" s="32" t="s">
        <v>31</v>
      </c>
      <c r="L7" s="32" t="s">
        <v>157</v>
      </c>
      <c r="M7" s="32" t="s">
        <v>165</v>
      </c>
      <c r="O7" s="32" t="s">
        <v>29</v>
      </c>
      <c r="P7" s="32" t="s">
        <v>30</v>
      </c>
      <c r="Q7" s="32" t="s">
        <v>31</v>
      </c>
      <c r="R7" s="32" t="s">
        <v>157</v>
      </c>
      <c r="S7" s="32" t="s">
        <v>165</v>
      </c>
      <c r="U7" s="32" t="s">
        <v>29</v>
      </c>
      <c r="V7" s="32" t="s">
        <v>30</v>
      </c>
      <c r="W7" s="32" t="s">
        <v>31</v>
      </c>
      <c r="X7" s="32" t="s">
        <v>157</v>
      </c>
      <c r="Y7" s="32" t="s">
        <v>165</v>
      </c>
      <c r="AA7" s="32" t="s">
        <v>29</v>
      </c>
      <c r="AB7" s="32" t="s">
        <v>30</v>
      </c>
      <c r="AC7" s="32" t="s">
        <v>31</v>
      </c>
      <c r="AD7" s="32" t="s">
        <v>157</v>
      </c>
      <c r="AE7" s="32" t="s">
        <v>165</v>
      </c>
      <c r="AG7" s="32" t="s">
        <v>29</v>
      </c>
      <c r="AH7" s="32" t="s">
        <v>30</v>
      </c>
      <c r="AI7" s="32" t="s">
        <v>31</v>
      </c>
      <c r="AJ7" s="32" t="s">
        <v>157</v>
      </c>
      <c r="AK7" s="32" t="s">
        <v>165</v>
      </c>
      <c r="AM7" s="32" t="s">
        <v>29</v>
      </c>
      <c r="AN7" s="32" t="s">
        <v>30</v>
      </c>
      <c r="AO7" s="32" t="s">
        <v>31</v>
      </c>
      <c r="AP7" s="32" t="s">
        <v>157</v>
      </c>
      <c r="AQ7" s="32" t="s">
        <v>165</v>
      </c>
      <c r="AS7" s="32" t="s">
        <v>29</v>
      </c>
      <c r="AT7" s="32" t="s">
        <v>30</v>
      </c>
      <c r="AU7" s="32" t="s">
        <v>31</v>
      </c>
      <c r="AV7" s="32" t="s">
        <v>157</v>
      </c>
      <c r="AW7" s="32" t="s">
        <v>165</v>
      </c>
      <c r="AY7" s="32" t="s">
        <v>29</v>
      </c>
      <c r="AZ7" s="32" t="s">
        <v>30</v>
      </c>
      <c r="BA7" s="32" t="s">
        <v>31</v>
      </c>
      <c r="BB7" s="32" t="s">
        <v>157</v>
      </c>
      <c r="BC7" s="32" t="s">
        <v>165</v>
      </c>
      <c r="BE7" s="32" t="s">
        <v>29</v>
      </c>
      <c r="BF7" s="32" t="s">
        <v>30</v>
      </c>
      <c r="BG7" s="32" t="s">
        <v>31</v>
      </c>
      <c r="BH7" s="32" t="s">
        <v>157</v>
      </c>
      <c r="BI7" s="32" t="s">
        <v>165</v>
      </c>
      <c r="BK7" s="32" t="s">
        <v>29</v>
      </c>
      <c r="BL7" s="32" t="s">
        <v>30</v>
      </c>
      <c r="BM7" s="32" t="s">
        <v>31</v>
      </c>
      <c r="BN7" s="32" t="s">
        <v>157</v>
      </c>
      <c r="BO7" s="32" t="s">
        <v>165</v>
      </c>
      <c r="BQ7" s="32" t="s">
        <v>29</v>
      </c>
      <c r="BR7" s="32" t="s">
        <v>30</v>
      </c>
      <c r="BS7" s="32" t="s">
        <v>31</v>
      </c>
      <c r="BT7" s="32" t="s">
        <v>157</v>
      </c>
      <c r="BU7" s="32" t="s">
        <v>165</v>
      </c>
      <c r="BW7" s="32" t="s">
        <v>29</v>
      </c>
      <c r="BX7" s="32" t="s">
        <v>30</v>
      </c>
      <c r="BY7" s="32" t="s">
        <v>31</v>
      </c>
      <c r="BZ7" s="32" t="s">
        <v>157</v>
      </c>
      <c r="CA7" s="32" t="s">
        <v>165</v>
      </c>
      <c r="CC7" s="32" t="s">
        <v>29</v>
      </c>
      <c r="CD7" s="32" t="s">
        <v>30</v>
      </c>
      <c r="CE7" s="32" t="s">
        <v>31</v>
      </c>
      <c r="CF7" s="32" t="s">
        <v>157</v>
      </c>
      <c r="CG7" s="32" t="s">
        <v>165</v>
      </c>
      <c r="CI7" s="32" t="s">
        <v>29</v>
      </c>
      <c r="CJ7" s="32" t="s">
        <v>30</v>
      </c>
      <c r="CK7" s="32" t="s">
        <v>31</v>
      </c>
      <c r="CL7" s="32" t="s">
        <v>157</v>
      </c>
      <c r="CM7" s="32" t="s">
        <v>165</v>
      </c>
      <c r="CO7" s="32" t="s">
        <v>29</v>
      </c>
      <c r="CP7" s="32" t="s">
        <v>30</v>
      </c>
      <c r="CQ7" s="32" t="s">
        <v>31</v>
      </c>
      <c r="CR7" s="32" t="s">
        <v>157</v>
      </c>
      <c r="CS7" s="32" t="s">
        <v>165</v>
      </c>
      <c r="CU7" s="32" t="s">
        <v>29</v>
      </c>
      <c r="CV7" s="32" t="s">
        <v>30</v>
      </c>
      <c r="CW7" s="32" t="s">
        <v>31</v>
      </c>
      <c r="CX7" s="32" t="s">
        <v>157</v>
      </c>
      <c r="CY7" s="32" t="s">
        <v>165</v>
      </c>
      <c r="DA7" s="32" t="s">
        <v>29</v>
      </c>
      <c r="DB7" s="32" t="s">
        <v>30</v>
      </c>
      <c r="DC7" s="32" t="s">
        <v>31</v>
      </c>
      <c r="DD7" s="32" t="s">
        <v>157</v>
      </c>
      <c r="DE7" s="32" t="s">
        <v>165</v>
      </c>
      <c r="DG7" s="32" t="s">
        <v>29</v>
      </c>
      <c r="DH7" s="32" t="s">
        <v>30</v>
      </c>
      <c r="DI7" s="32" t="s">
        <v>31</v>
      </c>
      <c r="DJ7" s="32" t="s">
        <v>157</v>
      </c>
      <c r="DK7" s="32" t="s">
        <v>165</v>
      </c>
      <c r="DM7" s="32" t="s">
        <v>29</v>
      </c>
      <c r="DN7" s="32" t="s">
        <v>30</v>
      </c>
      <c r="DO7" s="32" t="s">
        <v>31</v>
      </c>
      <c r="DP7" s="32" t="s">
        <v>157</v>
      </c>
      <c r="DQ7" s="32" t="s">
        <v>165</v>
      </c>
      <c r="DS7" s="32" t="s">
        <v>29</v>
      </c>
      <c r="DT7" s="32" t="s">
        <v>30</v>
      </c>
      <c r="DU7" s="32" t="s">
        <v>31</v>
      </c>
      <c r="DV7" s="32" t="s">
        <v>157</v>
      </c>
      <c r="DW7" s="32" t="s">
        <v>165</v>
      </c>
      <c r="DY7" s="32" t="s">
        <v>29</v>
      </c>
      <c r="DZ7" s="32" t="s">
        <v>30</v>
      </c>
      <c r="EA7" s="32" t="s">
        <v>31</v>
      </c>
      <c r="EB7" s="32" t="s">
        <v>157</v>
      </c>
      <c r="EC7" s="32" t="s">
        <v>165</v>
      </c>
      <c r="ED7" s="49"/>
      <c r="EE7" s="32" t="s">
        <v>29</v>
      </c>
      <c r="EF7" s="32" t="s">
        <v>30</v>
      </c>
      <c r="EG7" s="32" t="s">
        <v>31</v>
      </c>
      <c r="EH7" s="32" t="s">
        <v>157</v>
      </c>
      <c r="EI7" s="32" t="s">
        <v>165</v>
      </c>
      <c r="EJ7" s="49"/>
      <c r="EK7" s="32" t="s">
        <v>29</v>
      </c>
      <c r="EL7" s="32" t="s">
        <v>30</v>
      </c>
      <c r="EM7" s="32" t="s">
        <v>31</v>
      </c>
      <c r="EN7" s="32" t="s">
        <v>157</v>
      </c>
      <c r="EO7" s="32" t="s">
        <v>165</v>
      </c>
      <c r="EP7" s="49"/>
      <c r="EQ7" s="32" t="s">
        <v>29</v>
      </c>
      <c r="ER7" s="32" t="s">
        <v>30</v>
      </c>
      <c r="ES7" s="32" t="s">
        <v>31</v>
      </c>
      <c r="ET7" s="32" t="s">
        <v>157</v>
      </c>
      <c r="EU7" s="32" t="s">
        <v>165</v>
      </c>
      <c r="EV7" s="49"/>
      <c r="EW7" s="32" t="s">
        <v>29</v>
      </c>
      <c r="EX7" s="32" t="s">
        <v>30</v>
      </c>
      <c r="EY7" s="32" t="s">
        <v>31</v>
      </c>
      <c r="EZ7" s="32" t="s">
        <v>157</v>
      </c>
      <c r="FA7" s="32" t="s">
        <v>165</v>
      </c>
      <c r="FB7" s="49"/>
      <c r="FC7" s="32" t="s">
        <v>29</v>
      </c>
      <c r="FD7" s="32" t="s">
        <v>30</v>
      </c>
      <c r="FE7" s="32" t="s">
        <v>31</v>
      </c>
      <c r="FF7" s="32" t="s">
        <v>157</v>
      </c>
      <c r="FG7" s="32" t="s">
        <v>165</v>
      </c>
      <c r="FH7" s="49"/>
      <c r="FI7" s="32" t="s">
        <v>29</v>
      </c>
      <c r="FJ7" s="32" t="s">
        <v>30</v>
      </c>
      <c r="FK7" s="32" t="s">
        <v>31</v>
      </c>
      <c r="FL7" s="32" t="s">
        <v>157</v>
      </c>
      <c r="FM7" s="32" t="s">
        <v>165</v>
      </c>
      <c r="FN7" s="49"/>
      <c r="FO7" s="32" t="s">
        <v>29</v>
      </c>
      <c r="FP7" s="32" t="s">
        <v>30</v>
      </c>
      <c r="FQ7" s="32" t="s">
        <v>31</v>
      </c>
      <c r="FR7" s="32" t="s">
        <v>157</v>
      </c>
      <c r="FS7" s="32" t="s">
        <v>165</v>
      </c>
      <c r="FU7" s="32" t="s">
        <v>29</v>
      </c>
      <c r="FV7" s="32" t="s">
        <v>30</v>
      </c>
      <c r="FW7" s="32" t="s">
        <v>31</v>
      </c>
      <c r="FX7" s="32" t="s">
        <v>157</v>
      </c>
      <c r="FY7" s="32" t="s">
        <v>165</v>
      </c>
    </row>
    <row r="8" spans="1:181" ht="12.75">
      <c r="A8" s="40">
        <v>44105</v>
      </c>
      <c r="C8" s="76">
        <f>'2019C'!B8</f>
        <v>0</v>
      </c>
      <c r="D8" s="76">
        <f>'2019C'!C8</f>
        <v>1220275</v>
      </c>
      <c r="E8" s="37">
        <f aca="true" t="shared" si="0" ref="E8:E27">C8+D8</f>
        <v>1220275</v>
      </c>
      <c r="F8" s="76">
        <f>'2019C'!E8</f>
        <v>525942</v>
      </c>
      <c r="G8" s="76">
        <f>'2019C'!F8</f>
        <v>9643</v>
      </c>
      <c r="I8" s="50"/>
      <c r="J8" s="38">
        <f aca="true" t="shared" si="1" ref="J8:J27">P8+V8+AH8+AN8+BF8+BL8+BR8+BX8+CJ8+CP8+DB8+DH8+DZ8+EX8+FD8+AB8+AT8+AZ8+DN8+DT8+EF8+EL8+FP8+CV8+ER8+FJ8+FV8+CD8</f>
        <v>174881.14904749993</v>
      </c>
      <c r="K8" s="38">
        <f aca="true" t="shared" si="2" ref="K8:K27">I8+J8</f>
        <v>174881.14904749993</v>
      </c>
      <c r="L8" s="38">
        <f aca="true" t="shared" si="3" ref="L8:L27">R8+X8+AJ8+AP8+BH8+BN8+BT8+BZ8+CL8+CR8+DD8+DJ8+EB8+EZ8+FF8+AD8+AV8+BB8+DP8+DV8+EH8+EN8+FR8+CX8+ET8+FL8+FX8+CF8</f>
        <v>75374.27325180001</v>
      </c>
      <c r="M8" s="38">
        <f aca="true" t="shared" si="4" ref="M8:M27">S8+Y8+AK8+AQ8+BI8+BO8+BU8+CA8+CM8+CS8+DE8+DK8+EC8+FA8+FG8+AE8+AW8+BC8+DQ8+DW8+EI8+EO8+FS8+CY8+EU8+FM8+FY8+CG8</f>
        <v>1381.9662947000002</v>
      </c>
      <c r="P8" s="5">
        <f aca="true" t="shared" si="5" ref="P8:P27">D8*$Q$6</f>
        <v>40410.748927500004</v>
      </c>
      <c r="Q8" s="5">
        <f aca="true" t="shared" si="6" ref="Q8:Q27">O8+P8</f>
        <v>40410.748927500004</v>
      </c>
      <c r="R8" s="38">
        <f aca="true" t="shared" si="7" ref="R8:R27">Q$6*$F8</f>
        <v>17417.1478662</v>
      </c>
      <c r="S8" s="5">
        <f aca="true" t="shared" si="8" ref="S8:S27">$G8*Q$6</f>
        <v>319.3385523</v>
      </c>
      <c r="V8" s="38">
        <f aca="true" t="shared" si="9" ref="V8:V27">D8*$W$6</f>
        <v>4293.90367</v>
      </c>
      <c r="W8" s="38">
        <f aca="true" t="shared" si="10" ref="W8:W27">U8+V8</f>
        <v>4293.90367</v>
      </c>
      <c r="X8" s="38">
        <f aca="true" t="shared" si="11" ref="X8:X27">W$6*$F8</f>
        <v>1850.6847096</v>
      </c>
      <c r="Y8" s="5">
        <f aca="true" t="shared" si="12" ref="Y8:Y27">$G8*W$6</f>
        <v>33.9317884</v>
      </c>
      <c r="AB8" s="5">
        <f aca="true" t="shared" si="13" ref="AB8:AB27">D8*$AC$6</f>
        <v>1470.67543</v>
      </c>
      <c r="AC8" s="5">
        <f aca="true" t="shared" si="14" ref="AC8:AC27">AA8+AB8</f>
        <v>1470.67543</v>
      </c>
      <c r="AD8" s="38">
        <f aca="true" t="shared" si="15" ref="AD8:AD27">AC$6*$F8</f>
        <v>633.8652984</v>
      </c>
      <c r="AE8" s="5">
        <f aca="true" t="shared" si="16" ref="AE8:AE27">$G8*AC$6</f>
        <v>11.6217436</v>
      </c>
      <c r="AH8" s="5">
        <f aca="true" t="shared" si="17" ref="AH8:AH27">D8*$AI$6</f>
        <v>844.800043325</v>
      </c>
      <c r="AI8" s="5">
        <f aca="true" t="shared" si="18" ref="AI8:AI27">AG8+AH8</f>
        <v>844.800043325</v>
      </c>
      <c r="AJ8" s="38">
        <f aca="true" t="shared" si="19" ref="AJ8:AJ27">AI$6*$F8</f>
        <v>364.11122442600004</v>
      </c>
      <c r="AK8" s="5">
        <f aca="true" t="shared" si="20" ref="AK8:AK27">$G8*AI$6</f>
        <v>6.675877829</v>
      </c>
      <c r="AN8" s="5">
        <f aca="true" t="shared" si="21" ref="AN8:AN27">D8*$AO$6</f>
        <v>6515.78039</v>
      </c>
      <c r="AO8" s="5">
        <f aca="true" t="shared" si="22" ref="AO8:AO27">AM8+AN8</f>
        <v>6515.78039</v>
      </c>
      <c r="AP8" s="38">
        <f aca="true" t="shared" si="23" ref="AP8:AP27">AO$6*$F8</f>
        <v>2808.3199031999998</v>
      </c>
      <c r="AQ8" s="5">
        <f aca="true" t="shared" si="24" ref="AQ8:AQ27">$G8*AO$6</f>
        <v>51.4897628</v>
      </c>
      <c r="AT8" s="5">
        <f aca="true" t="shared" si="25" ref="AT8:AT27">D8*$AU$6</f>
        <v>39796.7065475</v>
      </c>
      <c r="AU8" s="5">
        <f aca="true" t="shared" si="26" ref="AU8:AU27">AS8+AT8</f>
        <v>39796.7065475</v>
      </c>
      <c r="AV8" s="38">
        <f aca="true" t="shared" si="27" ref="AV8:AV27">AU$6*$F8</f>
        <v>17152.4938518</v>
      </c>
      <c r="AW8" s="5">
        <f aca="true" t="shared" si="28" ref="AW8:AW27">$G8*AU$6</f>
        <v>314.4861947</v>
      </c>
      <c r="AZ8" s="5">
        <f aca="true" t="shared" si="29" ref="AZ8:AZ27">D8*$BA$6</f>
        <v>1899.23601</v>
      </c>
      <c r="BA8" s="5">
        <f aca="true" t="shared" si="30" ref="BA8:BA27">AY8+AZ8</f>
        <v>1899.23601</v>
      </c>
      <c r="BB8" s="38">
        <f aca="true" t="shared" si="31" ref="BB8:BB27">BA$6*$F8</f>
        <v>818.5761288000001</v>
      </c>
      <c r="BC8" s="5">
        <f aca="true" t="shared" si="32" ref="BC8:BC27">$G8*BA$6</f>
        <v>15.008365200000002</v>
      </c>
      <c r="BF8" s="5">
        <f aca="true" t="shared" si="33" ref="BF8:BF27">D8*$BG$6</f>
        <v>3083.146815</v>
      </c>
      <c r="BG8" s="5">
        <f aca="true" t="shared" si="34" ref="BG8:BG27">BE8+BF8</f>
        <v>3083.146815</v>
      </c>
      <c r="BH8" s="38">
        <f aca="true" t="shared" si="35" ref="BH8:BH27">BG$6*$F8</f>
        <v>1328.8450572</v>
      </c>
      <c r="BI8" s="5">
        <f aca="true" t="shared" si="36" ref="BI8:BI27">$G8*BG$6</f>
        <v>24.3640038</v>
      </c>
      <c r="BK8" s="38"/>
      <c r="BL8" s="5">
        <f aca="true" t="shared" si="37" ref="BL8:BL27">D8*$BM$6</f>
        <v>7585.1073725</v>
      </c>
      <c r="BM8" s="38">
        <f aca="true" t="shared" si="38" ref="BM8:BM27">BK8+BL8</f>
        <v>7585.1073725</v>
      </c>
      <c r="BN8" s="38">
        <f aca="true" t="shared" si="39" ref="BN8:BN27">BM$6*$F8</f>
        <v>3269.2028778</v>
      </c>
      <c r="BO8" s="5">
        <f aca="true" t="shared" si="40" ref="BO8:BO27">$G8*BM$6</f>
        <v>59.9399237</v>
      </c>
      <c r="BR8" s="5">
        <f aca="true" t="shared" si="41" ref="BR8:BR27">D8*$BS$6</f>
        <v>364.374115</v>
      </c>
      <c r="BS8" s="5">
        <f aca="true" t="shared" si="42" ref="BS8:BS27">BQ8+BR8</f>
        <v>364.374115</v>
      </c>
      <c r="BT8" s="38">
        <f aca="true" t="shared" si="43" ref="BT8:BT27">BS$6*$F8</f>
        <v>157.0462812</v>
      </c>
      <c r="BU8" s="5">
        <f aca="true" t="shared" si="44" ref="BU8:BU27">$G8*BS$6</f>
        <v>2.8793998</v>
      </c>
      <c r="BX8" s="5">
        <f aca="true" t="shared" si="45" ref="BX8:BX27">D8*$BY$6</f>
        <v>3890.3587275</v>
      </c>
      <c r="BY8" s="5">
        <f aca="true" t="shared" si="46" ref="BY8:BY27">BW8+BX8</f>
        <v>3890.3587275</v>
      </c>
      <c r="BZ8" s="38">
        <f aca="true" t="shared" si="47" ref="BZ8:BZ27">BY$6*$F8</f>
        <v>1676.7556902000001</v>
      </c>
      <c r="CA8" s="5">
        <f aca="true" t="shared" si="48" ref="CA8:CA27">$G8*BY$6</f>
        <v>30.742848300000002</v>
      </c>
      <c r="CD8" s="5">
        <f aca="true" t="shared" si="49" ref="CD8:CD27">$D8*CE$6</f>
        <v>173.03133417500004</v>
      </c>
      <c r="CE8" s="5">
        <f aca="true" t="shared" si="50" ref="CE8:CE27">SUM(CC8:CD8)</f>
        <v>173.03133417500004</v>
      </c>
      <c r="CF8" s="38">
        <f aca="true" t="shared" si="51" ref="CF8:CF27">CE$6*$F8</f>
        <v>74.57699777400002</v>
      </c>
      <c r="CG8" s="5">
        <f aca="true" t="shared" si="52" ref="CG8:CG27">$G8*CE$6</f>
        <v>1.3673484710000003</v>
      </c>
      <c r="CJ8" s="5">
        <f aca="true" t="shared" si="53" ref="CJ8:CJ27">D8*$CK$6</f>
        <v>116.04815249999999</v>
      </c>
      <c r="CK8" s="5">
        <f aca="true" t="shared" si="54" ref="CK8:CK27">CI8+CJ8</f>
        <v>116.04815249999999</v>
      </c>
      <c r="CL8" s="38">
        <f aca="true" t="shared" si="55" ref="CL8:CL27">CK$6*$F8</f>
        <v>50.0170842</v>
      </c>
      <c r="CM8" s="5">
        <f aca="true" t="shared" si="56" ref="CM8:CM27">$G8*CK$6</f>
        <v>0.9170493</v>
      </c>
      <c r="CP8" s="5">
        <f aca="true" t="shared" si="57" ref="CP8:CP27">D8*$CQ$6</f>
        <v>193.9016975</v>
      </c>
      <c r="CQ8" s="5">
        <f aca="true" t="shared" si="58" ref="CQ8:CQ27">CO8+CP8</f>
        <v>193.9016975</v>
      </c>
      <c r="CR8" s="38">
        <f aca="true" t="shared" si="59" ref="CR8:CR27">CQ$6*$F8</f>
        <v>83.5721838</v>
      </c>
      <c r="CS8" s="5">
        <f aca="true" t="shared" si="60" ref="CS8:CS27">$G8*CQ$6</f>
        <v>1.5322727</v>
      </c>
      <c r="CV8" s="5">
        <f aca="true" t="shared" si="61" ref="CV8:CV27">D8*$CW$6</f>
        <v>3699.2636625</v>
      </c>
      <c r="CW8" s="5">
        <f aca="true" t="shared" si="62" ref="CW8:CW27">CU8+CV8</f>
        <v>3699.2636625</v>
      </c>
      <c r="CX8" s="38">
        <f aca="true" t="shared" si="63" ref="CX8:CX27">CW$6*$F8</f>
        <v>1594.393173</v>
      </c>
      <c r="CY8" s="5">
        <f aca="true" t="shared" si="64" ref="CY8:CY27">$G8*CW$6</f>
        <v>29.2327545</v>
      </c>
      <c r="DB8" s="5">
        <f aca="true" t="shared" si="65" ref="DB8:DB27">D8*$DC$6</f>
        <v>2985.8908975</v>
      </c>
      <c r="DC8" s="38">
        <f aca="true" t="shared" si="66" ref="DC8:DC27">DA8+DB8</f>
        <v>2985.8908975</v>
      </c>
      <c r="DD8" s="38">
        <f aca="true" t="shared" si="67" ref="DD8:DD27">DC$6*$F8</f>
        <v>1286.9274798000001</v>
      </c>
      <c r="DE8" s="5">
        <f aca="true" t="shared" si="68" ref="DE8:DE27">$G8*DC$6</f>
        <v>23.5954567</v>
      </c>
      <c r="DH8" s="5">
        <f aca="true" t="shared" si="69" ref="DH8:DH27">D8*$DI$6</f>
        <v>541.4360175</v>
      </c>
      <c r="DI8" s="5">
        <f aca="true" t="shared" si="70" ref="DI8:DI27">DG8+DH8</f>
        <v>541.4360175</v>
      </c>
      <c r="DJ8" s="38">
        <f aca="true" t="shared" si="71" ref="DJ8:DJ27">DI$6*$F8</f>
        <v>233.3604654</v>
      </c>
      <c r="DK8" s="5">
        <f aca="true" t="shared" si="72" ref="DK8:DK27">$G8*DI$6</f>
        <v>4.2785991</v>
      </c>
      <c r="DN8" s="5">
        <f aca="true" t="shared" si="73" ref="DN8:DN27">D8*$DO$6</f>
        <v>217.8190875</v>
      </c>
      <c r="DO8" s="5">
        <f aca="true" t="shared" si="74" ref="DO8:DO27">DM8+DN8</f>
        <v>217.8190875</v>
      </c>
      <c r="DP8" s="38">
        <f aca="true" t="shared" si="75" ref="DP8:DP27">DO$6*$F8</f>
        <v>93.880647</v>
      </c>
      <c r="DQ8" s="5">
        <f aca="true" t="shared" si="76" ref="DQ8:DQ27">$G8*DO$6</f>
        <v>1.7212755</v>
      </c>
      <c r="DT8" s="5">
        <f aca="true" t="shared" si="77" ref="DT8:DT27">D8*$DU$6</f>
        <v>1752.1928725</v>
      </c>
      <c r="DU8" s="5">
        <f aca="true" t="shared" si="78" ref="DU8:DU27">DS8+DT8</f>
        <v>1752.1928725</v>
      </c>
      <c r="DV8" s="38">
        <f aca="true" t="shared" si="79" ref="DV8:DV27">DU$6*$F8</f>
        <v>755.2001177999999</v>
      </c>
      <c r="DW8" s="5">
        <f aca="true" t="shared" si="80" ref="DW8:DW27">$G8*DU$6</f>
        <v>13.846383699999999</v>
      </c>
      <c r="DZ8" s="5">
        <f aca="true" t="shared" si="81" ref="DZ8:DZ27">D8*$EA$6</f>
        <v>22243.904865</v>
      </c>
      <c r="EA8" s="38">
        <f aca="true" t="shared" si="82" ref="EA8:EA27">DY8+DZ8</f>
        <v>22243.904865</v>
      </c>
      <c r="EB8" s="38">
        <f aca="true" t="shared" si="83" ref="EB8:EB27">EA$6*$F8</f>
        <v>9587.1863412</v>
      </c>
      <c r="EC8" s="5">
        <f aca="true" t="shared" si="84" ref="EC8:EC27">$G8*EA$6</f>
        <v>175.7783898</v>
      </c>
      <c r="EF8" s="38">
        <f aca="true" t="shared" si="85" ref="EF8:EF27">D8*$EG$6</f>
        <v>1863.60398</v>
      </c>
      <c r="EG8" s="38">
        <f aca="true" t="shared" si="86" ref="EG8:EG27">EE8+EF8</f>
        <v>1863.60398</v>
      </c>
      <c r="EH8" s="38">
        <f aca="true" t="shared" si="87" ref="EH8:EH27">EG$6*$F8</f>
        <v>803.2186224000001</v>
      </c>
      <c r="EI8" s="5">
        <f aca="true" t="shared" si="88" ref="EI8:EI27">$G8*EG$6</f>
        <v>14.7267896</v>
      </c>
      <c r="EL8" s="38">
        <f aca="true" t="shared" si="89" ref="EL8:EL27">D8*$EM$6</f>
        <v>731.0667525</v>
      </c>
      <c r="EM8" s="38">
        <f aca="true" t="shared" si="90" ref="EM8:EM27">EK8+EL8</f>
        <v>731.0667525</v>
      </c>
      <c r="EN8" s="38">
        <f aca="true" t="shared" si="91" ref="EN8:EN27">EM$6*$F8</f>
        <v>315.0918522</v>
      </c>
      <c r="EO8" s="5">
        <f aca="true" t="shared" si="92" ref="EO8:EO27">$G8*EM$6</f>
        <v>5.7771213</v>
      </c>
      <c r="ER8" s="5">
        <f aca="true" t="shared" si="93" ref="ER8:ER27">D8*$ES$6</f>
        <v>599.643135</v>
      </c>
      <c r="ES8" s="5">
        <f aca="true" t="shared" si="94" ref="ES8:ES27">EQ8+ER8</f>
        <v>599.643135</v>
      </c>
      <c r="ET8" s="38">
        <f aca="true" t="shared" si="95" ref="ET8:ET27">ES$6*$F8</f>
        <v>258.4478988</v>
      </c>
      <c r="EU8" s="5">
        <f aca="true" t="shared" si="96" ref="EU8:EU27">$G8*ES$6</f>
        <v>4.7385702</v>
      </c>
      <c r="EW8" s="38"/>
      <c r="EX8" s="38">
        <f aca="true" t="shared" si="97" ref="EX8:EX27">D8*$EY$6</f>
        <v>5473.055402499999</v>
      </c>
      <c r="EY8" s="5">
        <f aca="true" t="shared" si="98" ref="EY8:EY27">EW8+EX8</f>
        <v>5473.055402499999</v>
      </c>
      <c r="EZ8" s="38">
        <f aca="true" t="shared" si="99" ref="EZ8:EZ27">EY$6*$F8</f>
        <v>2358.9024642</v>
      </c>
      <c r="FA8" s="5">
        <f aca="true" t="shared" si="100" ref="FA8:FA27">$G8*EY$6</f>
        <v>43.2498193</v>
      </c>
      <c r="FC8" s="38"/>
      <c r="FD8" s="38">
        <f aca="true" t="shared" si="101" ref="FD8:FD27">D8*$FE$6</f>
        <v>15787.0637575</v>
      </c>
      <c r="FE8" s="5">
        <f aca="true" t="shared" si="102" ref="FE8:FE27">FC8+FD8</f>
        <v>15787.0637575</v>
      </c>
      <c r="FF8" s="38">
        <f aca="true" t="shared" si="103" ref="FF8:FF27">FE$6*$F8</f>
        <v>6804.2694366000005</v>
      </c>
      <c r="FG8" s="5">
        <f aca="true" t="shared" si="104" ref="FG8:FG27">$G8*FE$6</f>
        <v>124.75438390000001</v>
      </c>
      <c r="FJ8" s="5">
        <f aca="true" t="shared" si="105" ref="FJ8:FJ27">D8*$FK$6</f>
        <v>161.80846499999998</v>
      </c>
      <c r="FK8" s="5">
        <f aca="true" t="shared" si="106" ref="FK8:FK27">FI8+FJ8</f>
        <v>161.80846499999998</v>
      </c>
      <c r="FL8" s="38">
        <f aca="true" t="shared" si="107" ref="FL8:FL27">FK$6*$F8</f>
        <v>69.7399092</v>
      </c>
      <c r="FM8" s="5">
        <f aca="true" t="shared" si="108" ref="FM8:FM27">$G8*FK$6</f>
        <v>1.2786618</v>
      </c>
      <c r="FO8" s="5"/>
      <c r="FP8" s="5">
        <f aca="true" t="shared" si="109" ref="FP8:FP27">D8*$FQ$6</f>
        <v>7646.975315</v>
      </c>
      <c r="FQ8" s="5">
        <f aca="true" t="shared" si="110" ref="FQ8:FQ27">FO8+FP8</f>
        <v>7646.975315</v>
      </c>
      <c r="FR8" s="38">
        <f aca="true" t="shared" si="111" ref="FR8:FR27">FQ$6*$F8</f>
        <v>3295.8681372</v>
      </c>
      <c r="FS8" s="5">
        <f aca="true" t="shared" si="112" ref="FS8:FS27">$G8*FQ$6</f>
        <v>60.428823799999996</v>
      </c>
      <c r="FU8" s="5"/>
      <c r="FV8" s="5">
        <f aca="true" t="shared" si="113" ref="FV8:FV27">D8*$FW$6</f>
        <v>539.605605</v>
      </c>
      <c r="FW8" s="5">
        <f aca="true" t="shared" si="114" ref="FW8:FW27">FU8+FV8</f>
        <v>539.605605</v>
      </c>
      <c r="FX8" s="38">
        <f aca="true" t="shared" si="115" ref="FX8:FX27">FW$6*$F8</f>
        <v>232.5715524</v>
      </c>
      <c r="FY8" s="5">
        <f aca="true" t="shared" si="116" ref="FY8:FY27">$G8*FW$6</f>
        <v>4.2641346</v>
      </c>
    </row>
    <row r="9" spans="1:181" ht="12.75">
      <c r="A9" s="40">
        <v>44287</v>
      </c>
      <c r="C9" s="76">
        <f>'2019C'!B9</f>
        <v>0</v>
      </c>
      <c r="D9" s="76">
        <f>'2019C'!C9</f>
        <v>1220275</v>
      </c>
      <c r="E9" s="37">
        <f t="shared" si="0"/>
        <v>1220275</v>
      </c>
      <c r="F9" s="76">
        <f>'2019C'!E9</f>
        <v>525942</v>
      </c>
      <c r="G9" s="76">
        <f>'2019C'!F9</f>
        <v>9643</v>
      </c>
      <c r="I9" s="50">
        <f aca="true" t="shared" si="117" ref="I9:I27">O9+U9+AA9+AG9+AM9+BE9+BK9+BQ9+BW9+CI9+DA9+DY9+EW9+FC9+AS9+AY9+CO9+DG9+DM9+DS9+EE9+EK9+FO9+CU9+EQ9+FI9+FU9+CC9</f>
        <v>0</v>
      </c>
      <c r="J9" s="38">
        <f t="shared" si="1"/>
        <v>174881.14904749993</v>
      </c>
      <c r="K9" s="38">
        <f t="shared" si="2"/>
        <v>174881.14904749993</v>
      </c>
      <c r="L9" s="38">
        <f t="shared" si="3"/>
        <v>75374.27325180001</v>
      </c>
      <c r="M9" s="38">
        <f t="shared" si="4"/>
        <v>1381.9662947000002</v>
      </c>
      <c r="O9" s="5">
        <f aca="true" t="shared" si="118" ref="O9:O27">C9*$Q$6</f>
        <v>0</v>
      </c>
      <c r="P9" s="5">
        <f t="shared" si="5"/>
        <v>40410.748927500004</v>
      </c>
      <c r="Q9" s="5">
        <f t="shared" si="6"/>
        <v>40410.748927500004</v>
      </c>
      <c r="R9" s="38">
        <f t="shared" si="7"/>
        <v>17417.1478662</v>
      </c>
      <c r="S9" s="5">
        <f t="shared" si="8"/>
        <v>319.3385523</v>
      </c>
      <c r="U9" s="5">
        <f aca="true" t="shared" si="119" ref="U9:U27">C9*$W$6</f>
        <v>0</v>
      </c>
      <c r="V9" s="38">
        <f t="shared" si="9"/>
        <v>4293.90367</v>
      </c>
      <c r="W9" s="38">
        <f t="shared" si="10"/>
        <v>4293.90367</v>
      </c>
      <c r="X9" s="38">
        <f t="shared" si="11"/>
        <v>1850.6847096</v>
      </c>
      <c r="Y9" s="5">
        <f t="shared" si="12"/>
        <v>33.9317884</v>
      </c>
      <c r="AA9" s="5">
        <f aca="true" t="shared" si="120" ref="AA9:AA27">C9*$AC$6</f>
        <v>0</v>
      </c>
      <c r="AB9" s="5">
        <f t="shared" si="13"/>
        <v>1470.67543</v>
      </c>
      <c r="AC9" s="5">
        <f t="shared" si="14"/>
        <v>1470.67543</v>
      </c>
      <c r="AD9" s="38">
        <f t="shared" si="15"/>
        <v>633.8652984</v>
      </c>
      <c r="AE9" s="5">
        <f t="shared" si="16"/>
        <v>11.6217436</v>
      </c>
      <c r="AG9" s="5">
        <f aca="true" t="shared" si="121" ref="AG9:AG27">C9*$AI$6</f>
        <v>0</v>
      </c>
      <c r="AH9" s="5">
        <f t="shared" si="17"/>
        <v>844.800043325</v>
      </c>
      <c r="AI9" s="5">
        <f t="shared" si="18"/>
        <v>844.800043325</v>
      </c>
      <c r="AJ9" s="38">
        <f t="shared" si="19"/>
        <v>364.11122442600004</v>
      </c>
      <c r="AK9" s="5">
        <f t="shared" si="20"/>
        <v>6.675877829</v>
      </c>
      <c r="AM9" s="5">
        <f aca="true" t="shared" si="122" ref="AM9:AM27">C9*$AO$6</f>
        <v>0</v>
      </c>
      <c r="AN9" s="5">
        <f t="shared" si="21"/>
        <v>6515.78039</v>
      </c>
      <c r="AO9" s="5">
        <f t="shared" si="22"/>
        <v>6515.78039</v>
      </c>
      <c r="AP9" s="38">
        <f t="shared" si="23"/>
        <v>2808.3199031999998</v>
      </c>
      <c r="AQ9" s="5">
        <f t="shared" si="24"/>
        <v>51.4897628</v>
      </c>
      <c r="AS9" s="5">
        <f aca="true" t="shared" si="123" ref="AS9:AS27">C9*$AU$6</f>
        <v>0</v>
      </c>
      <c r="AT9" s="5">
        <f t="shared" si="25"/>
        <v>39796.7065475</v>
      </c>
      <c r="AU9" s="5">
        <f t="shared" si="26"/>
        <v>39796.7065475</v>
      </c>
      <c r="AV9" s="38">
        <f t="shared" si="27"/>
        <v>17152.4938518</v>
      </c>
      <c r="AW9" s="5">
        <f t="shared" si="28"/>
        <v>314.4861947</v>
      </c>
      <c r="AY9" s="5">
        <f aca="true" t="shared" si="124" ref="AY9:AY27">C9*$BA$6</f>
        <v>0</v>
      </c>
      <c r="AZ9" s="5">
        <f t="shared" si="29"/>
        <v>1899.23601</v>
      </c>
      <c r="BA9" s="5">
        <f t="shared" si="30"/>
        <v>1899.23601</v>
      </c>
      <c r="BB9" s="38">
        <f t="shared" si="31"/>
        <v>818.5761288000001</v>
      </c>
      <c r="BC9" s="5">
        <f t="shared" si="32"/>
        <v>15.008365200000002</v>
      </c>
      <c r="BE9" s="5">
        <f>C9*$BG$6</f>
        <v>0</v>
      </c>
      <c r="BF9" s="5">
        <f t="shared" si="33"/>
        <v>3083.146815</v>
      </c>
      <c r="BG9" s="5">
        <f t="shared" si="34"/>
        <v>3083.146815</v>
      </c>
      <c r="BH9" s="38">
        <f t="shared" si="35"/>
        <v>1328.8450572</v>
      </c>
      <c r="BI9" s="5">
        <f t="shared" si="36"/>
        <v>24.3640038</v>
      </c>
      <c r="BK9" s="38">
        <f aca="true" t="shared" si="125" ref="BK9:BK27">C9*$BM$6</f>
        <v>0</v>
      </c>
      <c r="BL9" s="5">
        <f t="shared" si="37"/>
        <v>7585.1073725</v>
      </c>
      <c r="BM9" s="38">
        <f t="shared" si="38"/>
        <v>7585.1073725</v>
      </c>
      <c r="BN9" s="38">
        <f t="shared" si="39"/>
        <v>3269.2028778</v>
      </c>
      <c r="BO9" s="5">
        <f t="shared" si="40"/>
        <v>59.9399237</v>
      </c>
      <c r="BQ9" s="5">
        <f aca="true" t="shared" si="126" ref="BQ9:BQ27">C9*$BS$6</f>
        <v>0</v>
      </c>
      <c r="BR9" s="5">
        <f t="shared" si="41"/>
        <v>364.374115</v>
      </c>
      <c r="BS9" s="5">
        <f t="shared" si="42"/>
        <v>364.374115</v>
      </c>
      <c r="BT9" s="38">
        <f t="shared" si="43"/>
        <v>157.0462812</v>
      </c>
      <c r="BU9" s="5">
        <f t="shared" si="44"/>
        <v>2.8793998</v>
      </c>
      <c r="BW9" s="5">
        <f aca="true" t="shared" si="127" ref="BW9:BW27">C9*$BY$6</f>
        <v>0</v>
      </c>
      <c r="BX9" s="5">
        <f t="shared" si="45"/>
        <v>3890.3587275</v>
      </c>
      <c r="BY9" s="5">
        <f t="shared" si="46"/>
        <v>3890.3587275</v>
      </c>
      <c r="BZ9" s="38">
        <f t="shared" si="47"/>
        <v>1676.7556902000001</v>
      </c>
      <c r="CA9" s="5">
        <f t="shared" si="48"/>
        <v>30.742848300000002</v>
      </c>
      <c r="CC9" s="5">
        <f aca="true" t="shared" si="128" ref="CC9:CC27">$C9*CE$6</f>
        <v>0</v>
      </c>
      <c r="CD9" s="5">
        <f t="shared" si="49"/>
        <v>173.03133417500004</v>
      </c>
      <c r="CE9" s="5">
        <f t="shared" si="50"/>
        <v>173.03133417500004</v>
      </c>
      <c r="CF9" s="38">
        <f t="shared" si="51"/>
        <v>74.57699777400002</v>
      </c>
      <c r="CG9" s="5">
        <f t="shared" si="52"/>
        <v>1.3673484710000003</v>
      </c>
      <c r="CI9" s="5">
        <f aca="true" t="shared" si="129" ref="CI9:CI27">C9*$CK$6</f>
        <v>0</v>
      </c>
      <c r="CJ9" s="5">
        <f t="shared" si="53"/>
        <v>116.04815249999999</v>
      </c>
      <c r="CK9" s="5">
        <f t="shared" si="54"/>
        <v>116.04815249999999</v>
      </c>
      <c r="CL9" s="38">
        <f t="shared" si="55"/>
        <v>50.0170842</v>
      </c>
      <c r="CM9" s="5">
        <f t="shared" si="56"/>
        <v>0.9170493</v>
      </c>
      <c r="CO9" s="5">
        <f aca="true" t="shared" si="130" ref="CO9:CO27">C9*$CQ$6</f>
        <v>0</v>
      </c>
      <c r="CP9" s="5">
        <f t="shared" si="57"/>
        <v>193.9016975</v>
      </c>
      <c r="CQ9" s="5">
        <f t="shared" si="58"/>
        <v>193.9016975</v>
      </c>
      <c r="CR9" s="38">
        <f t="shared" si="59"/>
        <v>83.5721838</v>
      </c>
      <c r="CS9" s="5">
        <f t="shared" si="60"/>
        <v>1.5322727</v>
      </c>
      <c r="CU9" s="5">
        <f aca="true" t="shared" si="131" ref="CU9:CU27">C9*$CW$6</f>
        <v>0</v>
      </c>
      <c r="CV9" s="5">
        <f t="shared" si="61"/>
        <v>3699.2636625</v>
      </c>
      <c r="CW9" s="5">
        <f t="shared" si="62"/>
        <v>3699.2636625</v>
      </c>
      <c r="CX9" s="38">
        <f t="shared" si="63"/>
        <v>1594.393173</v>
      </c>
      <c r="CY9" s="5">
        <f t="shared" si="64"/>
        <v>29.2327545</v>
      </c>
      <c r="DA9" s="5">
        <f aca="true" t="shared" si="132" ref="DA9:DA27">C9*$DC$6</f>
        <v>0</v>
      </c>
      <c r="DB9" s="5">
        <f t="shared" si="65"/>
        <v>2985.8908975</v>
      </c>
      <c r="DC9" s="38">
        <f t="shared" si="66"/>
        <v>2985.8908975</v>
      </c>
      <c r="DD9" s="38">
        <f t="shared" si="67"/>
        <v>1286.9274798000001</v>
      </c>
      <c r="DE9" s="5">
        <f t="shared" si="68"/>
        <v>23.5954567</v>
      </c>
      <c r="DG9" s="5">
        <f aca="true" t="shared" si="133" ref="DG9:DG27">C9*$DI$6</f>
        <v>0</v>
      </c>
      <c r="DH9" s="5">
        <f t="shared" si="69"/>
        <v>541.4360175</v>
      </c>
      <c r="DI9" s="5">
        <f t="shared" si="70"/>
        <v>541.4360175</v>
      </c>
      <c r="DJ9" s="38">
        <f t="shared" si="71"/>
        <v>233.3604654</v>
      </c>
      <c r="DK9" s="5">
        <f t="shared" si="72"/>
        <v>4.2785991</v>
      </c>
      <c r="DM9" s="5">
        <f aca="true" t="shared" si="134" ref="DM9:DM27">C9*$DO$6</f>
        <v>0</v>
      </c>
      <c r="DN9" s="5">
        <f t="shared" si="73"/>
        <v>217.8190875</v>
      </c>
      <c r="DO9" s="5">
        <f t="shared" si="74"/>
        <v>217.8190875</v>
      </c>
      <c r="DP9" s="38">
        <f t="shared" si="75"/>
        <v>93.880647</v>
      </c>
      <c r="DQ9" s="5">
        <f t="shared" si="76"/>
        <v>1.7212755</v>
      </c>
      <c r="DS9" s="5">
        <f aca="true" t="shared" si="135" ref="DS9:DS27">C9*$DU$6</f>
        <v>0</v>
      </c>
      <c r="DT9" s="5">
        <f t="shared" si="77"/>
        <v>1752.1928725</v>
      </c>
      <c r="DU9" s="5">
        <f t="shared" si="78"/>
        <v>1752.1928725</v>
      </c>
      <c r="DV9" s="38">
        <f t="shared" si="79"/>
        <v>755.2001177999999</v>
      </c>
      <c r="DW9" s="5">
        <f t="shared" si="80"/>
        <v>13.846383699999999</v>
      </c>
      <c r="DY9" s="5">
        <f aca="true" t="shared" si="136" ref="DY9:DY27">C9*$EA$6</f>
        <v>0</v>
      </c>
      <c r="DZ9" s="5">
        <f t="shared" si="81"/>
        <v>22243.904865</v>
      </c>
      <c r="EA9" s="38">
        <f t="shared" si="82"/>
        <v>22243.904865</v>
      </c>
      <c r="EB9" s="38">
        <f t="shared" si="83"/>
        <v>9587.1863412</v>
      </c>
      <c r="EC9" s="5">
        <f t="shared" si="84"/>
        <v>175.7783898</v>
      </c>
      <c r="EE9" s="5">
        <f aca="true" t="shared" si="137" ref="EE9:EE27">C9*$EG$6</f>
        <v>0</v>
      </c>
      <c r="EF9" s="38">
        <f t="shared" si="85"/>
        <v>1863.60398</v>
      </c>
      <c r="EG9" s="38">
        <f t="shared" si="86"/>
        <v>1863.60398</v>
      </c>
      <c r="EH9" s="38">
        <f t="shared" si="87"/>
        <v>803.2186224000001</v>
      </c>
      <c r="EI9" s="5">
        <f t="shared" si="88"/>
        <v>14.7267896</v>
      </c>
      <c r="EK9" s="5">
        <f aca="true" t="shared" si="138" ref="EK9:EK27">C9*$EM$6</f>
        <v>0</v>
      </c>
      <c r="EL9" s="38">
        <f t="shared" si="89"/>
        <v>731.0667525</v>
      </c>
      <c r="EM9" s="38">
        <f t="shared" si="90"/>
        <v>731.0667525</v>
      </c>
      <c r="EN9" s="38">
        <f t="shared" si="91"/>
        <v>315.0918522</v>
      </c>
      <c r="EO9" s="5">
        <f t="shared" si="92"/>
        <v>5.7771213</v>
      </c>
      <c r="EQ9" s="5">
        <f aca="true" t="shared" si="139" ref="EQ9:EQ27">C9*$ES$6</f>
        <v>0</v>
      </c>
      <c r="ER9" s="5">
        <f t="shared" si="93"/>
        <v>599.643135</v>
      </c>
      <c r="ES9" s="5">
        <f t="shared" si="94"/>
        <v>599.643135</v>
      </c>
      <c r="ET9" s="38">
        <f t="shared" si="95"/>
        <v>258.4478988</v>
      </c>
      <c r="EU9" s="5">
        <f t="shared" si="96"/>
        <v>4.7385702</v>
      </c>
      <c r="EW9" s="38">
        <f aca="true" t="shared" si="140" ref="EW9:EW27">C9*$EY$6</f>
        <v>0</v>
      </c>
      <c r="EX9" s="38">
        <f t="shared" si="97"/>
        <v>5473.055402499999</v>
      </c>
      <c r="EY9" s="5">
        <f t="shared" si="98"/>
        <v>5473.055402499999</v>
      </c>
      <c r="EZ9" s="38">
        <f t="shared" si="99"/>
        <v>2358.9024642</v>
      </c>
      <c r="FA9" s="5">
        <f t="shared" si="100"/>
        <v>43.2498193</v>
      </c>
      <c r="FC9" s="38">
        <f aca="true" t="shared" si="141" ref="FC9:FC27">C9*$FE$6</f>
        <v>0</v>
      </c>
      <c r="FD9" s="38">
        <f t="shared" si="101"/>
        <v>15787.0637575</v>
      </c>
      <c r="FE9" s="5">
        <f t="shared" si="102"/>
        <v>15787.0637575</v>
      </c>
      <c r="FF9" s="38">
        <f t="shared" si="103"/>
        <v>6804.2694366000005</v>
      </c>
      <c r="FG9" s="5">
        <f t="shared" si="104"/>
        <v>124.75438390000001</v>
      </c>
      <c r="FI9" s="5">
        <f aca="true" t="shared" si="142" ref="FI9:FI27">C9*$FK$6</f>
        <v>0</v>
      </c>
      <c r="FJ9" s="5">
        <f t="shared" si="105"/>
        <v>161.80846499999998</v>
      </c>
      <c r="FK9" s="5">
        <f t="shared" si="106"/>
        <v>161.80846499999998</v>
      </c>
      <c r="FL9" s="38">
        <f t="shared" si="107"/>
        <v>69.7399092</v>
      </c>
      <c r="FM9" s="5">
        <f t="shared" si="108"/>
        <v>1.2786618</v>
      </c>
      <c r="FO9" s="5">
        <f aca="true" t="shared" si="143" ref="FO9:FO27">C9*$FQ$6</f>
        <v>0</v>
      </c>
      <c r="FP9" s="5">
        <f t="shared" si="109"/>
        <v>7646.975315</v>
      </c>
      <c r="FQ9" s="5">
        <f t="shared" si="110"/>
        <v>7646.975315</v>
      </c>
      <c r="FR9" s="38">
        <f t="shared" si="111"/>
        <v>3295.8681372</v>
      </c>
      <c r="FS9" s="5">
        <f t="shared" si="112"/>
        <v>60.428823799999996</v>
      </c>
      <c r="FU9" s="5">
        <f aca="true" t="shared" si="144" ref="FU9:FU27">C9*$FW$6</f>
        <v>0</v>
      </c>
      <c r="FV9" s="5">
        <f t="shared" si="113"/>
        <v>539.605605</v>
      </c>
      <c r="FW9" s="5">
        <f t="shared" si="114"/>
        <v>539.605605</v>
      </c>
      <c r="FX9" s="38">
        <f t="shared" si="115"/>
        <v>232.5715524</v>
      </c>
      <c r="FY9" s="5">
        <f t="shared" si="116"/>
        <v>4.2641346</v>
      </c>
    </row>
    <row r="10" spans="1:181" ht="12.75">
      <c r="A10" s="40">
        <v>44470</v>
      </c>
      <c r="C10" s="76">
        <f>'2019C'!B10</f>
        <v>0</v>
      </c>
      <c r="D10" s="76">
        <f>'2019C'!C10</f>
        <v>1220275</v>
      </c>
      <c r="E10" s="37">
        <f t="shared" si="0"/>
        <v>1220275</v>
      </c>
      <c r="F10" s="76">
        <f>'2019C'!E10</f>
        <v>525942</v>
      </c>
      <c r="G10" s="76">
        <f>'2019C'!F10</f>
        <v>9643</v>
      </c>
      <c r="I10" s="50"/>
      <c r="J10" s="38">
        <f t="shared" si="1"/>
        <v>174881.14904749993</v>
      </c>
      <c r="K10" s="38">
        <f t="shared" si="2"/>
        <v>174881.14904749993</v>
      </c>
      <c r="L10" s="38">
        <f t="shared" si="3"/>
        <v>75374.27325180001</v>
      </c>
      <c r="M10" s="38">
        <f t="shared" si="4"/>
        <v>1381.9662947000002</v>
      </c>
      <c r="P10" s="5">
        <f t="shared" si="5"/>
        <v>40410.748927500004</v>
      </c>
      <c r="Q10" s="5">
        <f t="shared" si="6"/>
        <v>40410.748927500004</v>
      </c>
      <c r="R10" s="38">
        <f t="shared" si="7"/>
        <v>17417.1478662</v>
      </c>
      <c r="S10" s="5">
        <f t="shared" si="8"/>
        <v>319.3385523</v>
      </c>
      <c r="V10" s="38">
        <f t="shared" si="9"/>
        <v>4293.90367</v>
      </c>
      <c r="W10" s="38">
        <f t="shared" si="10"/>
        <v>4293.90367</v>
      </c>
      <c r="X10" s="38">
        <f t="shared" si="11"/>
        <v>1850.6847096</v>
      </c>
      <c r="Y10" s="5">
        <f t="shared" si="12"/>
        <v>33.9317884</v>
      </c>
      <c r="AB10" s="5">
        <f t="shared" si="13"/>
        <v>1470.67543</v>
      </c>
      <c r="AC10" s="5">
        <f t="shared" si="14"/>
        <v>1470.67543</v>
      </c>
      <c r="AD10" s="38">
        <f t="shared" si="15"/>
        <v>633.8652984</v>
      </c>
      <c r="AE10" s="5">
        <f t="shared" si="16"/>
        <v>11.6217436</v>
      </c>
      <c r="AH10" s="5">
        <f t="shared" si="17"/>
        <v>844.800043325</v>
      </c>
      <c r="AI10" s="5">
        <f t="shared" si="18"/>
        <v>844.800043325</v>
      </c>
      <c r="AJ10" s="38">
        <f t="shared" si="19"/>
        <v>364.11122442600004</v>
      </c>
      <c r="AK10" s="5">
        <f t="shared" si="20"/>
        <v>6.675877829</v>
      </c>
      <c r="AN10" s="5">
        <f t="shared" si="21"/>
        <v>6515.78039</v>
      </c>
      <c r="AO10" s="5">
        <f t="shared" si="22"/>
        <v>6515.78039</v>
      </c>
      <c r="AP10" s="38">
        <f t="shared" si="23"/>
        <v>2808.3199031999998</v>
      </c>
      <c r="AQ10" s="5">
        <f t="shared" si="24"/>
        <v>51.4897628</v>
      </c>
      <c r="AT10" s="5">
        <f t="shared" si="25"/>
        <v>39796.7065475</v>
      </c>
      <c r="AU10" s="5">
        <f t="shared" si="26"/>
        <v>39796.7065475</v>
      </c>
      <c r="AV10" s="38">
        <f t="shared" si="27"/>
        <v>17152.4938518</v>
      </c>
      <c r="AW10" s="5">
        <f t="shared" si="28"/>
        <v>314.4861947</v>
      </c>
      <c r="AZ10" s="5">
        <f t="shared" si="29"/>
        <v>1899.23601</v>
      </c>
      <c r="BA10" s="5">
        <f t="shared" si="30"/>
        <v>1899.23601</v>
      </c>
      <c r="BB10" s="38">
        <f t="shared" si="31"/>
        <v>818.5761288000001</v>
      </c>
      <c r="BC10" s="5">
        <f t="shared" si="32"/>
        <v>15.008365200000002</v>
      </c>
      <c r="BF10" s="5">
        <f t="shared" si="33"/>
        <v>3083.146815</v>
      </c>
      <c r="BG10" s="5">
        <f t="shared" si="34"/>
        <v>3083.146815</v>
      </c>
      <c r="BH10" s="38">
        <f t="shared" si="35"/>
        <v>1328.8450572</v>
      </c>
      <c r="BI10" s="5">
        <f t="shared" si="36"/>
        <v>24.3640038</v>
      </c>
      <c r="BK10" s="38"/>
      <c r="BL10" s="5">
        <f t="shared" si="37"/>
        <v>7585.1073725</v>
      </c>
      <c r="BM10" s="38">
        <f t="shared" si="38"/>
        <v>7585.1073725</v>
      </c>
      <c r="BN10" s="38">
        <f t="shared" si="39"/>
        <v>3269.2028778</v>
      </c>
      <c r="BO10" s="5">
        <f t="shared" si="40"/>
        <v>59.9399237</v>
      </c>
      <c r="BR10" s="5">
        <f t="shared" si="41"/>
        <v>364.374115</v>
      </c>
      <c r="BS10" s="5">
        <f t="shared" si="42"/>
        <v>364.374115</v>
      </c>
      <c r="BT10" s="38">
        <f t="shared" si="43"/>
        <v>157.0462812</v>
      </c>
      <c r="BU10" s="5">
        <f t="shared" si="44"/>
        <v>2.8793998</v>
      </c>
      <c r="BX10" s="5">
        <f t="shared" si="45"/>
        <v>3890.3587275</v>
      </c>
      <c r="BY10" s="5">
        <f t="shared" si="46"/>
        <v>3890.3587275</v>
      </c>
      <c r="BZ10" s="38">
        <f t="shared" si="47"/>
        <v>1676.7556902000001</v>
      </c>
      <c r="CA10" s="5">
        <f t="shared" si="48"/>
        <v>30.742848300000002</v>
      </c>
      <c r="CD10" s="5">
        <f t="shared" si="49"/>
        <v>173.03133417500004</v>
      </c>
      <c r="CE10" s="5">
        <f t="shared" si="50"/>
        <v>173.03133417500004</v>
      </c>
      <c r="CF10" s="38">
        <f t="shared" si="51"/>
        <v>74.57699777400002</v>
      </c>
      <c r="CG10" s="5">
        <f t="shared" si="52"/>
        <v>1.3673484710000003</v>
      </c>
      <c r="CJ10" s="5">
        <f t="shared" si="53"/>
        <v>116.04815249999999</v>
      </c>
      <c r="CK10" s="5">
        <f t="shared" si="54"/>
        <v>116.04815249999999</v>
      </c>
      <c r="CL10" s="38">
        <f t="shared" si="55"/>
        <v>50.0170842</v>
      </c>
      <c r="CM10" s="5">
        <f t="shared" si="56"/>
        <v>0.9170493</v>
      </c>
      <c r="CP10" s="5">
        <f t="shared" si="57"/>
        <v>193.9016975</v>
      </c>
      <c r="CQ10" s="5">
        <f t="shared" si="58"/>
        <v>193.9016975</v>
      </c>
      <c r="CR10" s="38">
        <f t="shared" si="59"/>
        <v>83.5721838</v>
      </c>
      <c r="CS10" s="5">
        <f t="shared" si="60"/>
        <v>1.5322727</v>
      </c>
      <c r="CV10" s="5">
        <f t="shared" si="61"/>
        <v>3699.2636625</v>
      </c>
      <c r="CW10" s="5">
        <f t="shared" si="62"/>
        <v>3699.2636625</v>
      </c>
      <c r="CX10" s="38">
        <f t="shared" si="63"/>
        <v>1594.393173</v>
      </c>
      <c r="CY10" s="5">
        <f t="shared" si="64"/>
        <v>29.2327545</v>
      </c>
      <c r="DB10" s="5">
        <f t="shared" si="65"/>
        <v>2985.8908975</v>
      </c>
      <c r="DC10" s="38">
        <f t="shared" si="66"/>
        <v>2985.8908975</v>
      </c>
      <c r="DD10" s="38">
        <f t="shared" si="67"/>
        <v>1286.9274798000001</v>
      </c>
      <c r="DE10" s="5">
        <f t="shared" si="68"/>
        <v>23.5954567</v>
      </c>
      <c r="DH10" s="5">
        <f t="shared" si="69"/>
        <v>541.4360175</v>
      </c>
      <c r="DI10" s="5">
        <f t="shared" si="70"/>
        <v>541.4360175</v>
      </c>
      <c r="DJ10" s="38">
        <f t="shared" si="71"/>
        <v>233.3604654</v>
      </c>
      <c r="DK10" s="5">
        <f t="shared" si="72"/>
        <v>4.2785991</v>
      </c>
      <c r="DN10" s="5">
        <f t="shared" si="73"/>
        <v>217.8190875</v>
      </c>
      <c r="DO10" s="5">
        <f t="shared" si="74"/>
        <v>217.8190875</v>
      </c>
      <c r="DP10" s="38">
        <f t="shared" si="75"/>
        <v>93.880647</v>
      </c>
      <c r="DQ10" s="5">
        <f t="shared" si="76"/>
        <v>1.7212755</v>
      </c>
      <c r="DT10" s="5">
        <f t="shared" si="77"/>
        <v>1752.1928725</v>
      </c>
      <c r="DU10" s="5">
        <f t="shared" si="78"/>
        <v>1752.1928725</v>
      </c>
      <c r="DV10" s="38">
        <f t="shared" si="79"/>
        <v>755.2001177999999</v>
      </c>
      <c r="DW10" s="5">
        <f t="shared" si="80"/>
        <v>13.846383699999999</v>
      </c>
      <c r="DZ10" s="5">
        <f t="shared" si="81"/>
        <v>22243.904865</v>
      </c>
      <c r="EA10" s="38">
        <f t="shared" si="82"/>
        <v>22243.904865</v>
      </c>
      <c r="EB10" s="38">
        <f t="shared" si="83"/>
        <v>9587.1863412</v>
      </c>
      <c r="EC10" s="5">
        <f t="shared" si="84"/>
        <v>175.7783898</v>
      </c>
      <c r="EF10" s="38">
        <f t="shared" si="85"/>
        <v>1863.60398</v>
      </c>
      <c r="EG10" s="38">
        <f t="shared" si="86"/>
        <v>1863.60398</v>
      </c>
      <c r="EH10" s="38">
        <f t="shared" si="87"/>
        <v>803.2186224000001</v>
      </c>
      <c r="EI10" s="5">
        <f t="shared" si="88"/>
        <v>14.7267896</v>
      </c>
      <c r="EL10" s="38">
        <f t="shared" si="89"/>
        <v>731.0667525</v>
      </c>
      <c r="EM10" s="38">
        <f t="shared" si="90"/>
        <v>731.0667525</v>
      </c>
      <c r="EN10" s="38">
        <f t="shared" si="91"/>
        <v>315.0918522</v>
      </c>
      <c r="EO10" s="5">
        <f t="shared" si="92"/>
        <v>5.7771213</v>
      </c>
      <c r="ER10" s="5">
        <f t="shared" si="93"/>
        <v>599.643135</v>
      </c>
      <c r="ES10" s="5">
        <f t="shared" si="94"/>
        <v>599.643135</v>
      </c>
      <c r="ET10" s="38">
        <f t="shared" si="95"/>
        <v>258.4478988</v>
      </c>
      <c r="EU10" s="5">
        <f t="shared" si="96"/>
        <v>4.7385702</v>
      </c>
      <c r="EW10" s="38"/>
      <c r="EX10" s="38">
        <f t="shared" si="97"/>
        <v>5473.055402499999</v>
      </c>
      <c r="EY10" s="5">
        <f t="shared" si="98"/>
        <v>5473.055402499999</v>
      </c>
      <c r="EZ10" s="38">
        <f t="shared" si="99"/>
        <v>2358.9024642</v>
      </c>
      <c r="FA10" s="5">
        <f t="shared" si="100"/>
        <v>43.2498193</v>
      </c>
      <c r="FC10" s="38"/>
      <c r="FD10" s="38">
        <f t="shared" si="101"/>
        <v>15787.0637575</v>
      </c>
      <c r="FE10" s="5">
        <f t="shared" si="102"/>
        <v>15787.0637575</v>
      </c>
      <c r="FF10" s="38">
        <f t="shared" si="103"/>
        <v>6804.2694366000005</v>
      </c>
      <c r="FG10" s="5">
        <f t="shared" si="104"/>
        <v>124.75438390000001</v>
      </c>
      <c r="FJ10" s="5">
        <f t="shared" si="105"/>
        <v>161.80846499999998</v>
      </c>
      <c r="FK10" s="5">
        <f t="shared" si="106"/>
        <v>161.80846499999998</v>
      </c>
      <c r="FL10" s="38">
        <f t="shared" si="107"/>
        <v>69.7399092</v>
      </c>
      <c r="FM10" s="5">
        <f t="shared" si="108"/>
        <v>1.2786618</v>
      </c>
      <c r="FO10" s="5"/>
      <c r="FP10" s="5">
        <f t="shared" si="109"/>
        <v>7646.975315</v>
      </c>
      <c r="FQ10" s="5">
        <f t="shared" si="110"/>
        <v>7646.975315</v>
      </c>
      <c r="FR10" s="38">
        <f t="shared" si="111"/>
        <v>3295.8681372</v>
      </c>
      <c r="FS10" s="5">
        <f t="shared" si="112"/>
        <v>60.428823799999996</v>
      </c>
      <c r="FU10" s="5"/>
      <c r="FV10" s="5">
        <f t="shared" si="113"/>
        <v>539.605605</v>
      </c>
      <c r="FW10" s="5">
        <f t="shared" si="114"/>
        <v>539.605605</v>
      </c>
      <c r="FX10" s="38">
        <f t="shared" si="115"/>
        <v>232.5715524</v>
      </c>
      <c r="FY10" s="5">
        <f t="shared" si="116"/>
        <v>4.2641346</v>
      </c>
    </row>
    <row r="11" spans="1:181" ht="12.75">
      <c r="A11" s="40">
        <v>44652</v>
      </c>
      <c r="C11" s="76">
        <f>'2019C'!B11</f>
        <v>5125000</v>
      </c>
      <c r="D11" s="76">
        <f>'2019C'!C11</f>
        <v>1220275</v>
      </c>
      <c r="E11" s="37">
        <f t="shared" si="0"/>
        <v>6345275</v>
      </c>
      <c r="F11" s="76">
        <f>'2019C'!E11</f>
        <v>525942</v>
      </c>
      <c r="G11" s="76">
        <f>'2019C'!F11</f>
        <v>9643</v>
      </c>
      <c r="I11" s="50">
        <f t="shared" si="117"/>
        <v>734478.6125000003</v>
      </c>
      <c r="J11" s="38">
        <f t="shared" si="1"/>
        <v>174881.14904749993</v>
      </c>
      <c r="K11" s="38">
        <f t="shared" si="2"/>
        <v>909359.7615475003</v>
      </c>
      <c r="L11" s="38">
        <f t="shared" si="3"/>
        <v>75374.27325180001</v>
      </c>
      <c r="M11" s="38">
        <f t="shared" si="4"/>
        <v>1381.9662947000002</v>
      </c>
      <c r="O11" s="5">
        <f t="shared" si="118"/>
        <v>169720.0125</v>
      </c>
      <c r="P11" s="5">
        <f t="shared" si="5"/>
        <v>40410.748927500004</v>
      </c>
      <c r="Q11" s="5">
        <f t="shared" si="6"/>
        <v>210130.76142750002</v>
      </c>
      <c r="R11" s="38">
        <f t="shared" si="7"/>
        <v>17417.1478662</v>
      </c>
      <c r="S11" s="5">
        <f t="shared" si="8"/>
        <v>319.3385523</v>
      </c>
      <c r="U11" s="5">
        <f t="shared" si="119"/>
        <v>18033.85</v>
      </c>
      <c r="V11" s="38">
        <f t="shared" si="9"/>
        <v>4293.90367</v>
      </c>
      <c r="W11" s="38">
        <f t="shared" si="10"/>
        <v>22327.75367</v>
      </c>
      <c r="X11" s="38">
        <f t="shared" si="11"/>
        <v>1850.6847096</v>
      </c>
      <c r="Y11" s="5">
        <f t="shared" si="12"/>
        <v>33.9317884</v>
      </c>
      <c r="AA11" s="5">
        <f t="shared" si="120"/>
        <v>6176.650000000001</v>
      </c>
      <c r="AB11" s="5">
        <f t="shared" si="13"/>
        <v>1470.67543</v>
      </c>
      <c r="AC11" s="5">
        <f t="shared" si="14"/>
        <v>7647.325430000001</v>
      </c>
      <c r="AD11" s="38">
        <f t="shared" si="15"/>
        <v>633.8652984</v>
      </c>
      <c r="AE11" s="5">
        <f t="shared" si="16"/>
        <v>11.6217436</v>
      </c>
      <c r="AG11" s="5">
        <f t="shared" si="121"/>
        <v>3548.052875</v>
      </c>
      <c r="AH11" s="5">
        <f t="shared" si="17"/>
        <v>844.800043325</v>
      </c>
      <c r="AI11" s="5">
        <f t="shared" si="18"/>
        <v>4392.852918325</v>
      </c>
      <c r="AJ11" s="38">
        <f t="shared" si="19"/>
        <v>364.11122442600004</v>
      </c>
      <c r="AK11" s="5">
        <f t="shared" si="20"/>
        <v>6.675877829</v>
      </c>
      <c r="AM11" s="5">
        <f t="shared" si="122"/>
        <v>27365.45</v>
      </c>
      <c r="AN11" s="5">
        <f t="shared" si="21"/>
        <v>6515.78039</v>
      </c>
      <c r="AO11" s="5">
        <f t="shared" si="22"/>
        <v>33881.23039</v>
      </c>
      <c r="AP11" s="38">
        <f t="shared" si="23"/>
        <v>2808.3199031999998</v>
      </c>
      <c r="AQ11" s="5">
        <f t="shared" si="24"/>
        <v>51.4897628</v>
      </c>
      <c r="AS11" s="5">
        <f t="shared" si="123"/>
        <v>167141.1125</v>
      </c>
      <c r="AT11" s="5">
        <f t="shared" si="25"/>
        <v>39796.7065475</v>
      </c>
      <c r="AU11" s="5">
        <f t="shared" si="26"/>
        <v>206937.81904749997</v>
      </c>
      <c r="AV11" s="38">
        <f t="shared" si="27"/>
        <v>17152.4938518</v>
      </c>
      <c r="AW11" s="5">
        <f t="shared" si="28"/>
        <v>314.4861947</v>
      </c>
      <c r="AY11" s="5">
        <f t="shared" si="124"/>
        <v>7976.55</v>
      </c>
      <c r="AZ11" s="5">
        <f t="shared" si="29"/>
        <v>1899.23601</v>
      </c>
      <c r="BA11" s="5">
        <f t="shared" si="30"/>
        <v>9875.78601</v>
      </c>
      <c r="BB11" s="38">
        <f t="shared" si="31"/>
        <v>818.5761288000001</v>
      </c>
      <c r="BC11" s="5">
        <f t="shared" si="32"/>
        <v>15.008365200000002</v>
      </c>
      <c r="BE11" s="5">
        <f>C11*$BG$6</f>
        <v>12948.824999999999</v>
      </c>
      <c r="BF11" s="5">
        <f t="shared" si="33"/>
        <v>3083.146815</v>
      </c>
      <c r="BG11" s="5">
        <f t="shared" si="34"/>
        <v>16031.971814999999</v>
      </c>
      <c r="BH11" s="38">
        <f t="shared" si="35"/>
        <v>1328.8450572</v>
      </c>
      <c r="BI11" s="5">
        <f t="shared" si="36"/>
        <v>24.3640038</v>
      </c>
      <c r="BK11" s="38">
        <f t="shared" si="125"/>
        <v>31856.4875</v>
      </c>
      <c r="BL11" s="5">
        <f t="shared" si="37"/>
        <v>7585.1073725</v>
      </c>
      <c r="BM11" s="38">
        <f t="shared" si="38"/>
        <v>39441.5948725</v>
      </c>
      <c r="BN11" s="38">
        <f t="shared" si="39"/>
        <v>3269.2028778</v>
      </c>
      <c r="BO11" s="5">
        <f t="shared" si="40"/>
        <v>59.9399237</v>
      </c>
      <c r="BQ11" s="5">
        <f t="shared" si="126"/>
        <v>1530.325</v>
      </c>
      <c r="BR11" s="5">
        <f t="shared" si="41"/>
        <v>364.374115</v>
      </c>
      <c r="BS11" s="5">
        <f t="shared" si="42"/>
        <v>1894.6991150000001</v>
      </c>
      <c r="BT11" s="38">
        <f t="shared" si="43"/>
        <v>157.0462812</v>
      </c>
      <c r="BU11" s="5">
        <f t="shared" si="44"/>
        <v>2.8793998</v>
      </c>
      <c r="BW11" s="5">
        <f t="shared" si="127"/>
        <v>16339.0125</v>
      </c>
      <c r="BX11" s="5">
        <f t="shared" si="45"/>
        <v>3890.3587275</v>
      </c>
      <c r="BY11" s="5">
        <f t="shared" si="46"/>
        <v>20229.3712275</v>
      </c>
      <c r="BZ11" s="38">
        <f t="shared" si="47"/>
        <v>1676.7556902000001</v>
      </c>
      <c r="CA11" s="5">
        <f t="shared" si="48"/>
        <v>30.742848300000002</v>
      </c>
      <c r="CC11" s="5">
        <f t="shared" si="128"/>
        <v>726.7096250000002</v>
      </c>
      <c r="CD11" s="5">
        <f t="shared" si="49"/>
        <v>173.03133417500004</v>
      </c>
      <c r="CE11" s="5">
        <f t="shared" si="50"/>
        <v>899.7409591750002</v>
      </c>
      <c r="CF11" s="38">
        <f t="shared" si="51"/>
        <v>74.57699777400002</v>
      </c>
      <c r="CG11" s="5">
        <f t="shared" si="52"/>
        <v>1.3673484710000003</v>
      </c>
      <c r="CI11" s="5">
        <f t="shared" si="129"/>
        <v>487.3875</v>
      </c>
      <c r="CJ11" s="5">
        <f t="shared" si="53"/>
        <v>116.04815249999999</v>
      </c>
      <c r="CK11" s="5">
        <f t="shared" si="54"/>
        <v>603.4356525</v>
      </c>
      <c r="CL11" s="38">
        <f t="shared" si="55"/>
        <v>50.0170842</v>
      </c>
      <c r="CM11" s="5">
        <f t="shared" si="56"/>
        <v>0.9170493</v>
      </c>
      <c r="CO11" s="5">
        <f t="shared" si="130"/>
        <v>814.3625000000001</v>
      </c>
      <c r="CP11" s="5">
        <f t="shared" si="57"/>
        <v>193.9016975</v>
      </c>
      <c r="CQ11" s="5">
        <f t="shared" si="58"/>
        <v>1008.2641975000001</v>
      </c>
      <c r="CR11" s="38">
        <f t="shared" si="59"/>
        <v>83.5721838</v>
      </c>
      <c r="CS11" s="5">
        <f t="shared" si="60"/>
        <v>1.5322727</v>
      </c>
      <c r="CU11" s="5">
        <f t="shared" si="131"/>
        <v>15536.4375</v>
      </c>
      <c r="CV11" s="5">
        <f t="shared" si="61"/>
        <v>3699.2636625</v>
      </c>
      <c r="CW11" s="5">
        <f t="shared" si="62"/>
        <v>19235.7011625</v>
      </c>
      <c r="CX11" s="38">
        <f t="shared" si="63"/>
        <v>1594.393173</v>
      </c>
      <c r="CY11" s="5">
        <f t="shared" si="64"/>
        <v>29.2327545</v>
      </c>
      <c r="DA11" s="5">
        <f t="shared" si="132"/>
        <v>12540.362500000001</v>
      </c>
      <c r="DB11" s="5">
        <f t="shared" si="65"/>
        <v>2985.8908975</v>
      </c>
      <c r="DC11" s="38">
        <f t="shared" si="66"/>
        <v>15526.2533975</v>
      </c>
      <c r="DD11" s="38">
        <f t="shared" si="67"/>
        <v>1286.9274798000001</v>
      </c>
      <c r="DE11" s="5">
        <f t="shared" si="68"/>
        <v>23.5954567</v>
      </c>
      <c r="DG11" s="5">
        <f t="shared" si="133"/>
        <v>2273.9625</v>
      </c>
      <c r="DH11" s="5">
        <f t="shared" si="69"/>
        <v>541.4360175</v>
      </c>
      <c r="DI11" s="5">
        <f t="shared" si="70"/>
        <v>2815.3985175000003</v>
      </c>
      <c r="DJ11" s="38">
        <f t="shared" si="71"/>
        <v>233.3604654</v>
      </c>
      <c r="DK11" s="5">
        <f t="shared" si="72"/>
        <v>4.2785991</v>
      </c>
      <c r="DM11" s="5">
        <f t="shared" si="134"/>
        <v>914.8125</v>
      </c>
      <c r="DN11" s="5">
        <f t="shared" si="73"/>
        <v>217.8190875</v>
      </c>
      <c r="DO11" s="5">
        <f t="shared" si="74"/>
        <v>1132.6315875</v>
      </c>
      <c r="DP11" s="38">
        <f t="shared" si="75"/>
        <v>93.880647</v>
      </c>
      <c r="DQ11" s="5">
        <f t="shared" si="76"/>
        <v>1.7212755</v>
      </c>
      <c r="DS11" s="5">
        <f t="shared" si="135"/>
        <v>7358.987499999999</v>
      </c>
      <c r="DT11" s="5">
        <f t="shared" si="77"/>
        <v>1752.1928725</v>
      </c>
      <c r="DU11" s="5">
        <f t="shared" si="78"/>
        <v>9111.180372499999</v>
      </c>
      <c r="DV11" s="38">
        <f t="shared" si="79"/>
        <v>755.2001177999999</v>
      </c>
      <c r="DW11" s="5">
        <f t="shared" si="80"/>
        <v>13.846383699999999</v>
      </c>
      <c r="DY11" s="5">
        <f t="shared" si="136"/>
        <v>93421.57500000001</v>
      </c>
      <c r="DZ11" s="5">
        <f t="shared" si="81"/>
        <v>22243.904865</v>
      </c>
      <c r="EA11" s="38">
        <f t="shared" si="82"/>
        <v>115665.47986500002</v>
      </c>
      <c r="EB11" s="38">
        <f t="shared" si="83"/>
        <v>9587.1863412</v>
      </c>
      <c r="EC11" s="5">
        <f t="shared" si="84"/>
        <v>175.7783898</v>
      </c>
      <c r="EE11" s="5">
        <f t="shared" si="137"/>
        <v>7826.900000000001</v>
      </c>
      <c r="EF11" s="38">
        <f t="shared" si="85"/>
        <v>1863.60398</v>
      </c>
      <c r="EG11" s="38">
        <f t="shared" si="86"/>
        <v>9690.503980000001</v>
      </c>
      <c r="EH11" s="38">
        <f t="shared" si="87"/>
        <v>803.2186224000001</v>
      </c>
      <c r="EI11" s="5">
        <f t="shared" si="88"/>
        <v>14.7267896</v>
      </c>
      <c r="EK11" s="5">
        <f t="shared" si="138"/>
        <v>3070.3875</v>
      </c>
      <c r="EL11" s="38">
        <f t="shared" si="89"/>
        <v>731.0667525</v>
      </c>
      <c r="EM11" s="38">
        <f t="shared" si="90"/>
        <v>3801.4542524999997</v>
      </c>
      <c r="EN11" s="38">
        <f t="shared" si="91"/>
        <v>315.0918522</v>
      </c>
      <c r="EO11" s="5">
        <f t="shared" si="92"/>
        <v>5.7771213</v>
      </c>
      <c r="EQ11" s="5">
        <f t="shared" si="139"/>
        <v>2518.425</v>
      </c>
      <c r="ER11" s="5">
        <f t="shared" si="93"/>
        <v>599.643135</v>
      </c>
      <c r="ES11" s="5">
        <f t="shared" si="94"/>
        <v>3118.0681350000004</v>
      </c>
      <c r="ET11" s="38">
        <f t="shared" si="95"/>
        <v>258.4478988</v>
      </c>
      <c r="EU11" s="5">
        <f t="shared" si="96"/>
        <v>4.7385702</v>
      </c>
      <c r="EW11" s="38">
        <f t="shared" si="140"/>
        <v>22986.137499999997</v>
      </c>
      <c r="EX11" s="38">
        <f t="shared" si="97"/>
        <v>5473.055402499999</v>
      </c>
      <c r="EY11" s="5">
        <f t="shared" si="98"/>
        <v>28459.192902499995</v>
      </c>
      <c r="EZ11" s="38">
        <f t="shared" si="99"/>
        <v>2358.9024642</v>
      </c>
      <c r="FA11" s="5">
        <f t="shared" si="100"/>
        <v>43.2498193</v>
      </c>
      <c r="FC11" s="38">
        <f t="shared" si="141"/>
        <v>66303.6625</v>
      </c>
      <c r="FD11" s="38">
        <f t="shared" si="101"/>
        <v>15787.0637575</v>
      </c>
      <c r="FE11" s="5">
        <f t="shared" si="102"/>
        <v>82090.7262575</v>
      </c>
      <c r="FF11" s="38">
        <f t="shared" si="103"/>
        <v>6804.2694366000005</v>
      </c>
      <c r="FG11" s="5">
        <f t="shared" si="104"/>
        <v>124.75438390000001</v>
      </c>
      <c r="FI11" s="5">
        <f t="shared" si="142"/>
        <v>679.5749999999999</v>
      </c>
      <c r="FJ11" s="5">
        <f t="shared" si="105"/>
        <v>161.80846499999998</v>
      </c>
      <c r="FK11" s="5">
        <f t="shared" si="106"/>
        <v>841.3834649999999</v>
      </c>
      <c r="FL11" s="38">
        <f t="shared" si="107"/>
        <v>69.7399092</v>
      </c>
      <c r="FM11" s="5">
        <f t="shared" si="108"/>
        <v>1.2786618</v>
      </c>
      <c r="FO11" s="5">
        <f t="shared" si="143"/>
        <v>32116.324999999997</v>
      </c>
      <c r="FP11" s="5">
        <f t="shared" si="109"/>
        <v>7646.975315</v>
      </c>
      <c r="FQ11" s="5">
        <f t="shared" si="110"/>
        <v>39763.300315</v>
      </c>
      <c r="FR11" s="38">
        <f t="shared" si="111"/>
        <v>3295.8681372</v>
      </c>
      <c r="FS11" s="5">
        <f t="shared" si="112"/>
        <v>60.428823799999996</v>
      </c>
      <c r="FU11" s="5">
        <f t="shared" si="144"/>
        <v>2266.275</v>
      </c>
      <c r="FV11" s="5">
        <f t="shared" si="113"/>
        <v>539.605605</v>
      </c>
      <c r="FW11" s="5">
        <f t="shared" si="114"/>
        <v>2805.8806050000003</v>
      </c>
      <c r="FX11" s="38">
        <f t="shared" si="115"/>
        <v>232.5715524</v>
      </c>
      <c r="FY11" s="5">
        <f t="shared" si="116"/>
        <v>4.2641346</v>
      </c>
    </row>
    <row r="12" spans="1:181" ht="12.75">
      <c r="A12" s="40">
        <v>44835</v>
      </c>
      <c r="C12" s="76">
        <f>'2019C'!B12</f>
        <v>0</v>
      </c>
      <c r="D12" s="76">
        <f>'2019C'!C12</f>
        <v>1143400</v>
      </c>
      <c r="E12" s="37">
        <f t="shared" si="0"/>
        <v>1143400</v>
      </c>
      <c r="F12" s="76">
        <f>'2019C'!E12</f>
        <v>525942</v>
      </c>
      <c r="G12" s="76">
        <f>'2019C'!F12</f>
        <v>9643</v>
      </c>
      <c r="I12" s="50"/>
      <c r="J12" s="38">
        <f t="shared" si="1"/>
        <v>163863.96986</v>
      </c>
      <c r="K12" s="38">
        <f t="shared" si="2"/>
        <v>163863.96986</v>
      </c>
      <c r="L12" s="38">
        <f t="shared" si="3"/>
        <v>75374.27325180001</v>
      </c>
      <c r="M12" s="38">
        <f t="shared" si="4"/>
        <v>1381.9662947000002</v>
      </c>
      <c r="P12" s="5">
        <f t="shared" si="5"/>
        <v>37864.94874</v>
      </c>
      <c r="Q12" s="5">
        <f t="shared" si="6"/>
        <v>37864.94874</v>
      </c>
      <c r="R12" s="38">
        <f t="shared" si="7"/>
        <v>17417.1478662</v>
      </c>
      <c r="S12" s="5">
        <f t="shared" si="8"/>
        <v>319.3385523</v>
      </c>
      <c r="V12" s="38">
        <f t="shared" si="9"/>
        <v>4023.39592</v>
      </c>
      <c r="W12" s="38">
        <f t="shared" si="10"/>
        <v>4023.39592</v>
      </c>
      <c r="X12" s="38">
        <f t="shared" si="11"/>
        <v>1850.6847096</v>
      </c>
      <c r="Y12" s="5">
        <f t="shared" si="12"/>
        <v>33.9317884</v>
      </c>
      <c r="AB12" s="5">
        <f t="shared" si="13"/>
        <v>1378.02568</v>
      </c>
      <c r="AC12" s="5">
        <f t="shared" si="14"/>
        <v>1378.02568</v>
      </c>
      <c r="AD12" s="38">
        <f t="shared" si="15"/>
        <v>633.8652984</v>
      </c>
      <c r="AE12" s="5">
        <f t="shared" si="16"/>
        <v>11.6217436</v>
      </c>
      <c r="AH12" s="5">
        <f t="shared" si="17"/>
        <v>791.5792502</v>
      </c>
      <c r="AI12" s="5">
        <f t="shared" si="18"/>
        <v>791.5792502</v>
      </c>
      <c r="AJ12" s="38">
        <f t="shared" si="19"/>
        <v>364.11122442600004</v>
      </c>
      <c r="AK12" s="5">
        <f t="shared" si="20"/>
        <v>6.675877829</v>
      </c>
      <c r="AN12" s="5">
        <f t="shared" si="21"/>
        <v>6105.29864</v>
      </c>
      <c r="AO12" s="5">
        <f t="shared" si="22"/>
        <v>6105.29864</v>
      </c>
      <c r="AP12" s="38">
        <f t="shared" si="23"/>
        <v>2808.3199031999998</v>
      </c>
      <c r="AQ12" s="5">
        <f t="shared" si="24"/>
        <v>51.4897628</v>
      </c>
      <c r="AT12" s="5">
        <f t="shared" si="25"/>
        <v>37289.58986</v>
      </c>
      <c r="AU12" s="5">
        <f t="shared" si="26"/>
        <v>37289.58986</v>
      </c>
      <c r="AV12" s="38">
        <f t="shared" si="27"/>
        <v>17152.4938518</v>
      </c>
      <c r="AW12" s="5">
        <f t="shared" si="28"/>
        <v>314.4861947</v>
      </c>
      <c r="AZ12" s="5">
        <f t="shared" si="29"/>
        <v>1779.5877600000001</v>
      </c>
      <c r="BA12" s="5">
        <f t="shared" si="30"/>
        <v>1779.5877600000001</v>
      </c>
      <c r="BB12" s="38">
        <f t="shared" si="31"/>
        <v>818.5761288000001</v>
      </c>
      <c r="BC12" s="5">
        <f t="shared" si="32"/>
        <v>15.008365200000002</v>
      </c>
      <c r="BF12" s="5">
        <f t="shared" si="33"/>
        <v>2888.91444</v>
      </c>
      <c r="BG12" s="5">
        <f t="shared" si="34"/>
        <v>2888.91444</v>
      </c>
      <c r="BH12" s="38">
        <f t="shared" si="35"/>
        <v>1328.8450572</v>
      </c>
      <c r="BI12" s="5">
        <f t="shared" si="36"/>
        <v>24.3640038</v>
      </c>
      <c r="BK12" s="38"/>
      <c r="BL12" s="5">
        <f t="shared" si="37"/>
        <v>7107.26006</v>
      </c>
      <c r="BM12" s="38">
        <f t="shared" si="38"/>
        <v>7107.26006</v>
      </c>
      <c r="BN12" s="38">
        <f t="shared" si="39"/>
        <v>3269.2028778</v>
      </c>
      <c r="BO12" s="5">
        <f t="shared" si="40"/>
        <v>59.9399237</v>
      </c>
      <c r="BR12" s="5">
        <f t="shared" si="41"/>
        <v>341.41924</v>
      </c>
      <c r="BS12" s="5">
        <f t="shared" si="42"/>
        <v>341.41924</v>
      </c>
      <c r="BT12" s="38">
        <f t="shared" si="43"/>
        <v>157.0462812</v>
      </c>
      <c r="BU12" s="5">
        <f t="shared" si="44"/>
        <v>2.8793998</v>
      </c>
      <c r="BX12" s="5">
        <f t="shared" si="45"/>
        <v>3645.27354</v>
      </c>
      <c r="BY12" s="5">
        <f t="shared" si="46"/>
        <v>3645.27354</v>
      </c>
      <c r="BZ12" s="38">
        <f t="shared" si="47"/>
        <v>1676.7556902000001</v>
      </c>
      <c r="CA12" s="5">
        <f t="shared" si="48"/>
        <v>30.742848300000002</v>
      </c>
      <c r="CD12" s="5">
        <f t="shared" si="49"/>
        <v>162.13068980000006</v>
      </c>
      <c r="CE12" s="5">
        <f t="shared" si="50"/>
        <v>162.13068980000006</v>
      </c>
      <c r="CF12" s="38">
        <f t="shared" si="51"/>
        <v>74.57699777400002</v>
      </c>
      <c r="CG12" s="5">
        <f t="shared" si="52"/>
        <v>1.3673484710000003</v>
      </c>
      <c r="CJ12" s="5">
        <f t="shared" si="53"/>
        <v>108.73733999999999</v>
      </c>
      <c r="CK12" s="5">
        <f t="shared" si="54"/>
        <v>108.73733999999999</v>
      </c>
      <c r="CL12" s="38">
        <f t="shared" si="55"/>
        <v>50.0170842</v>
      </c>
      <c r="CM12" s="5">
        <f t="shared" si="56"/>
        <v>0.9170493</v>
      </c>
      <c r="CP12" s="5">
        <f t="shared" si="57"/>
        <v>181.68626</v>
      </c>
      <c r="CQ12" s="5">
        <f t="shared" si="58"/>
        <v>181.68626</v>
      </c>
      <c r="CR12" s="38">
        <f t="shared" si="59"/>
        <v>83.5721838</v>
      </c>
      <c r="CS12" s="5">
        <f t="shared" si="60"/>
        <v>1.5322727</v>
      </c>
      <c r="CV12" s="5">
        <f t="shared" si="61"/>
        <v>3466.2171</v>
      </c>
      <c r="CW12" s="5">
        <f t="shared" si="62"/>
        <v>3466.2171</v>
      </c>
      <c r="CX12" s="38">
        <f t="shared" si="63"/>
        <v>1594.393173</v>
      </c>
      <c r="CY12" s="5">
        <f t="shared" si="64"/>
        <v>29.2327545</v>
      </c>
      <c r="DB12" s="5">
        <f t="shared" si="65"/>
        <v>2797.78546</v>
      </c>
      <c r="DC12" s="38">
        <f t="shared" si="66"/>
        <v>2797.78546</v>
      </c>
      <c r="DD12" s="38">
        <f t="shared" si="67"/>
        <v>1286.9274798000001</v>
      </c>
      <c r="DE12" s="5">
        <f t="shared" si="68"/>
        <v>23.5954567</v>
      </c>
      <c r="DH12" s="5">
        <f t="shared" si="69"/>
        <v>507.32658</v>
      </c>
      <c r="DI12" s="5">
        <f t="shared" si="70"/>
        <v>507.32658</v>
      </c>
      <c r="DJ12" s="38">
        <f t="shared" si="71"/>
        <v>233.3604654</v>
      </c>
      <c r="DK12" s="5">
        <f t="shared" si="72"/>
        <v>4.2785991</v>
      </c>
      <c r="DN12" s="5">
        <f t="shared" si="73"/>
        <v>204.0969</v>
      </c>
      <c r="DO12" s="5">
        <f t="shared" si="74"/>
        <v>204.0969</v>
      </c>
      <c r="DP12" s="38">
        <f t="shared" si="75"/>
        <v>93.880647</v>
      </c>
      <c r="DQ12" s="5">
        <f t="shared" si="76"/>
        <v>1.7212755</v>
      </c>
      <c r="DT12" s="5">
        <f t="shared" si="77"/>
        <v>1641.8080599999998</v>
      </c>
      <c r="DU12" s="5">
        <f t="shared" si="78"/>
        <v>1641.8080599999998</v>
      </c>
      <c r="DV12" s="38">
        <f t="shared" si="79"/>
        <v>755.2001177999999</v>
      </c>
      <c r="DW12" s="5">
        <f t="shared" si="80"/>
        <v>13.846383699999999</v>
      </c>
      <c r="DZ12" s="5">
        <f t="shared" si="81"/>
        <v>20842.58124</v>
      </c>
      <c r="EA12" s="38">
        <f t="shared" si="82"/>
        <v>20842.58124</v>
      </c>
      <c r="EB12" s="38">
        <f t="shared" si="83"/>
        <v>9587.1863412</v>
      </c>
      <c r="EC12" s="5">
        <f t="shared" si="84"/>
        <v>175.7783898</v>
      </c>
      <c r="EF12" s="38">
        <f t="shared" si="85"/>
        <v>1746.20048</v>
      </c>
      <c r="EG12" s="38">
        <f t="shared" si="86"/>
        <v>1746.20048</v>
      </c>
      <c r="EH12" s="38">
        <f t="shared" si="87"/>
        <v>803.2186224000001</v>
      </c>
      <c r="EI12" s="5">
        <f t="shared" si="88"/>
        <v>14.7267896</v>
      </c>
      <c r="EL12" s="38">
        <f t="shared" si="89"/>
        <v>685.01094</v>
      </c>
      <c r="EM12" s="38">
        <f t="shared" si="90"/>
        <v>685.01094</v>
      </c>
      <c r="EN12" s="38">
        <f t="shared" si="91"/>
        <v>315.0918522</v>
      </c>
      <c r="EO12" s="5">
        <f t="shared" si="92"/>
        <v>5.7771213</v>
      </c>
      <c r="ER12" s="5">
        <f t="shared" si="93"/>
        <v>561.86676</v>
      </c>
      <c r="ES12" s="5">
        <f t="shared" si="94"/>
        <v>561.86676</v>
      </c>
      <c r="ET12" s="38">
        <f t="shared" si="95"/>
        <v>258.4478988</v>
      </c>
      <c r="EU12" s="5">
        <f t="shared" si="96"/>
        <v>4.7385702</v>
      </c>
      <c r="EW12" s="38"/>
      <c r="EX12" s="38">
        <f t="shared" si="97"/>
        <v>5128.2633399999995</v>
      </c>
      <c r="EY12" s="5">
        <f t="shared" si="98"/>
        <v>5128.2633399999995</v>
      </c>
      <c r="EZ12" s="38">
        <f t="shared" si="99"/>
        <v>2358.9024642</v>
      </c>
      <c r="FA12" s="5">
        <f t="shared" si="100"/>
        <v>43.2498193</v>
      </c>
      <c r="FC12" s="38"/>
      <c r="FD12" s="38">
        <f t="shared" si="101"/>
        <v>14792.508820000001</v>
      </c>
      <c r="FE12" s="5">
        <f t="shared" si="102"/>
        <v>14792.508820000001</v>
      </c>
      <c r="FF12" s="38">
        <f t="shared" si="103"/>
        <v>6804.2694366000005</v>
      </c>
      <c r="FG12" s="5">
        <f t="shared" si="104"/>
        <v>124.75438390000001</v>
      </c>
      <c r="FJ12" s="5">
        <f t="shared" si="105"/>
        <v>151.61484</v>
      </c>
      <c r="FK12" s="5">
        <f t="shared" si="106"/>
        <v>151.61484</v>
      </c>
      <c r="FL12" s="38">
        <f t="shared" si="107"/>
        <v>69.7399092</v>
      </c>
      <c r="FM12" s="5">
        <f t="shared" si="108"/>
        <v>1.2786618</v>
      </c>
      <c r="FO12" s="5"/>
      <c r="FP12" s="5">
        <f t="shared" si="109"/>
        <v>7165.230439999999</v>
      </c>
      <c r="FQ12" s="5">
        <f t="shared" si="110"/>
        <v>7165.230439999999</v>
      </c>
      <c r="FR12" s="38">
        <f t="shared" si="111"/>
        <v>3295.8681372</v>
      </c>
      <c r="FS12" s="5">
        <f t="shared" si="112"/>
        <v>60.428823799999996</v>
      </c>
      <c r="FU12" s="5"/>
      <c r="FV12" s="5">
        <f t="shared" si="113"/>
        <v>505.61148000000003</v>
      </c>
      <c r="FW12" s="5">
        <f t="shared" si="114"/>
        <v>505.61148000000003</v>
      </c>
      <c r="FX12" s="38">
        <f t="shared" si="115"/>
        <v>232.5715524</v>
      </c>
      <c r="FY12" s="5">
        <f t="shared" si="116"/>
        <v>4.2641346</v>
      </c>
    </row>
    <row r="13" spans="1:181" ht="12.75">
      <c r="A13" s="40">
        <v>45017</v>
      </c>
      <c r="C13" s="76">
        <f>'2019C'!B13</f>
        <v>5275000</v>
      </c>
      <c r="D13" s="76">
        <f>'2019C'!C13</f>
        <v>1143400</v>
      </c>
      <c r="E13" s="37">
        <f t="shared" si="0"/>
        <v>6418400</v>
      </c>
      <c r="F13" s="76">
        <f>'2019C'!E13</f>
        <v>525942</v>
      </c>
      <c r="G13" s="76">
        <f>'2019C'!F13</f>
        <v>9643</v>
      </c>
      <c r="I13" s="50">
        <f t="shared" si="117"/>
        <v>755975.5474999999</v>
      </c>
      <c r="J13" s="38">
        <f t="shared" si="1"/>
        <v>163863.96986</v>
      </c>
      <c r="K13" s="38">
        <f t="shared" si="2"/>
        <v>919839.5173599999</v>
      </c>
      <c r="L13" s="38">
        <f t="shared" si="3"/>
        <v>75374.27325180001</v>
      </c>
      <c r="M13" s="38">
        <f t="shared" si="4"/>
        <v>1381.9662947000002</v>
      </c>
      <c r="O13" s="5">
        <f t="shared" si="118"/>
        <v>174687.42750000002</v>
      </c>
      <c r="P13" s="5">
        <f t="shared" si="5"/>
        <v>37864.94874</v>
      </c>
      <c r="Q13" s="5">
        <f t="shared" si="6"/>
        <v>212552.37624</v>
      </c>
      <c r="R13" s="38">
        <f t="shared" si="7"/>
        <v>17417.1478662</v>
      </c>
      <c r="S13" s="5">
        <f t="shared" si="8"/>
        <v>319.3385523</v>
      </c>
      <c r="U13" s="5">
        <f t="shared" si="119"/>
        <v>18561.67</v>
      </c>
      <c r="V13" s="38">
        <f t="shared" si="9"/>
        <v>4023.39592</v>
      </c>
      <c r="W13" s="38">
        <f t="shared" si="10"/>
        <v>22585.065919999997</v>
      </c>
      <c r="X13" s="38">
        <f t="shared" si="11"/>
        <v>1850.6847096</v>
      </c>
      <c r="Y13" s="5">
        <f t="shared" si="12"/>
        <v>33.9317884</v>
      </c>
      <c r="AA13" s="5">
        <f t="shared" si="120"/>
        <v>6357.43</v>
      </c>
      <c r="AB13" s="5">
        <f t="shared" si="13"/>
        <v>1378.02568</v>
      </c>
      <c r="AC13" s="5">
        <f t="shared" si="14"/>
        <v>7735.45568</v>
      </c>
      <c r="AD13" s="38">
        <f t="shared" si="15"/>
        <v>633.8652984</v>
      </c>
      <c r="AE13" s="5">
        <f t="shared" si="16"/>
        <v>11.6217436</v>
      </c>
      <c r="AG13" s="5">
        <f t="shared" si="121"/>
        <v>3651.898325</v>
      </c>
      <c r="AH13" s="5">
        <f t="shared" si="17"/>
        <v>791.5792502</v>
      </c>
      <c r="AI13" s="5">
        <f t="shared" si="18"/>
        <v>4443.4775752000005</v>
      </c>
      <c r="AJ13" s="38">
        <f t="shared" si="19"/>
        <v>364.11122442600004</v>
      </c>
      <c r="AK13" s="5">
        <f t="shared" si="20"/>
        <v>6.675877829</v>
      </c>
      <c r="AM13" s="5">
        <f t="shared" si="122"/>
        <v>28166.39</v>
      </c>
      <c r="AN13" s="5">
        <f t="shared" si="21"/>
        <v>6105.29864</v>
      </c>
      <c r="AO13" s="5">
        <f t="shared" si="22"/>
        <v>34271.68864</v>
      </c>
      <c r="AP13" s="38">
        <f t="shared" si="23"/>
        <v>2808.3199031999998</v>
      </c>
      <c r="AQ13" s="5">
        <f t="shared" si="24"/>
        <v>51.4897628</v>
      </c>
      <c r="AS13" s="5">
        <f t="shared" si="123"/>
        <v>172033.04750000002</v>
      </c>
      <c r="AT13" s="5">
        <f t="shared" si="25"/>
        <v>37289.58986</v>
      </c>
      <c r="AU13" s="5">
        <f t="shared" si="26"/>
        <v>209322.63736000002</v>
      </c>
      <c r="AV13" s="38">
        <f t="shared" si="27"/>
        <v>17152.4938518</v>
      </c>
      <c r="AW13" s="5">
        <f t="shared" si="28"/>
        <v>314.4861947</v>
      </c>
      <c r="AY13" s="5">
        <f t="shared" si="124"/>
        <v>8210.01</v>
      </c>
      <c r="AZ13" s="5">
        <f t="shared" si="29"/>
        <v>1779.5877600000001</v>
      </c>
      <c r="BA13" s="5">
        <f t="shared" si="30"/>
        <v>9989.59776</v>
      </c>
      <c r="BB13" s="38">
        <f t="shared" si="31"/>
        <v>818.5761288000001</v>
      </c>
      <c r="BC13" s="5">
        <f t="shared" si="32"/>
        <v>15.008365200000002</v>
      </c>
      <c r="BE13" s="5">
        <f>C13*$BG$6</f>
        <v>13327.815</v>
      </c>
      <c r="BF13" s="5">
        <f t="shared" si="33"/>
        <v>2888.91444</v>
      </c>
      <c r="BG13" s="5">
        <f t="shared" si="34"/>
        <v>16216.729440000001</v>
      </c>
      <c r="BH13" s="38">
        <f t="shared" si="35"/>
        <v>1328.8450572</v>
      </c>
      <c r="BI13" s="5">
        <f t="shared" si="36"/>
        <v>24.3640038</v>
      </c>
      <c r="BK13" s="38">
        <f t="shared" si="125"/>
        <v>32788.8725</v>
      </c>
      <c r="BL13" s="5">
        <f t="shared" si="37"/>
        <v>7107.26006</v>
      </c>
      <c r="BM13" s="38">
        <f t="shared" si="38"/>
        <v>39896.13256</v>
      </c>
      <c r="BN13" s="38">
        <f t="shared" si="39"/>
        <v>3269.2028778</v>
      </c>
      <c r="BO13" s="5">
        <f t="shared" si="40"/>
        <v>59.9399237</v>
      </c>
      <c r="BQ13" s="5">
        <f t="shared" si="126"/>
        <v>1575.115</v>
      </c>
      <c r="BR13" s="5">
        <f t="shared" si="41"/>
        <v>341.41924</v>
      </c>
      <c r="BS13" s="5">
        <f t="shared" si="42"/>
        <v>1916.53424</v>
      </c>
      <c r="BT13" s="38">
        <f t="shared" si="43"/>
        <v>157.0462812</v>
      </c>
      <c r="BU13" s="5">
        <f t="shared" si="44"/>
        <v>2.8793998</v>
      </c>
      <c r="BW13" s="5">
        <f t="shared" si="127"/>
        <v>16817.2275</v>
      </c>
      <c r="BX13" s="5">
        <f t="shared" si="45"/>
        <v>3645.27354</v>
      </c>
      <c r="BY13" s="5">
        <f t="shared" si="46"/>
        <v>20462.501040000003</v>
      </c>
      <c r="BZ13" s="38">
        <f t="shared" si="47"/>
        <v>1676.7556902000001</v>
      </c>
      <c r="CA13" s="5">
        <f t="shared" si="48"/>
        <v>30.742848300000002</v>
      </c>
      <c r="CC13" s="5">
        <f t="shared" si="128"/>
        <v>747.9791750000002</v>
      </c>
      <c r="CD13" s="5">
        <f t="shared" si="49"/>
        <v>162.13068980000006</v>
      </c>
      <c r="CE13" s="5">
        <f t="shared" si="50"/>
        <v>910.1098648000002</v>
      </c>
      <c r="CF13" s="38">
        <f t="shared" si="51"/>
        <v>74.57699777400002</v>
      </c>
      <c r="CG13" s="5">
        <f t="shared" si="52"/>
        <v>1.3673484710000003</v>
      </c>
      <c r="CI13" s="5">
        <f t="shared" si="129"/>
        <v>501.6525</v>
      </c>
      <c r="CJ13" s="5">
        <f t="shared" si="53"/>
        <v>108.73733999999999</v>
      </c>
      <c r="CK13" s="5">
        <f t="shared" si="54"/>
        <v>610.3898399999999</v>
      </c>
      <c r="CL13" s="38">
        <f t="shared" si="55"/>
        <v>50.0170842</v>
      </c>
      <c r="CM13" s="5">
        <f t="shared" si="56"/>
        <v>0.9170493</v>
      </c>
      <c r="CO13" s="5">
        <f t="shared" si="130"/>
        <v>838.1975000000001</v>
      </c>
      <c r="CP13" s="5">
        <f t="shared" si="57"/>
        <v>181.68626</v>
      </c>
      <c r="CQ13" s="5">
        <f t="shared" si="58"/>
        <v>1019.8837600000002</v>
      </c>
      <c r="CR13" s="38">
        <f t="shared" si="59"/>
        <v>83.5721838</v>
      </c>
      <c r="CS13" s="5">
        <f t="shared" si="60"/>
        <v>1.5322727</v>
      </c>
      <c r="CU13" s="5">
        <f t="shared" si="131"/>
        <v>15991.1625</v>
      </c>
      <c r="CV13" s="5">
        <f t="shared" si="61"/>
        <v>3466.2171</v>
      </c>
      <c r="CW13" s="5">
        <f t="shared" si="62"/>
        <v>19457.3796</v>
      </c>
      <c r="CX13" s="38">
        <f t="shared" si="63"/>
        <v>1594.393173</v>
      </c>
      <c r="CY13" s="5">
        <f t="shared" si="64"/>
        <v>29.2327545</v>
      </c>
      <c r="DA13" s="5">
        <f t="shared" si="132"/>
        <v>12907.397500000001</v>
      </c>
      <c r="DB13" s="5">
        <f t="shared" si="65"/>
        <v>2797.78546</v>
      </c>
      <c r="DC13" s="38">
        <f t="shared" si="66"/>
        <v>15705.182960000002</v>
      </c>
      <c r="DD13" s="38">
        <f t="shared" si="67"/>
        <v>1286.9274798000001</v>
      </c>
      <c r="DE13" s="5">
        <f t="shared" si="68"/>
        <v>23.5954567</v>
      </c>
      <c r="DG13" s="5">
        <f t="shared" si="133"/>
        <v>2340.5175</v>
      </c>
      <c r="DH13" s="5">
        <f t="shared" si="69"/>
        <v>507.32658</v>
      </c>
      <c r="DI13" s="5">
        <f t="shared" si="70"/>
        <v>2847.84408</v>
      </c>
      <c r="DJ13" s="38">
        <f t="shared" si="71"/>
        <v>233.3604654</v>
      </c>
      <c r="DK13" s="5">
        <f t="shared" si="72"/>
        <v>4.2785991</v>
      </c>
      <c r="DM13" s="5">
        <f t="shared" si="134"/>
        <v>941.5875</v>
      </c>
      <c r="DN13" s="5">
        <f t="shared" si="73"/>
        <v>204.0969</v>
      </c>
      <c r="DO13" s="5">
        <f t="shared" si="74"/>
        <v>1145.6844</v>
      </c>
      <c r="DP13" s="38">
        <f t="shared" si="75"/>
        <v>93.880647</v>
      </c>
      <c r="DQ13" s="5">
        <f t="shared" si="76"/>
        <v>1.7212755</v>
      </c>
      <c r="DS13" s="5">
        <f t="shared" si="135"/>
        <v>7574.3724999999995</v>
      </c>
      <c r="DT13" s="5">
        <f t="shared" si="77"/>
        <v>1641.8080599999998</v>
      </c>
      <c r="DU13" s="5">
        <f t="shared" si="78"/>
        <v>9216.180559999999</v>
      </c>
      <c r="DV13" s="38">
        <f t="shared" si="79"/>
        <v>755.2001177999999</v>
      </c>
      <c r="DW13" s="5">
        <f t="shared" si="80"/>
        <v>13.846383699999999</v>
      </c>
      <c r="DY13" s="5">
        <f t="shared" si="136"/>
        <v>96155.865</v>
      </c>
      <c r="DZ13" s="5">
        <f t="shared" si="81"/>
        <v>20842.58124</v>
      </c>
      <c r="EA13" s="38">
        <f t="shared" si="82"/>
        <v>116998.44624</v>
      </c>
      <c r="EB13" s="38">
        <f t="shared" si="83"/>
        <v>9587.1863412</v>
      </c>
      <c r="EC13" s="5">
        <f t="shared" si="84"/>
        <v>175.7783898</v>
      </c>
      <c r="EE13" s="5">
        <f t="shared" si="137"/>
        <v>8055.9800000000005</v>
      </c>
      <c r="EF13" s="38">
        <f t="shared" si="85"/>
        <v>1746.20048</v>
      </c>
      <c r="EG13" s="38">
        <f t="shared" si="86"/>
        <v>9802.18048</v>
      </c>
      <c r="EH13" s="38">
        <f t="shared" si="87"/>
        <v>803.2186224000001</v>
      </c>
      <c r="EI13" s="5">
        <f t="shared" si="88"/>
        <v>14.7267896</v>
      </c>
      <c r="EK13" s="5">
        <f t="shared" si="138"/>
        <v>3160.2525</v>
      </c>
      <c r="EL13" s="38">
        <f t="shared" si="89"/>
        <v>685.01094</v>
      </c>
      <c r="EM13" s="38">
        <f t="shared" si="90"/>
        <v>3845.26344</v>
      </c>
      <c r="EN13" s="38">
        <f t="shared" si="91"/>
        <v>315.0918522</v>
      </c>
      <c r="EO13" s="5">
        <f t="shared" si="92"/>
        <v>5.7771213</v>
      </c>
      <c r="EQ13" s="5">
        <f t="shared" si="139"/>
        <v>2592.135</v>
      </c>
      <c r="ER13" s="5">
        <f t="shared" si="93"/>
        <v>561.86676</v>
      </c>
      <c r="ES13" s="5">
        <f t="shared" si="94"/>
        <v>3154.00176</v>
      </c>
      <c r="ET13" s="38">
        <f t="shared" si="95"/>
        <v>258.4478988</v>
      </c>
      <c r="EU13" s="5">
        <f t="shared" si="96"/>
        <v>4.7385702</v>
      </c>
      <c r="EW13" s="38">
        <f t="shared" si="140"/>
        <v>23658.902499999997</v>
      </c>
      <c r="EX13" s="38">
        <f t="shared" si="97"/>
        <v>5128.2633399999995</v>
      </c>
      <c r="EY13" s="5">
        <f t="shared" si="98"/>
        <v>28787.165839999994</v>
      </c>
      <c r="EZ13" s="38">
        <f t="shared" si="99"/>
        <v>2358.9024642</v>
      </c>
      <c r="FA13" s="5">
        <f t="shared" si="100"/>
        <v>43.2498193</v>
      </c>
      <c r="FC13" s="38">
        <f t="shared" si="141"/>
        <v>68244.2575</v>
      </c>
      <c r="FD13" s="38">
        <f t="shared" si="101"/>
        <v>14792.508820000001</v>
      </c>
      <c r="FE13" s="5">
        <f t="shared" si="102"/>
        <v>83036.76632000001</v>
      </c>
      <c r="FF13" s="38">
        <f t="shared" si="103"/>
        <v>6804.2694366000005</v>
      </c>
      <c r="FG13" s="5">
        <f t="shared" si="104"/>
        <v>124.75438390000001</v>
      </c>
      <c r="FI13" s="5">
        <f t="shared" si="142"/>
        <v>699.465</v>
      </c>
      <c r="FJ13" s="5">
        <f t="shared" si="105"/>
        <v>151.61484</v>
      </c>
      <c r="FK13" s="5">
        <f t="shared" si="106"/>
        <v>851.07984</v>
      </c>
      <c r="FL13" s="38">
        <f t="shared" si="107"/>
        <v>69.7399092</v>
      </c>
      <c r="FM13" s="5">
        <f t="shared" si="108"/>
        <v>1.2786618</v>
      </c>
      <c r="FO13" s="5">
        <f t="shared" si="143"/>
        <v>33056.315</v>
      </c>
      <c r="FP13" s="5">
        <f t="shared" si="109"/>
        <v>7165.230439999999</v>
      </c>
      <c r="FQ13" s="5">
        <f t="shared" si="110"/>
        <v>40221.54544</v>
      </c>
      <c r="FR13" s="38">
        <f t="shared" si="111"/>
        <v>3295.8681372</v>
      </c>
      <c r="FS13" s="5">
        <f t="shared" si="112"/>
        <v>60.428823799999996</v>
      </c>
      <c r="FU13" s="5">
        <f t="shared" si="144"/>
        <v>2332.605</v>
      </c>
      <c r="FV13" s="5">
        <f t="shared" si="113"/>
        <v>505.61148000000003</v>
      </c>
      <c r="FW13" s="5">
        <f t="shared" si="114"/>
        <v>2838.21648</v>
      </c>
      <c r="FX13" s="38">
        <f t="shared" si="115"/>
        <v>232.5715524</v>
      </c>
      <c r="FY13" s="5">
        <f t="shared" si="116"/>
        <v>4.2641346</v>
      </c>
    </row>
    <row r="14" spans="1:181" ht="12.75">
      <c r="A14" s="40">
        <v>45200</v>
      </c>
      <c r="C14" s="76">
        <f>'2019C'!B14</f>
        <v>0</v>
      </c>
      <c r="D14" s="76">
        <f>'2019C'!C14</f>
        <v>1037900</v>
      </c>
      <c r="E14" s="37">
        <f t="shared" si="0"/>
        <v>1037900</v>
      </c>
      <c r="F14" s="76">
        <f>'2019C'!E14</f>
        <v>525942</v>
      </c>
      <c r="G14" s="76">
        <f>'2019C'!F14</f>
        <v>9643</v>
      </c>
      <c r="I14" s="50"/>
      <c r="J14" s="38">
        <f t="shared" si="1"/>
        <v>148744.45891</v>
      </c>
      <c r="K14" s="38">
        <f t="shared" si="2"/>
        <v>148744.45891</v>
      </c>
      <c r="L14" s="38">
        <f t="shared" si="3"/>
        <v>75374.27325180001</v>
      </c>
      <c r="M14" s="38">
        <f t="shared" si="4"/>
        <v>1381.9662947000002</v>
      </c>
      <c r="P14" s="5">
        <f t="shared" si="5"/>
        <v>34371.20019</v>
      </c>
      <c r="Q14" s="5">
        <f t="shared" si="6"/>
        <v>34371.20019</v>
      </c>
      <c r="R14" s="38">
        <f t="shared" si="7"/>
        <v>17417.1478662</v>
      </c>
      <c r="S14" s="5">
        <f t="shared" si="8"/>
        <v>319.3385523</v>
      </c>
      <c r="V14" s="38">
        <f t="shared" si="9"/>
        <v>3652.16252</v>
      </c>
      <c r="W14" s="38">
        <f t="shared" si="10"/>
        <v>3652.16252</v>
      </c>
      <c r="X14" s="38">
        <f t="shared" si="11"/>
        <v>1850.6847096</v>
      </c>
      <c r="Y14" s="5">
        <f t="shared" si="12"/>
        <v>33.9317884</v>
      </c>
      <c r="AB14" s="5">
        <f t="shared" si="13"/>
        <v>1250.87708</v>
      </c>
      <c r="AC14" s="5">
        <f t="shared" si="14"/>
        <v>1250.87708</v>
      </c>
      <c r="AD14" s="38">
        <f t="shared" si="15"/>
        <v>633.8652984</v>
      </c>
      <c r="AE14" s="5">
        <f t="shared" si="16"/>
        <v>11.6217436</v>
      </c>
      <c r="AH14" s="5">
        <f t="shared" si="17"/>
        <v>718.5412837</v>
      </c>
      <c r="AI14" s="5">
        <f t="shared" si="18"/>
        <v>718.5412837</v>
      </c>
      <c r="AJ14" s="38">
        <f t="shared" si="19"/>
        <v>364.11122442600004</v>
      </c>
      <c r="AK14" s="5">
        <f t="shared" si="20"/>
        <v>6.675877829</v>
      </c>
      <c r="AN14" s="5">
        <f t="shared" si="21"/>
        <v>5541.97084</v>
      </c>
      <c r="AO14" s="5">
        <f t="shared" si="22"/>
        <v>5541.97084</v>
      </c>
      <c r="AP14" s="38">
        <f t="shared" si="23"/>
        <v>2808.3199031999998</v>
      </c>
      <c r="AQ14" s="5">
        <f t="shared" si="24"/>
        <v>51.4897628</v>
      </c>
      <c r="AT14" s="5">
        <f t="shared" si="25"/>
        <v>33848.92891</v>
      </c>
      <c r="AU14" s="5">
        <f t="shared" si="26"/>
        <v>33848.92891</v>
      </c>
      <c r="AV14" s="38">
        <f t="shared" si="27"/>
        <v>17152.4938518</v>
      </c>
      <c r="AW14" s="5">
        <f t="shared" si="28"/>
        <v>314.4861947</v>
      </c>
      <c r="AZ14" s="5">
        <f t="shared" si="29"/>
        <v>1615.3875600000001</v>
      </c>
      <c r="BA14" s="5">
        <f t="shared" si="30"/>
        <v>1615.3875600000001</v>
      </c>
      <c r="BB14" s="38">
        <f t="shared" si="31"/>
        <v>818.5761288000001</v>
      </c>
      <c r="BC14" s="5">
        <f t="shared" si="32"/>
        <v>15.008365200000002</v>
      </c>
      <c r="BF14" s="5">
        <f t="shared" si="33"/>
        <v>2622.35814</v>
      </c>
      <c r="BG14" s="5">
        <f t="shared" si="34"/>
        <v>2622.35814</v>
      </c>
      <c r="BH14" s="38">
        <f t="shared" si="35"/>
        <v>1328.8450572</v>
      </c>
      <c r="BI14" s="5">
        <f t="shared" si="36"/>
        <v>24.3640038</v>
      </c>
      <c r="BK14" s="38"/>
      <c r="BL14" s="5">
        <f t="shared" si="37"/>
        <v>6451.48261</v>
      </c>
      <c r="BM14" s="38">
        <f t="shared" si="38"/>
        <v>6451.48261</v>
      </c>
      <c r="BN14" s="38">
        <f t="shared" si="39"/>
        <v>3269.2028778</v>
      </c>
      <c r="BO14" s="5">
        <f t="shared" si="40"/>
        <v>59.9399237</v>
      </c>
      <c r="BR14" s="5">
        <f t="shared" si="41"/>
        <v>309.91694</v>
      </c>
      <c r="BS14" s="5">
        <f t="shared" si="42"/>
        <v>309.91694</v>
      </c>
      <c r="BT14" s="38">
        <f t="shared" si="43"/>
        <v>157.0462812</v>
      </c>
      <c r="BU14" s="5">
        <f t="shared" si="44"/>
        <v>2.8793998</v>
      </c>
      <c r="BX14" s="5">
        <f t="shared" si="45"/>
        <v>3308.9289900000003</v>
      </c>
      <c r="BY14" s="5">
        <f t="shared" si="46"/>
        <v>3308.9289900000003</v>
      </c>
      <c r="BZ14" s="38">
        <f t="shared" si="47"/>
        <v>1676.7556902000001</v>
      </c>
      <c r="CA14" s="5">
        <f t="shared" si="48"/>
        <v>30.742848300000002</v>
      </c>
      <c r="CD14" s="5">
        <f t="shared" si="49"/>
        <v>147.17110630000005</v>
      </c>
      <c r="CE14" s="5">
        <f t="shared" si="50"/>
        <v>147.17110630000005</v>
      </c>
      <c r="CF14" s="38">
        <f t="shared" si="51"/>
        <v>74.57699777400002</v>
      </c>
      <c r="CG14" s="5">
        <f t="shared" si="52"/>
        <v>1.3673484710000003</v>
      </c>
      <c r="CJ14" s="5">
        <f t="shared" si="53"/>
        <v>98.70429</v>
      </c>
      <c r="CK14" s="5">
        <f t="shared" si="54"/>
        <v>98.70429</v>
      </c>
      <c r="CL14" s="38">
        <f t="shared" si="55"/>
        <v>50.0170842</v>
      </c>
      <c r="CM14" s="5">
        <f t="shared" si="56"/>
        <v>0.9170493</v>
      </c>
      <c r="CP14" s="5">
        <f t="shared" si="57"/>
        <v>164.92231</v>
      </c>
      <c r="CQ14" s="5">
        <f t="shared" si="58"/>
        <v>164.92231</v>
      </c>
      <c r="CR14" s="38">
        <f t="shared" si="59"/>
        <v>83.5721838</v>
      </c>
      <c r="CS14" s="5">
        <f t="shared" si="60"/>
        <v>1.5322727</v>
      </c>
      <c r="CV14" s="5">
        <f t="shared" si="61"/>
        <v>3146.39385</v>
      </c>
      <c r="CW14" s="5">
        <f t="shared" si="62"/>
        <v>3146.39385</v>
      </c>
      <c r="CX14" s="38">
        <f t="shared" si="63"/>
        <v>1594.393173</v>
      </c>
      <c r="CY14" s="5">
        <f t="shared" si="64"/>
        <v>29.2327545</v>
      </c>
      <c r="DB14" s="5">
        <f t="shared" si="65"/>
        <v>2539.63751</v>
      </c>
      <c r="DC14" s="38">
        <f t="shared" si="66"/>
        <v>2539.63751</v>
      </c>
      <c r="DD14" s="38">
        <f t="shared" si="67"/>
        <v>1286.9274798000001</v>
      </c>
      <c r="DE14" s="5">
        <f t="shared" si="68"/>
        <v>23.5954567</v>
      </c>
      <c r="DH14" s="5">
        <f t="shared" si="69"/>
        <v>460.51623</v>
      </c>
      <c r="DI14" s="5">
        <f t="shared" si="70"/>
        <v>460.51623</v>
      </c>
      <c r="DJ14" s="38">
        <f t="shared" si="71"/>
        <v>233.3604654</v>
      </c>
      <c r="DK14" s="5">
        <f t="shared" si="72"/>
        <v>4.2785991</v>
      </c>
      <c r="DN14" s="5">
        <f t="shared" si="73"/>
        <v>185.26515</v>
      </c>
      <c r="DO14" s="5">
        <f t="shared" si="74"/>
        <v>185.26515</v>
      </c>
      <c r="DP14" s="38">
        <f t="shared" si="75"/>
        <v>93.880647</v>
      </c>
      <c r="DQ14" s="5">
        <f t="shared" si="76"/>
        <v>1.7212755</v>
      </c>
      <c r="DT14" s="5">
        <f t="shared" si="77"/>
        <v>1490.32061</v>
      </c>
      <c r="DU14" s="5">
        <f t="shared" si="78"/>
        <v>1490.32061</v>
      </c>
      <c r="DV14" s="38">
        <f t="shared" si="79"/>
        <v>755.2001177999999</v>
      </c>
      <c r="DW14" s="5">
        <f t="shared" si="80"/>
        <v>13.846383699999999</v>
      </c>
      <c r="DZ14" s="5">
        <f t="shared" si="81"/>
        <v>18919.46394</v>
      </c>
      <c r="EA14" s="38">
        <f t="shared" si="82"/>
        <v>18919.46394</v>
      </c>
      <c r="EB14" s="38">
        <f t="shared" si="83"/>
        <v>9587.1863412</v>
      </c>
      <c r="EC14" s="5">
        <f t="shared" si="84"/>
        <v>175.7783898</v>
      </c>
      <c r="EF14" s="38">
        <f t="shared" si="85"/>
        <v>1585.08088</v>
      </c>
      <c r="EG14" s="38">
        <f t="shared" si="86"/>
        <v>1585.08088</v>
      </c>
      <c r="EH14" s="38">
        <f t="shared" si="87"/>
        <v>803.2186224000001</v>
      </c>
      <c r="EI14" s="5">
        <f t="shared" si="88"/>
        <v>14.7267896</v>
      </c>
      <c r="EL14" s="38">
        <f t="shared" si="89"/>
        <v>621.80589</v>
      </c>
      <c r="EM14" s="38">
        <f t="shared" si="90"/>
        <v>621.80589</v>
      </c>
      <c r="EN14" s="38">
        <f t="shared" si="91"/>
        <v>315.0918522</v>
      </c>
      <c r="EO14" s="5">
        <f t="shared" si="92"/>
        <v>5.7771213</v>
      </c>
      <c r="ER14" s="5">
        <f t="shared" si="93"/>
        <v>510.02406</v>
      </c>
      <c r="ES14" s="5">
        <f t="shared" si="94"/>
        <v>510.02406</v>
      </c>
      <c r="ET14" s="38">
        <f t="shared" si="95"/>
        <v>258.4478988</v>
      </c>
      <c r="EU14" s="5">
        <f t="shared" si="96"/>
        <v>4.7385702</v>
      </c>
      <c r="EW14" s="38"/>
      <c r="EX14" s="38">
        <f t="shared" si="97"/>
        <v>4655.08529</v>
      </c>
      <c r="EY14" s="5">
        <f t="shared" si="98"/>
        <v>4655.08529</v>
      </c>
      <c r="EZ14" s="38">
        <f t="shared" si="99"/>
        <v>2358.9024642</v>
      </c>
      <c r="FA14" s="5">
        <f t="shared" si="100"/>
        <v>43.2498193</v>
      </c>
      <c r="FC14" s="38"/>
      <c r="FD14" s="38">
        <f t="shared" si="101"/>
        <v>13427.62367</v>
      </c>
      <c r="FE14" s="5">
        <f t="shared" si="102"/>
        <v>13427.62367</v>
      </c>
      <c r="FF14" s="38">
        <f t="shared" si="103"/>
        <v>6804.2694366000005</v>
      </c>
      <c r="FG14" s="5">
        <f t="shared" si="104"/>
        <v>124.75438390000001</v>
      </c>
      <c r="FJ14" s="5">
        <f t="shared" si="105"/>
        <v>137.62554</v>
      </c>
      <c r="FK14" s="5">
        <f t="shared" si="106"/>
        <v>137.62554</v>
      </c>
      <c r="FL14" s="38">
        <f t="shared" si="107"/>
        <v>69.7399092</v>
      </c>
      <c r="FM14" s="5">
        <f t="shared" si="108"/>
        <v>1.2786618</v>
      </c>
      <c r="FO14" s="5"/>
      <c r="FP14" s="5">
        <f t="shared" si="109"/>
        <v>6504.1041399999995</v>
      </c>
      <c r="FQ14" s="5">
        <f t="shared" si="110"/>
        <v>6504.1041399999995</v>
      </c>
      <c r="FR14" s="38">
        <f t="shared" si="111"/>
        <v>3295.8681372</v>
      </c>
      <c r="FS14" s="5">
        <f t="shared" si="112"/>
        <v>60.428823799999996</v>
      </c>
      <c r="FU14" s="5"/>
      <c r="FV14" s="5">
        <f t="shared" si="113"/>
        <v>458.95938</v>
      </c>
      <c r="FW14" s="5">
        <f t="shared" si="114"/>
        <v>458.95938</v>
      </c>
      <c r="FX14" s="38">
        <f t="shared" si="115"/>
        <v>232.5715524</v>
      </c>
      <c r="FY14" s="5">
        <f t="shared" si="116"/>
        <v>4.2641346</v>
      </c>
    </row>
    <row r="15" spans="1:181" ht="12.75">
      <c r="A15" s="40">
        <v>45383</v>
      </c>
      <c r="C15" s="76">
        <f>'2019C'!B15</f>
        <v>5480000</v>
      </c>
      <c r="D15" s="76">
        <f>'2019C'!C15</f>
        <v>1037900</v>
      </c>
      <c r="E15" s="37">
        <f t="shared" si="0"/>
        <v>6517900</v>
      </c>
      <c r="F15" s="76">
        <f>'2019C'!E15</f>
        <v>525942</v>
      </c>
      <c r="G15" s="76">
        <f>'2019C'!F15</f>
        <v>9643</v>
      </c>
      <c r="I15" s="50">
        <f t="shared" si="117"/>
        <v>785354.6920000002</v>
      </c>
      <c r="J15" s="38">
        <f t="shared" si="1"/>
        <v>148744.45891</v>
      </c>
      <c r="K15" s="38">
        <f t="shared" si="2"/>
        <v>934099.1509100001</v>
      </c>
      <c r="L15" s="38">
        <f t="shared" si="3"/>
        <v>75374.27325180001</v>
      </c>
      <c r="M15" s="38">
        <f t="shared" si="4"/>
        <v>1381.9662947000002</v>
      </c>
      <c r="O15" s="5">
        <f t="shared" si="118"/>
        <v>181476.228</v>
      </c>
      <c r="P15" s="5">
        <f t="shared" si="5"/>
        <v>34371.20019</v>
      </c>
      <c r="Q15" s="5">
        <f t="shared" si="6"/>
        <v>215847.42819</v>
      </c>
      <c r="R15" s="38">
        <f t="shared" si="7"/>
        <v>17417.1478662</v>
      </c>
      <c r="S15" s="5">
        <f t="shared" si="8"/>
        <v>319.3385523</v>
      </c>
      <c r="U15" s="5">
        <f t="shared" si="119"/>
        <v>19283.023999999998</v>
      </c>
      <c r="V15" s="38">
        <f t="shared" si="9"/>
        <v>3652.16252</v>
      </c>
      <c r="W15" s="38">
        <f t="shared" si="10"/>
        <v>22935.186519999996</v>
      </c>
      <c r="X15" s="38">
        <f t="shared" si="11"/>
        <v>1850.6847096</v>
      </c>
      <c r="Y15" s="5">
        <f t="shared" si="12"/>
        <v>33.9317884</v>
      </c>
      <c r="AA15" s="5">
        <f t="shared" si="120"/>
        <v>6604.496</v>
      </c>
      <c r="AB15" s="5">
        <f t="shared" si="13"/>
        <v>1250.87708</v>
      </c>
      <c r="AC15" s="5">
        <f t="shared" si="14"/>
        <v>7855.37308</v>
      </c>
      <c r="AD15" s="38">
        <f t="shared" si="15"/>
        <v>633.8652984</v>
      </c>
      <c r="AE15" s="5">
        <f t="shared" si="16"/>
        <v>11.6217436</v>
      </c>
      <c r="AG15" s="5">
        <f t="shared" si="121"/>
        <v>3793.82044</v>
      </c>
      <c r="AH15" s="5">
        <f t="shared" si="17"/>
        <v>718.5412837</v>
      </c>
      <c r="AI15" s="5">
        <f t="shared" si="18"/>
        <v>4512.3617237</v>
      </c>
      <c r="AJ15" s="38">
        <f t="shared" si="19"/>
        <v>364.11122442600004</v>
      </c>
      <c r="AK15" s="5">
        <f t="shared" si="20"/>
        <v>6.675877829</v>
      </c>
      <c r="AM15" s="5">
        <f t="shared" si="122"/>
        <v>29261.007999999998</v>
      </c>
      <c r="AN15" s="5">
        <f t="shared" si="21"/>
        <v>5541.97084</v>
      </c>
      <c r="AO15" s="5">
        <f t="shared" si="22"/>
        <v>34802.978839999996</v>
      </c>
      <c r="AP15" s="38">
        <f t="shared" si="23"/>
        <v>2808.3199031999998</v>
      </c>
      <c r="AQ15" s="5">
        <f t="shared" si="24"/>
        <v>51.4897628</v>
      </c>
      <c r="AS15" s="5">
        <f t="shared" si="123"/>
        <v>178718.692</v>
      </c>
      <c r="AT15" s="5">
        <f t="shared" si="25"/>
        <v>33848.92891</v>
      </c>
      <c r="AU15" s="5">
        <f t="shared" si="26"/>
        <v>212567.62091</v>
      </c>
      <c r="AV15" s="38">
        <f t="shared" si="27"/>
        <v>17152.4938518</v>
      </c>
      <c r="AW15" s="5">
        <f t="shared" si="28"/>
        <v>314.4861947</v>
      </c>
      <c r="AY15" s="5">
        <f t="shared" si="124"/>
        <v>8529.072</v>
      </c>
      <c r="AZ15" s="5">
        <f t="shared" si="29"/>
        <v>1615.3875600000001</v>
      </c>
      <c r="BA15" s="5">
        <f t="shared" si="30"/>
        <v>10144.45956</v>
      </c>
      <c r="BB15" s="38">
        <f t="shared" si="31"/>
        <v>818.5761288000001</v>
      </c>
      <c r="BC15" s="5">
        <f t="shared" si="32"/>
        <v>15.008365200000002</v>
      </c>
      <c r="BE15" s="5">
        <f>C15*$BG$6</f>
        <v>13845.768</v>
      </c>
      <c r="BF15" s="5">
        <f t="shared" si="33"/>
        <v>2622.35814</v>
      </c>
      <c r="BG15" s="5">
        <f t="shared" si="34"/>
        <v>16468.12614</v>
      </c>
      <c r="BH15" s="38">
        <f t="shared" si="35"/>
        <v>1328.8450572</v>
      </c>
      <c r="BI15" s="5">
        <f t="shared" si="36"/>
        <v>24.3640038</v>
      </c>
      <c r="BK15" s="38">
        <f t="shared" si="125"/>
        <v>34063.132</v>
      </c>
      <c r="BL15" s="5">
        <f t="shared" si="37"/>
        <v>6451.48261</v>
      </c>
      <c r="BM15" s="38">
        <f t="shared" si="38"/>
        <v>40514.61461</v>
      </c>
      <c r="BN15" s="38">
        <f t="shared" si="39"/>
        <v>3269.2028778</v>
      </c>
      <c r="BO15" s="5">
        <f t="shared" si="40"/>
        <v>59.9399237</v>
      </c>
      <c r="BQ15" s="5">
        <f t="shared" si="126"/>
        <v>1636.328</v>
      </c>
      <c r="BR15" s="5">
        <f t="shared" si="41"/>
        <v>309.91694</v>
      </c>
      <c r="BS15" s="5">
        <f t="shared" si="42"/>
        <v>1946.24494</v>
      </c>
      <c r="BT15" s="38">
        <f t="shared" si="43"/>
        <v>157.0462812</v>
      </c>
      <c r="BU15" s="5">
        <f t="shared" si="44"/>
        <v>2.8793998</v>
      </c>
      <c r="BW15" s="5">
        <f t="shared" si="127"/>
        <v>17470.788</v>
      </c>
      <c r="BX15" s="5">
        <f t="shared" si="45"/>
        <v>3308.9289900000003</v>
      </c>
      <c r="BY15" s="5">
        <f t="shared" si="46"/>
        <v>20779.71699</v>
      </c>
      <c r="BZ15" s="38">
        <f t="shared" si="47"/>
        <v>1676.7556902000001</v>
      </c>
      <c r="CA15" s="5">
        <f t="shared" si="48"/>
        <v>30.742848300000002</v>
      </c>
      <c r="CC15" s="5">
        <f t="shared" si="128"/>
        <v>777.0475600000002</v>
      </c>
      <c r="CD15" s="5">
        <f t="shared" si="49"/>
        <v>147.17110630000005</v>
      </c>
      <c r="CE15" s="5">
        <f t="shared" si="50"/>
        <v>924.2186663000002</v>
      </c>
      <c r="CF15" s="38">
        <f t="shared" si="51"/>
        <v>74.57699777400002</v>
      </c>
      <c r="CG15" s="5">
        <f t="shared" si="52"/>
        <v>1.3673484710000003</v>
      </c>
      <c r="CI15" s="5">
        <f t="shared" si="129"/>
        <v>521.1479999999999</v>
      </c>
      <c r="CJ15" s="5">
        <f t="shared" si="53"/>
        <v>98.70429</v>
      </c>
      <c r="CK15" s="5">
        <f t="shared" si="54"/>
        <v>619.8522899999999</v>
      </c>
      <c r="CL15" s="38">
        <f t="shared" si="55"/>
        <v>50.0170842</v>
      </c>
      <c r="CM15" s="5">
        <f t="shared" si="56"/>
        <v>0.9170493</v>
      </c>
      <c r="CO15" s="5">
        <f t="shared" si="130"/>
        <v>870.772</v>
      </c>
      <c r="CP15" s="5">
        <f t="shared" si="57"/>
        <v>164.92231</v>
      </c>
      <c r="CQ15" s="5">
        <f t="shared" si="58"/>
        <v>1035.69431</v>
      </c>
      <c r="CR15" s="38">
        <f t="shared" si="59"/>
        <v>83.5721838</v>
      </c>
      <c r="CS15" s="5">
        <f t="shared" si="60"/>
        <v>1.5322727</v>
      </c>
      <c r="CU15" s="5">
        <f t="shared" si="131"/>
        <v>16612.62</v>
      </c>
      <c r="CV15" s="5">
        <f t="shared" si="61"/>
        <v>3146.39385</v>
      </c>
      <c r="CW15" s="5">
        <f t="shared" si="62"/>
        <v>19759.01385</v>
      </c>
      <c r="CX15" s="38">
        <f t="shared" si="63"/>
        <v>1594.393173</v>
      </c>
      <c r="CY15" s="5">
        <f t="shared" si="64"/>
        <v>29.2327545</v>
      </c>
      <c r="DA15" s="5">
        <f t="shared" si="132"/>
        <v>13409.012</v>
      </c>
      <c r="DB15" s="5">
        <f t="shared" si="65"/>
        <v>2539.63751</v>
      </c>
      <c r="DC15" s="38">
        <f t="shared" si="66"/>
        <v>15948.649510000001</v>
      </c>
      <c r="DD15" s="38">
        <f t="shared" si="67"/>
        <v>1286.9274798000001</v>
      </c>
      <c r="DE15" s="5">
        <f t="shared" si="68"/>
        <v>23.5954567</v>
      </c>
      <c r="DG15" s="5">
        <f t="shared" si="133"/>
        <v>2431.476</v>
      </c>
      <c r="DH15" s="5">
        <f t="shared" si="69"/>
        <v>460.51623</v>
      </c>
      <c r="DI15" s="5">
        <f t="shared" si="70"/>
        <v>2891.9922300000003</v>
      </c>
      <c r="DJ15" s="38">
        <f t="shared" si="71"/>
        <v>233.3604654</v>
      </c>
      <c r="DK15" s="5">
        <f t="shared" si="72"/>
        <v>4.2785991</v>
      </c>
      <c r="DM15" s="5">
        <f t="shared" si="134"/>
        <v>978.1800000000001</v>
      </c>
      <c r="DN15" s="5">
        <f t="shared" si="73"/>
        <v>185.26515</v>
      </c>
      <c r="DO15" s="5">
        <f t="shared" si="74"/>
        <v>1163.44515</v>
      </c>
      <c r="DP15" s="38">
        <f t="shared" si="75"/>
        <v>93.880647</v>
      </c>
      <c r="DQ15" s="5">
        <f t="shared" si="76"/>
        <v>1.7212755</v>
      </c>
      <c r="DS15" s="5">
        <f t="shared" si="135"/>
        <v>7868.732</v>
      </c>
      <c r="DT15" s="5">
        <f t="shared" si="77"/>
        <v>1490.32061</v>
      </c>
      <c r="DU15" s="5">
        <f t="shared" si="78"/>
        <v>9359.05261</v>
      </c>
      <c r="DV15" s="38">
        <f t="shared" si="79"/>
        <v>755.2001177999999</v>
      </c>
      <c r="DW15" s="5">
        <f t="shared" si="80"/>
        <v>13.846383699999999</v>
      </c>
      <c r="DY15" s="5">
        <f t="shared" si="136"/>
        <v>99892.728</v>
      </c>
      <c r="DZ15" s="5">
        <f t="shared" si="81"/>
        <v>18919.46394</v>
      </c>
      <c r="EA15" s="38">
        <f t="shared" si="82"/>
        <v>118812.19194</v>
      </c>
      <c r="EB15" s="38">
        <f t="shared" si="83"/>
        <v>9587.1863412</v>
      </c>
      <c r="EC15" s="5">
        <f t="shared" si="84"/>
        <v>175.7783898</v>
      </c>
      <c r="EE15" s="5">
        <f t="shared" si="137"/>
        <v>8369.056</v>
      </c>
      <c r="EF15" s="38">
        <f t="shared" si="85"/>
        <v>1585.08088</v>
      </c>
      <c r="EG15" s="38">
        <f t="shared" si="86"/>
        <v>9954.13688</v>
      </c>
      <c r="EH15" s="38">
        <f t="shared" si="87"/>
        <v>803.2186224000001</v>
      </c>
      <c r="EI15" s="5">
        <f t="shared" si="88"/>
        <v>14.7267896</v>
      </c>
      <c r="EK15" s="5">
        <f t="shared" si="138"/>
        <v>3283.0679999999998</v>
      </c>
      <c r="EL15" s="38">
        <f t="shared" si="89"/>
        <v>621.80589</v>
      </c>
      <c r="EM15" s="38">
        <f t="shared" si="90"/>
        <v>3904.87389</v>
      </c>
      <c r="EN15" s="38">
        <f t="shared" si="91"/>
        <v>315.0918522</v>
      </c>
      <c r="EO15" s="5">
        <f t="shared" si="92"/>
        <v>5.7771213</v>
      </c>
      <c r="EQ15" s="5">
        <f t="shared" si="139"/>
        <v>2692.8720000000003</v>
      </c>
      <c r="ER15" s="5">
        <f t="shared" si="93"/>
        <v>510.02406</v>
      </c>
      <c r="ES15" s="5">
        <f t="shared" si="94"/>
        <v>3202.8960600000005</v>
      </c>
      <c r="ET15" s="38">
        <f t="shared" si="95"/>
        <v>258.4478988</v>
      </c>
      <c r="EU15" s="5">
        <f t="shared" si="96"/>
        <v>4.7385702</v>
      </c>
      <c r="EW15" s="38">
        <f t="shared" si="140"/>
        <v>24578.347999999998</v>
      </c>
      <c r="EX15" s="38">
        <f t="shared" si="97"/>
        <v>4655.08529</v>
      </c>
      <c r="EY15" s="5">
        <f t="shared" si="98"/>
        <v>29233.433289999997</v>
      </c>
      <c r="EZ15" s="38">
        <f t="shared" si="99"/>
        <v>2358.9024642</v>
      </c>
      <c r="FA15" s="5">
        <f t="shared" si="100"/>
        <v>43.2498193</v>
      </c>
      <c r="FC15" s="38">
        <f t="shared" si="141"/>
        <v>70896.40400000001</v>
      </c>
      <c r="FD15" s="38">
        <f t="shared" si="101"/>
        <v>13427.62367</v>
      </c>
      <c r="FE15" s="5">
        <f t="shared" si="102"/>
        <v>84324.02767000001</v>
      </c>
      <c r="FF15" s="38">
        <f t="shared" si="103"/>
        <v>6804.2694366000005</v>
      </c>
      <c r="FG15" s="5">
        <f t="shared" si="104"/>
        <v>124.75438390000001</v>
      </c>
      <c r="FI15" s="5">
        <f t="shared" si="142"/>
        <v>726.648</v>
      </c>
      <c r="FJ15" s="5">
        <f t="shared" si="105"/>
        <v>137.62554</v>
      </c>
      <c r="FK15" s="5">
        <f t="shared" si="106"/>
        <v>864.27354</v>
      </c>
      <c r="FL15" s="38">
        <f t="shared" si="107"/>
        <v>69.7399092</v>
      </c>
      <c r="FM15" s="5">
        <f t="shared" si="108"/>
        <v>1.2786618</v>
      </c>
      <c r="FO15" s="5">
        <f t="shared" si="143"/>
        <v>34340.968</v>
      </c>
      <c r="FP15" s="5">
        <f t="shared" si="109"/>
        <v>6504.1041399999995</v>
      </c>
      <c r="FQ15" s="5">
        <f t="shared" si="110"/>
        <v>40845.072140000004</v>
      </c>
      <c r="FR15" s="38">
        <f t="shared" si="111"/>
        <v>3295.8681372</v>
      </c>
      <c r="FS15" s="5">
        <f t="shared" si="112"/>
        <v>60.428823799999996</v>
      </c>
      <c r="FU15" s="5">
        <f t="shared" si="144"/>
        <v>2423.256</v>
      </c>
      <c r="FV15" s="5">
        <f t="shared" si="113"/>
        <v>458.95938</v>
      </c>
      <c r="FW15" s="5">
        <f t="shared" si="114"/>
        <v>2882.2153799999996</v>
      </c>
      <c r="FX15" s="38">
        <f t="shared" si="115"/>
        <v>232.5715524</v>
      </c>
      <c r="FY15" s="5">
        <f t="shared" si="116"/>
        <v>4.2641346</v>
      </c>
    </row>
    <row r="16" spans="1:181" ht="12.75">
      <c r="A16" s="40">
        <v>45566</v>
      </c>
      <c r="C16" s="76">
        <f>'2019C'!B16</f>
        <v>0</v>
      </c>
      <c r="D16" s="76">
        <f>'2019C'!C16</f>
        <v>928300</v>
      </c>
      <c r="E16" s="37">
        <f t="shared" si="0"/>
        <v>928300</v>
      </c>
      <c r="F16" s="76">
        <f>'2019C'!E16</f>
        <v>525942</v>
      </c>
      <c r="G16" s="76">
        <f>'2019C'!F16</f>
        <v>9643</v>
      </c>
      <c r="I16" s="50"/>
      <c r="J16" s="38">
        <f t="shared" si="1"/>
        <v>133037.36507000003</v>
      </c>
      <c r="K16" s="38">
        <f t="shared" si="2"/>
        <v>133037.36507000003</v>
      </c>
      <c r="L16" s="38">
        <f t="shared" si="3"/>
        <v>75374.27325180001</v>
      </c>
      <c r="M16" s="38">
        <f t="shared" si="4"/>
        <v>1381.9662947000002</v>
      </c>
      <c r="N16"/>
      <c r="P16" s="5">
        <f t="shared" si="5"/>
        <v>30741.67563</v>
      </c>
      <c r="Q16" s="5">
        <f t="shared" si="6"/>
        <v>30741.67563</v>
      </c>
      <c r="R16" s="38">
        <f t="shared" si="7"/>
        <v>17417.1478662</v>
      </c>
      <c r="S16" s="5">
        <f t="shared" si="8"/>
        <v>319.3385523</v>
      </c>
      <c r="T16"/>
      <c r="V16" s="38">
        <f t="shared" si="9"/>
        <v>3266.50204</v>
      </c>
      <c r="W16" s="38">
        <f t="shared" si="10"/>
        <v>3266.50204</v>
      </c>
      <c r="X16" s="38">
        <f t="shared" si="11"/>
        <v>1850.6847096</v>
      </c>
      <c r="Y16" s="5">
        <f t="shared" si="12"/>
        <v>33.9317884</v>
      </c>
      <c r="Z16"/>
      <c r="AB16" s="5">
        <f t="shared" si="13"/>
        <v>1118.78716</v>
      </c>
      <c r="AC16" s="5">
        <f t="shared" si="14"/>
        <v>1118.78716</v>
      </c>
      <c r="AD16" s="38">
        <f t="shared" si="15"/>
        <v>633.8652984</v>
      </c>
      <c r="AE16" s="5">
        <f t="shared" si="16"/>
        <v>11.6217436</v>
      </c>
      <c r="AF16"/>
      <c r="AH16" s="5">
        <f t="shared" si="17"/>
        <v>642.6648749</v>
      </c>
      <c r="AI16" s="5">
        <f t="shared" si="18"/>
        <v>642.6648749</v>
      </c>
      <c r="AJ16" s="38">
        <f t="shared" si="19"/>
        <v>364.11122442600004</v>
      </c>
      <c r="AK16" s="5">
        <f t="shared" si="20"/>
        <v>6.675877829</v>
      </c>
      <c r="AL16"/>
      <c r="AN16" s="5">
        <f t="shared" si="21"/>
        <v>4956.75068</v>
      </c>
      <c r="AO16" s="5">
        <f t="shared" si="22"/>
        <v>4956.75068</v>
      </c>
      <c r="AP16" s="38">
        <f t="shared" si="23"/>
        <v>2808.3199031999998</v>
      </c>
      <c r="AQ16" s="5">
        <f t="shared" si="24"/>
        <v>51.4897628</v>
      </c>
      <c r="AR16"/>
      <c r="AT16" s="5">
        <f t="shared" si="25"/>
        <v>30274.55507</v>
      </c>
      <c r="AU16" s="5">
        <f t="shared" si="26"/>
        <v>30274.55507</v>
      </c>
      <c r="AV16" s="38">
        <f t="shared" si="27"/>
        <v>17152.4938518</v>
      </c>
      <c r="AW16" s="5">
        <f t="shared" si="28"/>
        <v>314.4861947</v>
      </c>
      <c r="AX16"/>
      <c r="AZ16" s="5">
        <f t="shared" si="29"/>
        <v>1444.8061200000002</v>
      </c>
      <c r="BA16" s="5">
        <f t="shared" si="30"/>
        <v>1444.8061200000002</v>
      </c>
      <c r="BB16" s="38">
        <f t="shared" si="31"/>
        <v>818.5761288000001</v>
      </c>
      <c r="BC16" s="5">
        <f t="shared" si="32"/>
        <v>15.008365200000002</v>
      </c>
      <c r="BD16"/>
      <c r="BF16" s="5">
        <f t="shared" si="33"/>
        <v>2345.44278</v>
      </c>
      <c r="BG16" s="5">
        <f t="shared" si="34"/>
        <v>2345.44278</v>
      </c>
      <c r="BH16" s="38">
        <f t="shared" si="35"/>
        <v>1328.8450572</v>
      </c>
      <c r="BI16" s="5">
        <f t="shared" si="36"/>
        <v>24.3640038</v>
      </c>
      <c r="BJ16"/>
      <c r="BK16" s="38"/>
      <c r="BL16" s="5">
        <f t="shared" si="37"/>
        <v>5770.21997</v>
      </c>
      <c r="BM16" s="38">
        <f t="shared" si="38"/>
        <v>5770.21997</v>
      </c>
      <c r="BN16" s="38">
        <f t="shared" si="39"/>
        <v>3269.2028778</v>
      </c>
      <c r="BO16" s="5">
        <f t="shared" si="40"/>
        <v>59.9399237</v>
      </c>
      <c r="BP16"/>
      <c r="BR16" s="5">
        <f t="shared" si="41"/>
        <v>277.19038</v>
      </c>
      <c r="BS16" s="5">
        <f t="shared" si="42"/>
        <v>277.19038</v>
      </c>
      <c r="BT16" s="38">
        <f t="shared" si="43"/>
        <v>157.0462812</v>
      </c>
      <c r="BU16" s="5">
        <f t="shared" si="44"/>
        <v>2.8793998</v>
      </c>
      <c r="BV16"/>
      <c r="BX16" s="5">
        <f t="shared" si="45"/>
        <v>2959.51323</v>
      </c>
      <c r="BY16" s="5">
        <f t="shared" si="46"/>
        <v>2959.51323</v>
      </c>
      <c r="BZ16" s="38">
        <f t="shared" si="47"/>
        <v>1676.7556902000001</v>
      </c>
      <c r="CA16" s="5">
        <f t="shared" si="48"/>
        <v>30.742848300000002</v>
      </c>
      <c r="CB16"/>
      <c r="CD16" s="5">
        <f t="shared" si="49"/>
        <v>131.63015510000002</v>
      </c>
      <c r="CE16" s="5">
        <f t="shared" si="50"/>
        <v>131.63015510000002</v>
      </c>
      <c r="CF16" s="38">
        <f t="shared" si="51"/>
        <v>74.57699777400002</v>
      </c>
      <c r="CG16" s="5">
        <f t="shared" si="52"/>
        <v>1.3673484710000003</v>
      </c>
      <c r="CH16"/>
      <c r="CJ16" s="5">
        <f t="shared" si="53"/>
        <v>88.28133</v>
      </c>
      <c r="CK16" s="5">
        <f t="shared" si="54"/>
        <v>88.28133</v>
      </c>
      <c r="CL16" s="38">
        <f t="shared" si="55"/>
        <v>50.0170842</v>
      </c>
      <c r="CM16" s="5">
        <f t="shared" si="56"/>
        <v>0.9170493</v>
      </c>
      <c r="CN16"/>
      <c r="CP16" s="5">
        <f t="shared" si="57"/>
        <v>147.50687000000002</v>
      </c>
      <c r="CQ16" s="5">
        <f t="shared" si="58"/>
        <v>147.50687000000002</v>
      </c>
      <c r="CR16" s="38">
        <f t="shared" si="59"/>
        <v>83.5721838</v>
      </c>
      <c r="CS16" s="5">
        <f t="shared" si="60"/>
        <v>1.5322727</v>
      </c>
      <c r="CT16"/>
      <c r="CV16" s="5">
        <f t="shared" si="61"/>
        <v>2814.14145</v>
      </c>
      <c r="CW16" s="5">
        <f t="shared" si="62"/>
        <v>2814.14145</v>
      </c>
      <c r="CX16" s="38">
        <f t="shared" si="63"/>
        <v>1594.393173</v>
      </c>
      <c r="CY16" s="5">
        <f t="shared" si="64"/>
        <v>29.2327545</v>
      </c>
      <c r="CZ16"/>
      <c r="DB16" s="5">
        <f t="shared" si="65"/>
        <v>2271.4572700000003</v>
      </c>
      <c r="DC16" s="38">
        <f t="shared" si="66"/>
        <v>2271.4572700000003</v>
      </c>
      <c r="DD16" s="38">
        <f t="shared" si="67"/>
        <v>1286.9274798000001</v>
      </c>
      <c r="DE16" s="5">
        <f t="shared" si="68"/>
        <v>23.5954567</v>
      </c>
      <c r="DH16" s="5">
        <f t="shared" si="69"/>
        <v>411.88671</v>
      </c>
      <c r="DI16" s="5">
        <f t="shared" si="70"/>
        <v>411.88671</v>
      </c>
      <c r="DJ16" s="38">
        <f t="shared" si="71"/>
        <v>233.3604654</v>
      </c>
      <c r="DK16" s="5">
        <f t="shared" si="72"/>
        <v>4.2785991</v>
      </c>
      <c r="DN16" s="5">
        <f t="shared" si="73"/>
        <v>165.70155</v>
      </c>
      <c r="DO16" s="5">
        <f t="shared" si="74"/>
        <v>165.70155</v>
      </c>
      <c r="DP16" s="38">
        <f t="shared" si="75"/>
        <v>93.880647</v>
      </c>
      <c r="DQ16" s="5">
        <f t="shared" si="76"/>
        <v>1.7212755</v>
      </c>
      <c r="DT16" s="5">
        <f t="shared" si="77"/>
        <v>1332.94597</v>
      </c>
      <c r="DU16" s="5">
        <f t="shared" si="78"/>
        <v>1332.94597</v>
      </c>
      <c r="DV16" s="38">
        <f t="shared" si="79"/>
        <v>755.2001177999999</v>
      </c>
      <c r="DW16" s="5">
        <f t="shared" si="80"/>
        <v>13.846383699999999</v>
      </c>
      <c r="DZ16" s="5">
        <f t="shared" si="81"/>
        <v>16921.60938</v>
      </c>
      <c r="EA16" s="38">
        <f t="shared" si="82"/>
        <v>16921.60938</v>
      </c>
      <c r="EB16" s="38">
        <f t="shared" si="83"/>
        <v>9587.1863412</v>
      </c>
      <c r="EC16" s="5">
        <f t="shared" si="84"/>
        <v>175.7783898</v>
      </c>
      <c r="EF16" s="38">
        <f t="shared" si="85"/>
        <v>1417.69976</v>
      </c>
      <c r="EG16" s="38">
        <f t="shared" si="86"/>
        <v>1417.69976</v>
      </c>
      <c r="EH16" s="38">
        <f t="shared" si="87"/>
        <v>803.2186224000001</v>
      </c>
      <c r="EI16" s="5">
        <f t="shared" si="88"/>
        <v>14.7267896</v>
      </c>
      <c r="EL16" s="38">
        <f t="shared" si="89"/>
        <v>556.14453</v>
      </c>
      <c r="EM16" s="38">
        <f t="shared" si="90"/>
        <v>556.14453</v>
      </c>
      <c r="EN16" s="38">
        <f t="shared" si="91"/>
        <v>315.0918522</v>
      </c>
      <c r="EO16" s="5">
        <f t="shared" si="92"/>
        <v>5.7771213</v>
      </c>
      <c r="ER16" s="5">
        <f t="shared" si="93"/>
        <v>456.16662</v>
      </c>
      <c r="ES16" s="5">
        <f t="shared" si="94"/>
        <v>456.16662</v>
      </c>
      <c r="ET16" s="38">
        <f t="shared" si="95"/>
        <v>258.4478988</v>
      </c>
      <c r="EU16" s="5">
        <f t="shared" si="96"/>
        <v>4.7385702</v>
      </c>
      <c r="EW16" s="38"/>
      <c r="EX16" s="38">
        <f t="shared" si="97"/>
        <v>4163.51833</v>
      </c>
      <c r="EY16" s="5">
        <f t="shared" si="98"/>
        <v>4163.51833</v>
      </c>
      <c r="EZ16" s="38">
        <f t="shared" si="99"/>
        <v>2358.9024642</v>
      </c>
      <c r="FA16" s="5">
        <f t="shared" si="100"/>
        <v>43.2498193</v>
      </c>
      <c r="FC16" s="38"/>
      <c r="FD16" s="38">
        <f t="shared" si="101"/>
        <v>12009.695590000001</v>
      </c>
      <c r="FE16" s="5">
        <f t="shared" si="102"/>
        <v>12009.695590000001</v>
      </c>
      <c r="FF16" s="38">
        <f t="shared" si="103"/>
        <v>6804.2694366000005</v>
      </c>
      <c r="FG16" s="5">
        <f t="shared" si="104"/>
        <v>124.75438390000001</v>
      </c>
      <c r="FJ16" s="5">
        <f t="shared" si="105"/>
        <v>123.09258</v>
      </c>
      <c r="FK16" s="5">
        <f t="shared" si="106"/>
        <v>123.09258</v>
      </c>
      <c r="FL16" s="38">
        <f t="shared" si="107"/>
        <v>69.7399092</v>
      </c>
      <c r="FM16" s="5">
        <f t="shared" si="108"/>
        <v>1.2786618</v>
      </c>
      <c r="FO16" s="5"/>
      <c r="FP16" s="5">
        <f t="shared" si="109"/>
        <v>5817.28478</v>
      </c>
      <c r="FQ16" s="5">
        <f t="shared" si="110"/>
        <v>5817.28478</v>
      </c>
      <c r="FR16" s="38">
        <f t="shared" si="111"/>
        <v>3295.8681372</v>
      </c>
      <c r="FS16" s="5">
        <f t="shared" si="112"/>
        <v>60.428823799999996</v>
      </c>
      <c r="FU16" s="5"/>
      <c r="FV16" s="5">
        <f t="shared" si="113"/>
        <v>410.49426</v>
      </c>
      <c r="FW16" s="5">
        <f t="shared" si="114"/>
        <v>410.49426</v>
      </c>
      <c r="FX16" s="38">
        <f t="shared" si="115"/>
        <v>232.5715524</v>
      </c>
      <c r="FY16" s="5">
        <f t="shared" si="116"/>
        <v>4.2641346</v>
      </c>
    </row>
    <row r="17" spans="1:181" ht="12.75">
      <c r="A17" s="40">
        <v>45748</v>
      </c>
      <c r="C17" s="76">
        <f>'2019C'!B17</f>
        <v>5690000</v>
      </c>
      <c r="D17" s="76">
        <f>'2019C'!C17</f>
        <v>928300</v>
      </c>
      <c r="E17" s="37">
        <f t="shared" si="0"/>
        <v>6618300</v>
      </c>
      <c r="F17" s="76">
        <f>'2019C'!E17</f>
        <v>525942</v>
      </c>
      <c r="G17" s="76">
        <f>'2019C'!F17</f>
        <v>9643</v>
      </c>
      <c r="I17" s="50">
        <f t="shared" si="117"/>
        <v>815450.401</v>
      </c>
      <c r="J17" s="38">
        <f t="shared" si="1"/>
        <v>133037.36507000003</v>
      </c>
      <c r="K17" s="38">
        <f t="shared" si="2"/>
        <v>948487.76607</v>
      </c>
      <c r="L17" s="38">
        <f t="shared" si="3"/>
        <v>75374.27325180001</v>
      </c>
      <c r="M17" s="38">
        <f t="shared" si="4"/>
        <v>1381.9662947000002</v>
      </c>
      <c r="N17"/>
      <c r="O17" s="5">
        <f t="shared" si="118"/>
        <v>188430.60900000003</v>
      </c>
      <c r="P17" s="5">
        <f t="shared" si="5"/>
        <v>30741.67563</v>
      </c>
      <c r="Q17" s="5">
        <f t="shared" si="6"/>
        <v>219172.28463000004</v>
      </c>
      <c r="R17" s="38">
        <f t="shared" si="7"/>
        <v>17417.1478662</v>
      </c>
      <c r="S17" s="5">
        <f t="shared" si="8"/>
        <v>319.3385523</v>
      </c>
      <c r="T17"/>
      <c r="U17" s="5">
        <f t="shared" si="119"/>
        <v>20021.971999999998</v>
      </c>
      <c r="V17" s="38">
        <f t="shared" si="9"/>
        <v>3266.50204</v>
      </c>
      <c r="W17" s="38">
        <f t="shared" si="10"/>
        <v>23288.474039999997</v>
      </c>
      <c r="X17" s="38">
        <f t="shared" si="11"/>
        <v>1850.6847096</v>
      </c>
      <c r="Y17" s="5">
        <f t="shared" si="12"/>
        <v>33.9317884</v>
      </c>
      <c r="Z17"/>
      <c r="AA17" s="5">
        <f t="shared" si="120"/>
        <v>6857.588</v>
      </c>
      <c r="AB17" s="5">
        <f t="shared" si="13"/>
        <v>1118.78716</v>
      </c>
      <c r="AC17" s="5">
        <f t="shared" si="14"/>
        <v>7976.37516</v>
      </c>
      <c r="AD17" s="38">
        <f t="shared" si="15"/>
        <v>633.8652984</v>
      </c>
      <c r="AE17" s="5">
        <f t="shared" si="16"/>
        <v>11.6217436</v>
      </c>
      <c r="AF17"/>
      <c r="AG17" s="5">
        <f t="shared" si="121"/>
        <v>3939.2040700000002</v>
      </c>
      <c r="AH17" s="5">
        <f t="shared" si="17"/>
        <v>642.6648749</v>
      </c>
      <c r="AI17" s="5">
        <f t="shared" si="18"/>
        <v>4581.8689449</v>
      </c>
      <c r="AJ17" s="38">
        <f t="shared" si="19"/>
        <v>364.11122442600004</v>
      </c>
      <c r="AK17" s="5">
        <f t="shared" si="20"/>
        <v>6.675877829</v>
      </c>
      <c r="AL17"/>
      <c r="AM17" s="5">
        <f t="shared" si="122"/>
        <v>30382.324</v>
      </c>
      <c r="AN17" s="5">
        <f t="shared" si="21"/>
        <v>4956.75068</v>
      </c>
      <c r="AO17" s="5">
        <f t="shared" si="22"/>
        <v>35339.07468</v>
      </c>
      <c r="AP17" s="38">
        <f t="shared" si="23"/>
        <v>2808.3199031999998</v>
      </c>
      <c r="AQ17" s="5">
        <f t="shared" si="24"/>
        <v>51.4897628</v>
      </c>
      <c r="AR17"/>
      <c r="AS17" s="5">
        <f t="shared" si="123"/>
        <v>185567.401</v>
      </c>
      <c r="AT17" s="5">
        <f t="shared" si="25"/>
        <v>30274.55507</v>
      </c>
      <c r="AU17" s="5">
        <f t="shared" si="26"/>
        <v>215841.95607000001</v>
      </c>
      <c r="AV17" s="38">
        <f t="shared" si="27"/>
        <v>17152.4938518</v>
      </c>
      <c r="AW17" s="5">
        <f t="shared" si="28"/>
        <v>314.4861947</v>
      </c>
      <c r="AX17"/>
      <c r="AY17" s="5">
        <f t="shared" si="124"/>
        <v>8855.916000000001</v>
      </c>
      <c r="AZ17" s="5">
        <f t="shared" si="29"/>
        <v>1444.8061200000002</v>
      </c>
      <c r="BA17" s="5">
        <f t="shared" si="30"/>
        <v>10300.722120000002</v>
      </c>
      <c r="BB17" s="38">
        <f t="shared" si="31"/>
        <v>818.5761288000001</v>
      </c>
      <c r="BC17" s="5">
        <f t="shared" si="32"/>
        <v>15.008365200000002</v>
      </c>
      <c r="BD17"/>
      <c r="BE17" s="5">
        <f>C17*$BG$6</f>
        <v>14376.354</v>
      </c>
      <c r="BF17" s="5">
        <f t="shared" si="33"/>
        <v>2345.44278</v>
      </c>
      <c r="BG17" s="5">
        <f t="shared" si="34"/>
        <v>16721.79678</v>
      </c>
      <c r="BH17" s="38">
        <f t="shared" si="35"/>
        <v>1328.8450572</v>
      </c>
      <c r="BI17" s="5">
        <f t="shared" si="36"/>
        <v>24.3640038</v>
      </c>
      <c r="BJ17"/>
      <c r="BK17" s="38">
        <f t="shared" si="125"/>
        <v>35368.471</v>
      </c>
      <c r="BL17" s="5">
        <f t="shared" si="37"/>
        <v>5770.21997</v>
      </c>
      <c r="BM17" s="38">
        <f t="shared" si="38"/>
        <v>41138.690969999996</v>
      </c>
      <c r="BN17" s="38">
        <f t="shared" si="39"/>
        <v>3269.2028778</v>
      </c>
      <c r="BO17" s="5">
        <f t="shared" si="40"/>
        <v>59.9399237</v>
      </c>
      <c r="BP17"/>
      <c r="BQ17" s="5">
        <f t="shared" si="126"/>
        <v>1699.0339999999999</v>
      </c>
      <c r="BR17" s="5">
        <f t="shared" si="41"/>
        <v>277.19038</v>
      </c>
      <c r="BS17" s="5">
        <f t="shared" si="42"/>
        <v>1976.2243799999999</v>
      </c>
      <c r="BT17" s="38">
        <f t="shared" si="43"/>
        <v>157.0462812</v>
      </c>
      <c r="BU17" s="5">
        <f t="shared" si="44"/>
        <v>2.8793998</v>
      </c>
      <c r="BV17"/>
      <c r="BW17" s="5">
        <f t="shared" si="127"/>
        <v>18140.289</v>
      </c>
      <c r="BX17" s="5">
        <f t="shared" si="45"/>
        <v>2959.51323</v>
      </c>
      <c r="BY17" s="5">
        <f t="shared" si="46"/>
        <v>21099.80223</v>
      </c>
      <c r="BZ17" s="38">
        <f t="shared" si="47"/>
        <v>1676.7556902000001</v>
      </c>
      <c r="CA17" s="5">
        <f t="shared" si="48"/>
        <v>30.742848300000002</v>
      </c>
      <c r="CB17"/>
      <c r="CC17" s="5">
        <f t="shared" si="128"/>
        <v>806.8249300000002</v>
      </c>
      <c r="CD17" s="5">
        <f t="shared" si="49"/>
        <v>131.63015510000002</v>
      </c>
      <c r="CE17" s="5">
        <f t="shared" si="50"/>
        <v>938.4550851000002</v>
      </c>
      <c r="CF17" s="38">
        <f t="shared" si="51"/>
        <v>74.57699777400002</v>
      </c>
      <c r="CG17" s="5">
        <f t="shared" si="52"/>
        <v>1.3673484710000003</v>
      </c>
      <c r="CH17"/>
      <c r="CI17" s="5">
        <f t="shared" si="129"/>
        <v>541.1189999999999</v>
      </c>
      <c r="CJ17" s="5">
        <f t="shared" si="53"/>
        <v>88.28133</v>
      </c>
      <c r="CK17" s="5">
        <f t="shared" si="54"/>
        <v>629.4003299999999</v>
      </c>
      <c r="CL17" s="38">
        <f t="shared" si="55"/>
        <v>50.0170842</v>
      </c>
      <c r="CM17" s="5">
        <f t="shared" si="56"/>
        <v>0.9170493</v>
      </c>
      <c r="CN17"/>
      <c r="CO17" s="5">
        <f t="shared" si="130"/>
        <v>904.1410000000001</v>
      </c>
      <c r="CP17" s="5">
        <f t="shared" si="57"/>
        <v>147.50687000000002</v>
      </c>
      <c r="CQ17" s="5">
        <f t="shared" si="58"/>
        <v>1051.64787</v>
      </c>
      <c r="CR17" s="38">
        <f t="shared" si="59"/>
        <v>83.5721838</v>
      </c>
      <c r="CS17" s="5">
        <f t="shared" si="60"/>
        <v>1.5322727</v>
      </c>
      <c r="CT17"/>
      <c r="CU17" s="5">
        <f t="shared" si="131"/>
        <v>17249.235</v>
      </c>
      <c r="CV17" s="5">
        <f t="shared" si="61"/>
        <v>2814.14145</v>
      </c>
      <c r="CW17" s="5">
        <f t="shared" si="62"/>
        <v>20063.37645</v>
      </c>
      <c r="CX17" s="38">
        <f t="shared" si="63"/>
        <v>1594.393173</v>
      </c>
      <c r="CY17" s="5">
        <f t="shared" si="64"/>
        <v>29.2327545</v>
      </c>
      <c r="CZ17"/>
      <c r="DA17" s="5">
        <f t="shared" si="132"/>
        <v>13922.861</v>
      </c>
      <c r="DB17" s="5">
        <f t="shared" si="65"/>
        <v>2271.4572700000003</v>
      </c>
      <c r="DC17" s="38">
        <f t="shared" si="66"/>
        <v>16194.318270000002</v>
      </c>
      <c r="DD17" s="38">
        <f t="shared" si="67"/>
        <v>1286.9274798000001</v>
      </c>
      <c r="DE17" s="5">
        <f t="shared" si="68"/>
        <v>23.5954567</v>
      </c>
      <c r="DG17" s="5">
        <f t="shared" si="133"/>
        <v>2524.653</v>
      </c>
      <c r="DH17" s="5">
        <f t="shared" si="69"/>
        <v>411.88671</v>
      </c>
      <c r="DI17" s="5">
        <f t="shared" si="70"/>
        <v>2936.53971</v>
      </c>
      <c r="DJ17" s="38">
        <f t="shared" si="71"/>
        <v>233.3604654</v>
      </c>
      <c r="DK17" s="5">
        <f t="shared" si="72"/>
        <v>4.2785991</v>
      </c>
      <c r="DM17" s="5">
        <f t="shared" si="134"/>
        <v>1015.665</v>
      </c>
      <c r="DN17" s="5">
        <f t="shared" si="73"/>
        <v>165.70155</v>
      </c>
      <c r="DO17" s="5">
        <f t="shared" si="74"/>
        <v>1181.36655</v>
      </c>
      <c r="DP17" s="38">
        <f t="shared" si="75"/>
        <v>93.880647</v>
      </c>
      <c r="DQ17" s="5">
        <f t="shared" si="76"/>
        <v>1.7212755</v>
      </c>
      <c r="DS17" s="5">
        <f t="shared" si="135"/>
        <v>8170.271</v>
      </c>
      <c r="DT17" s="5">
        <f t="shared" si="77"/>
        <v>1332.94597</v>
      </c>
      <c r="DU17" s="5">
        <f t="shared" si="78"/>
        <v>9503.21697</v>
      </c>
      <c r="DV17" s="38">
        <f t="shared" si="79"/>
        <v>755.2001177999999</v>
      </c>
      <c r="DW17" s="5">
        <f t="shared" si="80"/>
        <v>13.846383699999999</v>
      </c>
      <c r="DY17" s="5">
        <f t="shared" si="136"/>
        <v>103720.73400000001</v>
      </c>
      <c r="DZ17" s="5">
        <f t="shared" si="81"/>
        <v>16921.60938</v>
      </c>
      <c r="EA17" s="38">
        <f t="shared" si="82"/>
        <v>120642.34338</v>
      </c>
      <c r="EB17" s="38">
        <f t="shared" si="83"/>
        <v>9587.1863412</v>
      </c>
      <c r="EC17" s="5">
        <f t="shared" si="84"/>
        <v>175.7783898</v>
      </c>
      <c r="EE17" s="5">
        <f t="shared" si="137"/>
        <v>8689.768</v>
      </c>
      <c r="EF17" s="38">
        <f t="shared" si="85"/>
        <v>1417.69976</v>
      </c>
      <c r="EG17" s="38">
        <f t="shared" si="86"/>
        <v>10107.46776</v>
      </c>
      <c r="EH17" s="38">
        <f t="shared" si="87"/>
        <v>803.2186224000001</v>
      </c>
      <c r="EI17" s="5">
        <f t="shared" si="88"/>
        <v>14.7267896</v>
      </c>
      <c r="EK17" s="5">
        <f t="shared" si="138"/>
        <v>3408.879</v>
      </c>
      <c r="EL17" s="38">
        <f t="shared" si="89"/>
        <v>556.14453</v>
      </c>
      <c r="EM17" s="38">
        <f t="shared" si="90"/>
        <v>3965.02353</v>
      </c>
      <c r="EN17" s="38">
        <f t="shared" si="91"/>
        <v>315.0918522</v>
      </c>
      <c r="EO17" s="5">
        <f t="shared" si="92"/>
        <v>5.7771213</v>
      </c>
      <c r="EQ17" s="5">
        <f t="shared" si="139"/>
        <v>2796.0660000000003</v>
      </c>
      <c r="ER17" s="5">
        <f t="shared" si="93"/>
        <v>456.16662</v>
      </c>
      <c r="ES17" s="5">
        <f t="shared" si="94"/>
        <v>3252.23262</v>
      </c>
      <c r="ET17" s="38">
        <f t="shared" si="95"/>
        <v>258.4478988</v>
      </c>
      <c r="EU17" s="5">
        <f t="shared" si="96"/>
        <v>4.7385702</v>
      </c>
      <c r="EW17" s="38">
        <f t="shared" si="140"/>
        <v>25520.218999999997</v>
      </c>
      <c r="EX17" s="38">
        <f t="shared" si="97"/>
        <v>4163.51833</v>
      </c>
      <c r="EY17" s="5">
        <f t="shared" si="98"/>
        <v>29683.737329999996</v>
      </c>
      <c r="EZ17" s="38">
        <f t="shared" si="99"/>
        <v>2358.9024642</v>
      </c>
      <c r="FA17" s="5">
        <f t="shared" si="100"/>
        <v>43.2498193</v>
      </c>
      <c r="FC17" s="38">
        <f t="shared" si="141"/>
        <v>73613.23700000001</v>
      </c>
      <c r="FD17" s="38">
        <f t="shared" si="101"/>
        <v>12009.695590000001</v>
      </c>
      <c r="FE17" s="5">
        <f t="shared" si="102"/>
        <v>85622.93259000001</v>
      </c>
      <c r="FF17" s="38">
        <f t="shared" si="103"/>
        <v>6804.2694366000005</v>
      </c>
      <c r="FG17" s="5">
        <f t="shared" si="104"/>
        <v>124.75438390000001</v>
      </c>
      <c r="FI17" s="5">
        <f t="shared" si="142"/>
        <v>754.494</v>
      </c>
      <c r="FJ17" s="5">
        <f t="shared" si="105"/>
        <v>123.09258</v>
      </c>
      <c r="FK17" s="5">
        <f t="shared" si="106"/>
        <v>877.58658</v>
      </c>
      <c r="FL17" s="38">
        <f t="shared" si="107"/>
        <v>69.7399092</v>
      </c>
      <c r="FM17" s="5">
        <f t="shared" si="108"/>
        <v>1.2786618</v>
      </c>
      <c r="FO17" s="5">
        <f t="shared" si="143"/>
        <v>35656.954</v>
      </c>
      <c r="FP17" s="5">
        <f t="shared" si="109"/>
        <v>5817.28478</v>
      </c>
      <c r="FQ17" s="5">
        <f t="shared" si="110"/>
        <v>41474.23878</v>
      </c>
      <c r="FR17" s="38">
        <f t="shared" si="111"/>
        <v>3295.8681372</v>
      </c>
      <c r="FS17" s="5">
        <f t="shared" si="112"/>
        <v>60.428823799999996</v>
      </c>
      <c r="FU17" s="5">
        <f t="shared" si="144"/>
        <v>2516.118</v>
      </c>
      <c r="FV17" s="5">
        <f t="shared" si="113"/>
        <v>410.49426</v>
      </c>
      <c r="FW17" s="5">
        <f t="shared" si="114"/>
        <v>2926.61226</v>
      </c>
      <c r="FX17" s="38">
        <f t="shared" si="115"/>
        <v>232.5715524</v>
      </c>
      <c r="FY17" s="5">
        <f t="shared" si="116"/>
        <v>4.2641346</v>
      </c>
    </row>
    <row r="18" spans="1:181" ht="12.75">
      <c r="A18" s="40">
        <v>45931</v>
      </c>
      <c r="C18" s="76">
        <f>'2019C'!B18</f>
        <v>0</v>
      </c>
      <c r="D18" s="76">
        <f>'2019C'!C18</f>
        <v>814500</v>
      </c>
      <c r="E18" s="37">
        <f t="shared" si="0"/>
        <v>814500</v>
      </c>
      <c r="F18" s="76">
        <f>'2019C'!E18</f>
        <v>525942</v>
      </c>
      <c r="G18" s="76">
        <f>'2019C'!F18</f>
        <v>9643</v>
      </c>
      <c r="I18" s="50"/>
      <c r="J18" s="38">
        <f t="shared" si="1"/>
        <v>116728.35704999999</v>
      </c>
      <c r="K18" s="38">
        <f t="shared" si="2"/>
        <v>116728.35704999999</v>
      </c>
      <c r="L18" s="38">
        <f t="shared" si="3"/>
        <v>75374.27325180001</v>
      </c>
      <c r="M18" s="38">
        <f t="shared" si="4"/>
        <v>1381.9662947000002</v>
      </c>
      <c r="N18"/>
      <c r="P18" s="5">
        <f t="shared" si="5"/>
        <v>26973.06345</v>
      </c>
      <c r="Q18" s="5">
        <f t="shared" si="6"/>
        <v>26973.06345</v>
      </c>
      <c r="R18" s="38">
        <f t="shared" si="7"/>
        <v>17417.1478662</v>
      </c>
      <c r="S18" s="5">
        <f t="shared" si="8"/>
        <v>319.3385523</v>
      </c>
      <c r="T18"/>
      <c r="V18" s="38">
        <f t="shared" si="9"/>
        <v>2866.0625999999997</v>
      </c>
      <c r="W18" s="38">
        <f t="shared" si="10"/>
        <v>2866.0625999999997</v>
      </c>
      <c r="X18" s="38">
        <f t="shared" si="11"/>
        <v>1850.6847096</v>
      </c>
      <c r="Y18" s="5">
        <f t="shared" si="12"/>
        <v>33.9317884</v>
      </c>
      <c r="Z18"/>
      <c r="AB18" s="5">
        <f t="shared" si="13"/>
        <v>981.6354</v>
      </c>
      <c r="AC18" s="5">
        <f t="shared" si="14"/>
        <v>981.6354</v>
      </c>
      <c r="AD18" s="38">
        <f t="shared" si="15"/>
        <v>633.8652984</v>
      </c>
      <c r="AE18" s="5">
        <f t="shared" si="16"/>
        <v>11.6217436</v>
      </c>
      <c r="AF18"/>
      <c r="AH18" s="5">
        <f t="shared" si="17"/>
        <v>563.8807935</v>
      </c>
      <c r="AI18" s="5">
        <f t="shared" si="18"/>
        <v>563.8807935</v>
      </c>
      <c r="AJ18" s="38">
        <f t="shared" si="19"/>
        <v>364.11122442600004</v>
      </c>
      <c r="AK18" s="5">
        <f t="shared" si="20"/>
        <v>6.675877829</v>
      </c>
      <c r="AL18"/>
      <c r="AN18" s="5">
        <f t="shared" si="21"/>
        <v>4349.1042</v>
      </c>
      <c r="AO18" s="5">
        <f t="shared" si="22"/>
        <v>4349.1042</v>
      </c>
      <c r="AP18" s="38">
        <f t="shared" si="23"/>
        <v>2808.3199031999998</v>
      </c>
      <c r="AQ18" s="5">
        <f t="shared" si="24"/>
        <v>51.4897628</v>
      </c>
      <c r="AR18"/>
      <c r="AT18" s="5">
        <f t="shared" si="25"/>
        <v>26563.20705</v>
      </c>
      <c r="AU18" s="5">
        <f t="shared" si="26"/>
        <v>26563.20705</v>
      </c>
      <c r="AV18" s="38">
        <f t="shared" si="27"/>
        <v>17152.4938518</v>
      </c>
      <c r="AW18" s="5">
        <f t="shared" si="28"/>
        <v>314.4861947</v>
      </c>
      <c r="AX18"/>
      <c r="AZ18" s="5">
        <f t="shared" si="29"/>
        <v>1267.6878000000002</v>
      </c>
      <c r="BA18" s="5">
        <f t="shared" si="30"/>
        <v>1267.6878000000002</v>
      </c>
      <c r="BB18" s="38">
        <f t="shared" si="31"/>
        <v>818.5761288000001</v>
      </c>
      <c r="BC18" s="5">
        <f t="shared" si="32"/>
        <v>15.008365200000002</v>
      </c>
      <c r="BD18"/>
      <c r="BF18" s="5">
        <f t="shared" si="33"/>
        <v>2057.9157</v>
      </c>
      <c r="BG18" s="5">
        <f t="shared" si="34"/>
        <v>2057.9157</v>
      </c>
      <c r="BH18" s="38">
        <f t="shared" si="35"/>
        <v>1328.8450572</v>
      </c>
      <c r="BI18" s="5">
        <f t="shared" si="36"/>
        <v>24.3640038</v>
      </c>
      <c r="BJ18"/>
      <c r="BK18" s="38"/>
      <c r="BL18" s="5">
        <f t="shared" si="37"/>
        <v>5062.85055</v>
      </c>
      <c r="BM18" s="38">
        <f t="shared" si="38"/>
        <v>5062.85055</v>
      </c>
      <c r="BN18" s="38">
        <f t="shared" si="39"/>
        <v>3269.2028778</v>
      </c>
      <c r="BO18" s="5">
        <f t="shared" si="40"/>
        <v>59.9399237</v>
      </c>
      <c r="BP18"/>
      <c r="BR18" s="5">
        <f t="shared" si="41"/>
        <v>243.2097</v>
      </c>
      <c r="BS18" s="5">
        <f t="shared" si="42"/>
        <v>243.2097</v>
      </c>
      <c r="BT18" s="38">
        <f t="shared" si="43"/>
        <v>157.0462812</v>
      </c>
      <c r="BU18" s="5">
        <f t="shared" si="44"/>
        <v>2.8793998</v>
      </c>
      <c r="BV18"/>
      <c r="BX18" s="5">
        <f t="shared" si="45"/>
        <v>2596.7074500000003</v>
      </c>
      <c r="BY18" s="5">
        <f t="shared" si="46"/>
        <v>2596.7074500000003</v>
      </c>
      <c r="BZ18" s="38">
        <f t="shared" si="47"/>
        <v>1676.7556902000001</v>
      </c>
      <c r="CA18" s="5">
        <f t="shared" si="48"/>
        <v>30.742848300000002</v>
      </c>
      <c r="CB18"/>
      <c r="CD18" s="5">
        <f t="shared" si="49"/>
        <v>115.49365650000003</v>
      </c>
      <c r="CE18" s="5">
        <f t="shared" si="50"/>
        <v>115.49365650000003</v>
      </c>
      <c r="CF18" s="38">
        <f t="shared" si="51"/>
        <v>74.57699777400002</v>
      </c>
      <c r="CG18" s="5">
        <f t="shared" si="52"/>
        <v>1.3673484710000003</v>
      </c>
      <c r="CH18"/>
      <c r="CJ18" s="5">
        <f t="shared" si="53"/>
        <v>77.45895</v>
      </c>
      <c r="CK18" s="5">
        <f t="shared" si="54"/>
        <v>77.45895</v>
      </c>
      <c r="CL18" s="38">
        <f t="shared" si="55"/>
        <v>50.0170842</v>
      </c>
      <c r="CM18" s="5">
        <f t="shared" si="56"/>
        <v>0.9170493</v>
      </c>
      <c r="CN18"/>
      <c r="CP18" s="5">
        <f t="shared" si="57"/>
        <v>129.42405000000002</v>
      </c>
      <c r="CQ18" s="5">
        <f t="shared" si="58"/>
        <v>129.42405000000002</v>
      </c>
      <c r="CR18" s="38">
        <f t="shared" si="59"/>
        <v>83.5721838</v>
      </c>
      <c r="CS18" s="5">
        <f t="shared" si="60"/>
        <v>1.5322727</v>
      </c>
      <c r="CT18"/>
      <c r="CV18" s="5">
        <f t="shared" si="61"/>
        <v>2469.15675</v>
      </c>
      <c r="CW18" s="5">
        <f t="shared" si="62"/>
        <v>2469.15675</v>
      </c>
      <c r="CX18" s="38">
        <f t="shared" si="63"/>
        <v>1594.393173</v>
      </c>
      <c r="CY18" s="5">
        <f t="shared" si="64"/>
        <v>29.2327545</v>
      </c>
      <c r="CZ18"/>
      <c r="DB18" s="5">
        <f t="shared" si="65"/>
        <v>1993.00005</v>
      </c>
      <c r="DC18" s="38">
        <f t="shared" si="66"/>
        <v>1993.00005</v>
      </c>
      <c r="DD18" s="38">
        <f t="shared" si="67"/>
        <v>1286.9274798000001</v>
      </c>
      <c r="DE18" s="5">
        <f t="shared" si="68"/>
        <v>23.5954567</v>
      </c>
      <c r="DH18" s="5">
        <f t="shared" si="69"/>
        <v>361.39365</v>
      </c>
      <c r="DI18" s="5">
        <f t="shared" si="70"/>
        <v>361.39365</v>
      </c>
      <c r="DJ18" s="38">
        <f t="shared" si="71"/>
        <v>233.3604654</v>
      </c>
      <c r="DK18" s="5">
        <f t="shared" si="72"/>
        <v>4.2785991</v>
      </c>
      <c r="DN18" s="5">
        <f t="shared" si="73"/>
        <v>145.38825</v>
      </c>
      <c r="DO18" s="5">
        <f t="shared" si="74"/>
        <v>145.38825</v>
      </c>
      <c r="DP18" s="38">
        <f t="shared" si="75"/>
        <v>93.880647</v>
      </c>
      <c r="DQ18" s="5">
        <f t="shared" si="76"/>
        <v>1.7212755</v>
      </c>
      <c r="DT18" s="5">
        <f t="shared" si="77"/>
        <v>1169.54055</v>
      </c>
      <c r="DU18" s="5">
        <f t="shared" si="78"/>
        <v>1169.54055</v>
      </c>
      <c r="DV18" s="38">
        <f t="shared" si="79"/>
        <v>755.2001177999999</v>
      </c>
      <c r="DW18" s="5">
        <f t="shared" si="80"/>
        <v>13.846383699999999</v>
      </c>
      <c r="DZ18" s="5">
        <f t="shared" si="81"/>
        <v>14847.1947</v>
      </c>
      <c r="EA18" s="38">
        <f t="shared" si="82"/>
        <v>14847.1947</v>
      </c>
      <c r="EB18" s="38">
        <f t="shared" si="83"/>
        <v>9587.1863412</v>
      </c>
      <c r="EC18" s="5">
        <f t="shared" si="84"/>
        <v>175.7783898</v>
      </c>
      <c r="EF18" s="38">
        <f t="shared" si="85"/>
        <v>1243.9044000000001</v>
      </c>
      <c r="EG18" s="38">
        <f t="shared" si="86"/>
        <v>1243.9044000000001</v>
      </c>
      <c r="EH18" s="38">
        <f t="shared" si="87"/>
        <v>803.2186224000001</v>
      </c>
      <c r="EI18" s="5">
        <f t="shared" si="88"/>
        <v>14.7267896</v>
      </c>
      <c r="EL18" s="38">
        <f t="shared" si="89"/>
        <v>487.96695</v>
      </c>
      <c r="EM18" s="38">
        <f t="shared" si="90"/>
        <v>487.96695</v>
      </c>
      <c r="EN18" s="38">
        <f t="shared" si="91"/>
        <v>315.0918522</v>
      </c>
      <c r="EO18" s="5">
        <f t="shared" si="92"/>
        <v>5.7771213</v>
      </c>
      <c r="ER18" s="5">
        <f t="shared" si="93"/>
        <v>400.24530000000004</v>
      </c>
      <c r="ES18" s="5">
        <f t="shared" si="94"/>
        <v>400.24530000000004</v>
      </c>
      <c r="ET18" s="38">
        <f t="shared" si="95"/>
        <v>258.4478988</v>
      </c>
      <c r="EU18" s="5">
        <f t="shared" si="96"/>
        <v>4.7385702</v>
      </c>
      <c r="EW18" s="38"/>
      <c r="EX18" s="38">
        <f t="shared" si="97"/>
        <v>3653.11395</v>
      </c>
      <c r="EY18" s="5">
        <f t="shared" si="98"/>
        <v>3653.11395</v>
      </c>
      <c r="EZ18" s="38">
        <f t="shared" si="99"/>
        <v>2358.9024642</v>
      </c>
      <c r="FA18" s="5">
        <f t="shared" si="100"/>
        <v>43.2498193</v>
      </c>
      <c r="FC18" s="38"/>
      <c r="FD18" s="38">
        <f t="shared" si="101"/>
        <v>10537.43085</v>
      </c>
      <c r="FE18" s="5">
        <f t="shared" si="102"/>
        <v>10537.43085</v>
      </c>
      <c r="FF18" s="38">
        <f t="shared" si="103"/>
        <v>6804.2694366000005</v>
      </c>
      <c r="FG18" s="5">
        <f t="shared" si="104"/>
        <v>124.75438390000001</v>
      </c>
      <c r="FJ18" s="5">
        <f t="shared" si="105"/>
        <v>108.0027</v>
      </c>
      <c r="FK18" s="5">
        <f t="shared" si="106"/>
        <v>108.0027</v>
      </c>
      <c r="FL18" s="38">
        <f t="shared" si="107"/>
        <v>69.7399092</v>
      </c>
      <c r="FM18" s="5">
        <f t="shared" si="108"/>
        <v>1.2786618</v>
      </c>
      <c r="FO18" s="5"/>
      <c r="FP18" s="5">
        <f t="shared" si="109"/>
        <v>5104.1457</v>
      </c>
      <c r="FQ18" s="5">
        <f t="shared" si="110"/>
        <v>5104.1457</v>
      </c>
      <c r="FR18" s="38">
        <f t="shared" si="111"/>
        <v>3295.8681372</v>
      </c>
      <c r="FS18" s="5">
        <f t="shared" si="112"/>
        <v>60.428823799999996</v>
      </c>
      <c r="FU18" s="5"/>
      <c r="FV18" s="5">
        <f t="shared" si="113"/>
        <v>360.1719</v>
      </c>
      <c r="FW18" s="5">
        <f t="shared" si="114"/>
        <v>360.1719</v>
      </c>
      <c r="FX18" s="38">
        <f t="shared" si="115"/>
        <v>232.5715524</v>
      </c>
      <c r="FY18" s="5">
        <f t="shared" si="116"/>
        <v>4.2641346</v>
      </c>
    </row>
    <row r="19" spans="1:181" ht="12.75">
      <c r="A19" s="40">
        <v>46113</v>
      </c>
      <c r="C19" s="76">
        <f>'2019C'!B19</f>
        <v>5910000</v>
      </c>
      <c r="D19" s="76">
        <f>'2019C'!C19</f>
        <v>814500</v>
      </c>
      <c r="E19" s="37">
        <f t="shared" si="0"/>
        <v>6724500</v>
      </c>
      <c r="F19" s="76">
        <f>'2019C'!E19</f>
        <v>525942</v>
      </c>
      <c r="G19" s="76">
        <f>'2019C'!F19</f>
        <v>9643</v>
      </c>
      <c r="I19" s="50">
        <f t="shared" si="117"/>
        <v>846979.2390000002</v>
      </c>
      <c r="J19" s="38">
        <f t="shared" si="1"/>
        <v>116728.35704999999</v>
      </c>
      <c r="K19" s="38">
        <f t="shared" si="2"/>
        <v>963707.5960500002</v>
      </c>
      <c r="L19" s="38">
        <f t="shared" si="3"/>
        <v>75374.27325180001</v>
      </c>
      <c r="M19" s="38">
        <f t="shared" si="4"/>
        <v>1381.9662947000002</v>
      </c>
      <c r="N19"/>
      <c r="O19" s="5">
        <f t="shared" si="118"/>
        <v>195716.151</v>
      </c>
      <c r="P19" s="5">
        <f t="shared" si="5"/>
        <v>26973.06345</v>
      </c>
      <c r="Q19" s="5">
        <f t="shared" si="6"/>
        <v>222689.21445000003</v>
      </c>
      <c r="R19" s="38">
        <f t="shared" si="7"/>
        <v>17417.1478662</v>
      </c>
      <c r="S19" s="5">
        <f t="shared" si="8"/>
        <v>319.3385523</v>
      </c>
      <c r="T19"/>
      <c r="U19" s="5">
        <f t="shared" si="119"/>
        <v>20796.108</v>
      </c>
      <c r="V19" s="38">
        <f t="shared" si="9"/>
        <v>2866.0625999999997</v>
      </c>
      <c r="W19" s="38">
        <f t="shared" si="10"/>
        <v>23662.1706</v>
      </c>
      <c r="X19" s="38">
        <f t="shared" si="11"/>
        <v>1850.6847096</v>
      </c>
      <c r="Y19" s="5">
        <f t="shared" si="12"/>
        <v>33.9317884</v>
      </c>
      <c r="Z19"/>
      <c r="AA19" s="5">
        <f t="shared" si="120"/>
        <v>7122.732</v>
      </c>
      <c r="AB19" s="5">
        <f t="shared" si="13"/>
        <v>981.6354</v>
      </c>
      <c r="AC19" s="5">
        <f t="shared" si="14"/>
        <v>8104.3674</v>
      </c>
      <c r="AD19" s="38">
        <f t="shared" si="15"/>
        <v>633.8652984</v>
      </c>
      <c r="AE19" s="5">
        <f t="shared" si="16"/>
        <v>11.6217436</v>
      </c>
      <c r="AF19"/>
      <c r="AG19" s="5">
        <f t="shared" si="121"/>
        <v>4091.51073</v>
      </c>
      <c r="AH19" s="5">
        <f t="shared" si="17"/>
        <v>563.8807935</v>
      </c>
      <c r="AI19" s="5">
        <f t="shared" si="18"/>
        <v>4655.3915235</v>
      </c>
      <c r="AJ19" s="38">
        <f t="shared" si="19"/>
        <v>364.11122442600004</v>
      </c>
      <c r="AK19" s="5">
        <f t="shared" si="20"/>
        <v>6.675877829</v>
      </c>
      <c r="AL19"/>
      <c r="AM19" s="5">
        <f t="shared" si="122"/>
        <v>31557.036</v>
      </c>
      <c r="AN19" s="5">
        <f t="shared" si="21"/>
        <v>4349.1042</v>
      </c>
      <c r="AO19" s="5">
        <f t="shared" si="22"/>
        <v>35906.1402</v>
      </c>
      <c r="AP19" s="38">
        <f t="shared" si="23"/>
        <v>2808.3199031999998</v>
      </c>
      <c r="AQ19" s="5">
        <f t="shared" si="24"/>
        <v>51.4897628</v>
      </c>
      <c r="AR19"/>
      <c r="AS19" s="5">
        <f t="shared" si="123"/>
        <v>192742.239</v>
      </c>
      <c r="AT19" s="5">
        <f t="shared" si="25"/>
        <v>26563.20705</v>
      </c>
      <c r="AU19" s="5">
        <f t="shared" si="26"/>
        <v>219305.44605</v>
      </c>
      <c r="AV19" s="38">
        <f t="shared" si="27"/>
        <v>17152.4938518</v>
      </c>
      <c r="AW19" s="5">
        <f t="shared" si="28"/>
        <v>314.4861947</v>
      </c>
      <c r="AX19"/>
      <c r="AY19" s="5">
        <f t="shared" si="124"/>
        <v>9198.324</v>
      </c>
      <c r="AZ19" s="5">
        <f t="shared" si="29"/>
        <v>1267.6878000000002</v>
      </c>
      <c r="BA19" s="5">
        <f t="shared" si="30"/>
        <v>10466.0118</v>
      </c>
      <c r="BB19" s="38">
        <f t="shared" si="31"/>
        <v>818.5761288000001</v>
      </c>
      <c r="BC19" s="5">
        <f t="shared" si="32"/>
        <v>15.008365200000002</v>
      </c>
      <c r="BD19"/>
      <c r="BE19" s="5">
        <f>C19*$BG$6</f>
        <v>14932.206</v>
      </c>
      <c r="BF19" s="5">
        <f t="shared" si="33"/>
        <v>2057.9157</v>
      </c>
      <c r="BG19" s="5">
        <f t="shared" si="34"/>
        <v>16990.1217</v>
      </c>
      <c r="BH19" s="38">
        <f t="shared" si="35"/>
        <v>1328.8450572</v>
      </c>
      <c r="BI19" s="5">
        <f t="shared" si="36"/>
        <v>24.3640038</v>
      </c>
      <c r="BJ19"/>
      <c r="BK19" s="38">
        <f t="shared" si="125"/>
        <v>36735.969</v>
      </c>
      <c r="BL19" s="5">
        <f t="shared" si="37"/>
        <v>5062.85055</v>
      </c>
      <c r="BM19" s="38">
        <f t="shared" si="38"/>
        <v>41798.81955</v>
      </c>
      <c r="BN19" s="38">
        <f t="shared" si="39"/>
        <v>3269.2028778</v>
      </c>
      <c r="BO19" s="5">
        <f t="shared" si="40"/>
        <v>59.9399237</v>
      </c>
      <c r="BP19"/>
      <c r="BQ19" s="5">
        <f t="shared" si="126"/>
        <v>1764.7259999999999</v>
      </c>
      <c r="BR19" s="5">
        <f t="shared" si="41"/>
        <v>243.2097</v>
      </c>
      <c r="BS19" s="5">
        <f t="shared" si="42"/>
        <v>2007.9357</v>
      </c>
      <c r="BT19" s="38">
        <f t="shared" si="43"/>
        <v>157.0462812</v>
      </c>
      <c r="BU19" s="5">
        <f t="shared" si="44"/>
        <v>2.8793998</v>
      </c>
      <c r="BV19"/>
      <c r="BW19" s="5">
        <f t="shared" si="127"/>
        <v>18841.671000000002</v>
      </c>
      <c r="BX19" s="5">
        <f t="shared" si="45"/>
        <v>2596.7074500000003</v>
      </c>
      <c r="BY19" s="5">
        <f t="shared" si="46"/>
        <v>21438.378450000004</v>
      </c>
      <c r="BZ19" s="38">
        <f t="shared" si="47"/>
        <v>1676.7556902000001</v>
      </c>
      <c r="CA19" s="5">
        <f t="shared" si="48"/>
        <v>30.742848300000002</v>
      </c>
      <c r="CB19"/>
      <c r="CC19" s="5">
        <f t="shared" si="128"/>
        <v>838.0202700000002</v>
      </c>
      <c r="CD19" s="5">
        <f t="shared" si="49"/>
        <v>115.49365650000003</v>
      </c>
      <c r="CE19" s="5">
        <f t="shared" si="50"/>
        <v>953.5139265000003</v>
      </c>
      <c r="CF19" s="38">
        <f t="shared" si="51"/>
        <v>74.57699777400002</v>
      </c>
      <c r="CG19" s="5">
        <f t="shared" si="52"/>
        <v>1.3673484710000003</v>
      </c>
      <c r="CH19"/>
      <c r="CI19" s="5">
        <f t="shared" si="129"/>
        <v>562.0409999999999</v>
      </c>
      <c r="CJ19" s="5">
        <f t="shared" si="53"/>
        <v>77.45895</v>
      </c>
      <c r="CK19" s="5">
        <f t="shared" si="54"/>
        <v>639.4999499999999</v>
      </c>
      <c r="CL19" s="38">
        <f t="shared" si="55"/>
        <v>50.0170842</v>
      </c>
      <c r="CM19" s="5">
        <f t="shared" si="56"/>
        <v>0.9170493</v>
      </c>
      <c r="CN19"/>
      <c r="CO19" s="5">
        <f t="shared" si="130"/>
        <v>939.099</v>
      </c>
      <c r="CP19" s="5">
        <f t="shared" si="57"/>
        <v>129.42405000000002</v>
      </c>
      <c r="CQ19" s="5">
        <f t="shared" si="58"/>
        <v>1068.52305</v>
      </c>
      <c r="CR19" s="38">
        <f t="shared" si="59"/>
        <v>83.5721838</v>
      </c>
      <c r="CS19" s="5">
        <f t="shared" si="60"/>
        <v>1.5322727</v>
      </c>
      <c r="CT19"/>
      <c r="CU19" s="5">
        <f t="shared" si="131"/>
        <v>17916.165</v>
      </c>
      <c r="CV19" s="5">
        <f t="shared" si="61"/>
        <v>2469.15675</v>
      </c>
      <c r="CW19" s="5">
        <f t="shared" si="62"/>
        <v>20385.321750000003</v>
      </c>
      <c r="CX19" s="38">
        <f t="shared" si="63"/>
        <v>1594.393173</v>
      </c>
      <c r="CY19" s="5">
        <f t="shared" si="64"/>
        <v>29.2327545</v>
      </c>
      <c r="CZ19"/>
      <c r="DA19" s="5">
        <f t="shared" si="132"/>
        <v>14461.179</v>
      </c>
      <c r="DB19" s="5">
        <f t="shared" si="65"/>
        <v>1993.00005</v>
      </c>
      <c r="DC19" s="38">
        <f t="shared" si="66"/>
        <v>16454.17905</v>
      </c>
      <c r="DD19" s="38">
        <f t="shared" si="67"/>
        <v>1286.9274798000001</v>
      </c>
      <c r="DE19" s="5">
        <f t="shared" si="68"/>
        <v>23.5954567</v>
      </c>
      <c r="DG19" s="5">
        <f t="shared" si="133"/>
        <v>2622.267</v>
      </c>
      <c r="DH19" s="5">
        <f t="shared" si="69"/>
        <v>361.39365</v>
      </c>
      <c r="DI19" s="5">
        <f t="shared" si="70"/>
        <v>2983.66065</v>
      </c>
      <c r="DJ19" s="38">
        <f t="shared" si="71"/>
        <v>233.3604654</v>
      </c>
      <c r="DK19" s="5">
        <f t="shared" si="72"/>
        <v>4.2785991</v>
      </c>
      <c r="DM19" s="5">
        <f t="shared" si="134"/>
        <v>1054.935</v>
      </c>
      <c r="DN19" s="5">
        <f t="shared" si="73"/>
        <v>145.38825</v>
      </c>
      <c r="DO19" s="5">
        <f t="shared" si="74"/>
        <v>1200.32325</v>
      </c>
      <c r="DP19" s="38">
        <f t="shared" si="75"/>
        <v>93.880647</v>
      </c>
      <c r="DQ19" s="5">
        <f t="shared" si="76"/>
        <v>1.7212755</v>
      </c>
      <c r="DS19" s="5">
        <f t="shared" si="135"/>
        <v>8486.169</v>
      </c>
      <c r="DT19" s="5">
        <f t="shared" si="77"/>
        <v>1169.54055</v>
      </c>
      <c r="DU19" s="5">
        <f t="shared" si="78"/>
        <v>9655.70955</v>
      </c>
      <c r="DV19" s="38">
        <f t="shared" si="79"/>
        <v>755.2001177999999</v>
      </c>
      <c r="DW19" s="5">
        <f t="shared" si="80"/>
        <v>13.846383699999999</v>
      </c>
      <c r="DY19" s="5">
        <f t="shared" si="136"/>
        <v>107731.02600000001</v>
      </c>
      <c r="DZ19" s="5">
        <f t="shared" si="81"/>
        <v>14847.1947</v>
      </c>
      <c r="EA19" s="38">
        <f t="shared" si="82"/>
        <v>122578.2207</v>
      </c>
      <c r="EB19" s="38">
        <f t="shared" si="83"/>
        <v>9587.1863412</v>
      </c>
      <c r="EC19" s="5">
        <f t="shared" si="84"/>
        <v>175.7783898</v>
      </c>
      <c r="EE19" s="5">
        <f t="shared" si="137"/>
        <v>9025.752</v>
      </c>
      <c r="EF19" s="38">
        <f t="shared" si="85"/>
        <v>1243.9044000000001</v>
      </c>
      <c r="EG19" s="38">
        <f t="shared" si="86"/>
        <v>10269.6564</v>
      </c>
      <c r="EH19" s="38">
        <f t="shared" si="87"/>
        <v>803.2186224000001</v>
      </c>
      <c r="EI19" s="5">
        <f t="shared" si="88"/>
        <v>14.7267896</v>
      </c>
      <c r="EK19" s="5">
        <f t="shared" si="138"/>
        <v>3540.681</v>
      </c>
      <c r="EL19" s="38">
        <f t="shared" si="89"/>
        <v>487.96695</v>
      </c>
      <c r="EM19" s="38">
        <f t="shared" si="90"/>
        <v>4028.64795</v>
      </c>
      <c r="EN19" s="38">
        <f t="shared" si="91"/>
        <v>315.0918522</v>
      </c>
      <c r="EO19" s="5">
        <f t="shared" si="92"/>
        <v>5.7771213</v>
      </c>
      <c r="EQ19" s="5">
        <f t="shared" si="139"/>
        <v>2904.174</v>
      </c>
      <c r="ER19" s="5">
        <f t="shared" si="93"/>
        <v>400.24530000000004</v>
      </c>
      <c r="ES19" s="5">
        <f t="shared" si="94"/>
        <v>3304.4193</v>
      </c>
      <c r="ET19" s="38">
        <f t="shared" si="95"/>
        <v>258.4478988</v>
      </c>
      <c r="EU19" s="5">
        <f t="shared" si="96"/>
        <v>4.7385702</v>
      </c>
      <c r="EW19" s="38">
        <f t="shared" si="140"/>
        <v>26506.941</v>
      </c>
      <c r="EX19" s="38">
        <f t="shared" si="97"/>
        <v>3653.11395</v>
      </c>
      <c r="EY19" s="5">
        <f t="shared" si="98"/>
        <v>30160.054949999998</v>
      </c>
      <c r="EZ19" s="38">
        <f t="shared" si="99"/>
        <v>2358.9024642</v>
      </c>
      <c r="FA19" s="5">
        <f t="shared" si="100"/>
        <v>43.2498193</v>
      </c>
      <c r="FC19" s="38">
        <f t="shared" si="141"/>
        <v>76459.443</v>
      </c>
      <c r="FD19" s="38">
        <f t="shared" si="101"/>
        <v>10537.43085</v>
      </c>
      <c r="FE19" s="5">
        <f t="shared" si="102"/>
        <v>86996.87385</v>
      </c>
      <c r="FF19" s="38">
        <f t="shared" si="103"/>
        <v>6804.2694366000005</v>
      </c>
      <c r="FG19" s="5">
        <f t="shared" si="104"/>
        <v>124.75438390000001</v>
      </c>
      <c r="FI19" s="5">
        <f t="shared" si="142"/>
        <v>783.6659999999999</v>
      </c>
      <c r="FJ19" s="5">
        <f t="shared" si="105"/>
        <v>108.0027</v>
      </c>
      <c r="FK19" s="5">
        <f t="shared" si="106"/>
        <v>891.6687</v>
      </c>
      <c r="FL19" s="38">
        <f t="shared" si="107"/>
        <v>69.7399092</v>
      </c>
      <c r="FM19" s="5">
        <f t="shared" si="108"/>
        <v>1.2786618</v>
      </c>
      <c r="FO19" s="5">
        <f t="shared" si="143"/>
        <v>37035.606</v>
      </c>
      <c r="FP19" s="5">
        <f t="shared" si="109"/>
        <v>5104.1457</v>
      </c>
      <c r="FQ19" s="5">
        <f t="shared" si="110"/>
        <v>42139.7517</v>
      </c>
      <c r="FR19" s="38">
        <f t="shared" si="111"/>
        <v>3295.8681372</v>
      </c>
      <c r="FS19" s="5">
        <f t="shared" si="112"/>
        <v>60.428823799999996</v>
      </c>
      <c r="FU19" s="5">
        <f t="shared" si="144"/>
        <v>2613.402</v>
      </c>
      <c r="FV19" s="5">
        <f t="shared" si="113"/>
        <v>360.1719</v>
      </c>
      <c r="FW19" s="5">
        <f t="shared" si="114"/>
        <v>2973.5739</v>
      </c>
      <c r="FX19" s="38">
        <f t="shared" si="115"/>
        <v>232.5715524</v>
      </c>
      <c r="FY19" s="5">
        <f t="shared" si="116"/>
        <v>4.2641346</v>
      </c>
    </row>
    <row r="20" spans="1:181" ht="12.75">
      <c r="A20" s="40">
        <v>46296</v>
      </c>
      <c r="C20" s="76">
        <f>'2019C'!B20</f>
        <v>0</v>
      </c>
      <c r="D20" s="76">
        <f>'2019C'!C20</f>
        <v>666750</v>
      </c>
      <c r="E20" s="37">
        <f t="shared" si="0"/>
        <v>666750</v>
      </c>
      <c r="F20" s="76">
        <f>'2019C'!E20</f>
        <v>525942</v>
      </c>
      <c r="G20" s="76">
        <f>'2019C'!F20</f>
        <v>9643</v>
      </c>
      <c r="I20" s="50"/>
      <c r="J20" s="38">
        <f t="shared" si="1"/>
        <v>95553.87607499998</v>
      </c>
      <c r="K20" s="38">
        <f t="shared" si="2"/>
        <v>95553.87607499998</v>
      </c>
      <c r="L20" s="38">
        <f t="shared" si="3"/>
        <v>75374.27325180001</v>
      </c>
      <c r="M20" s="38">
        <f t="shared" si="4"/>
        <v>1381.9662947000002</v>
      </c>
      <c r="N20"/>
      <c r="P20" s="5">
        <f t="shared" si="5"/>
        <v>22080.159675000003</v>
      </c>
      <c r="Q20" s="5">
        <f t="shared" si="6"/>
        <v>22080.159675000003</v>
      </c>
      <c r="R20" s="38">
        <f t="shared" si="7"/>
        <v>17417.1478662</v>
      </c>
      <c r="S20" s="5">
        <f t="shared" si="8"/>
        <v>319.3385523</v>
      </c>
      <c r="T20"/>
      <c r="V20" s="38">
        <f t="shared" si="9"/>
        <v>2346.1599</v>
      </c>
      <c r="W20" s="38">
        <f t="shared" si="10"/>
        <v>2346.1599</v>
      </c>
      <c r="X20" s="38">
        <f t="shared" si="11"/>
        <v>1850.6847096</v>
      </c>
      <c r="Y20" s="5">
        <f t="shared" si="12"/>
        <v>33.9317884</v>
      </c>
      <c r="Z20"/>
      <c r="AB20" s="5">
        <f t="shared" si="13"/>
        <v>803.5671</v>
      </c>
      <c r="AC20" s="5">
        <f t="shared" si="14"/>
        <v>803.5671</v>
      </c>
      <c r="AD20" s="38">
        <f t="shared" si="15"/>
        <v>633.8652984</v>
      </c>
      <c r="AE20" s="5">
        <f t="shared" si="16"/>
        <v>11.6217436</v>
      </c>
      <c r="AF20"/>
      <c r="AH20" s="5">
        <f t="shared" si="17"/>
        <v>461.59302525</v>
      </c>
      <c r="AI20" s="5">
        <f t="shared" si="18"/>
        <v>461.59302525</v>
      </c>
      <c r="AJ20" s="38">
        <f t="shared" si="19"/>
        <v>364.11122442600004</v>
      </c>
      <c r="AK20" s="5">
        <f t="shared" si="20"/>
        <v>6.675877829</v>
      </c>
      <c r="AL20"/>
      <c r="AN20" s="5">
        <f t="shared" si="21"/>
        <v>3560.1783</v>
      </c>
      <c r="AO20" s="5">
        <f t="shared" si="22"/>
        <v>3560.1783</v>
      </c>
      <c r="AP20" s="38">
        <f t="shared" si="23"/>
        <v>2808.3199031999998</v>
      </c>
      <c r="AQ20" s="5">
        <f t="shared" si="24"/>
        <v>51.4897628</v>
      </c>
      <c r="AR20"/>
      <c r="AT20" s="5">
        <f t="shared" si="25"/>
        <v>21744.651075</v>
      </c>
      <c r="AU20" s="5">
        <f t="shared" si="26"/>
        <v>21744.651075</v>
      </c>
      <c r="AV20" s="38">
        <f t="shared" si="27"/>
        <v>17152.4938518</v>
      </c>
      <c r="AW20" s="5">
        <f t="shared" si="28"/>
        <v>314.4861947</v>
      </c>
      <c r="AX20"/>
      <c r="AZ20" s="5">
        <f t="shared" si="29"/>
        <v>1037.7297</v>
      </c>
      <c r="BA20" s="5">
        <f t="shared" si="30"/>
        <v>1037.7297</v>
      </c>
      <c r="BB20" s="38">
        <f t="shared" si="31"/>
        <v>818.5761288000001</v>
      </c>
      <c r="BC20" s="5">
        <f t="shared" si="32"/>
        <v>15.008365200000002</v>
      </c>
      <c r="BD20"/>
      <c r="BF20" s="5">
        <f t="shared" si="33"/>
        <v>1684.6105499999999</v>
      </c>
      <c r="BG20" s="5">
        <f t="shared" si="34"/>
        <v>1684.6105499999999</v>
      </c>
      <c r="BH20" s="38">
        <f t="shared" si="35"/>
        <v>1328.8450572</v>
      </c>
      <c r="BI20" s="5">
        <f t="shared" si="36"/>
        <v>24.3640038</v>
      </c>
      <c r="BJ20"/>
      <c r="BK20" s="38"/>
      <c r="BL20" s="5">
        <f t="shared" si="37"/>
        <v>4144.451325</v>
      </c>
      <c r="BM20" s="38">
        <f t="shared" si="38"/>
        <v>4144.451325</v>
      </c>
      <c r="BN20" s="38">
        <f t="shared" si="39"/>
        <v>3269.2028778</v>
      </c>
      <c r="BO20" s="5">
        <f t="shared" si="40"/>
        <v>59.9399237</v>
      </c>
      <c r="BP20"/>
      <c r="BR20" s="5">
        <f t="shared" si="41"/>
        <v>199.09154999999998</v>
      </c>
      <c r="BS20" s="5">
        <f t="shared" si="42"/>
        <v>199.09154999999998</v>
      </c>
      <c r="BT20" s="38">
        <f t="shared" si="43"/>
        <v>157.0462812</v>
      </c>
      <c r="BU20" s="5">
        <f t="shared" si="44"/>
        <v>2.8793998</v>
      </c>
      <c r="BV20"/>
      <c r="BX20" s="5">
        <f t="shared" si="45"/>
        <v>2125.665675</v>
      </c>
      <c r="BY20" s="5">
        <f t="shared" si="46"/>
        <v>2125.665675</v>
      </c>
      <c r="BZ20" s="38">
        <f t="shared" si="47"/>
        <v>1676.7556902000001</v>
      </c>
      <c r="CA20" s="5">
        <f t="shared" si="48"/>
        <v>30.742848300000002</v>
      </c>
      <c r="CB20"/>
      <c r="CD20" s="5">
        <f t="shared" si="49"/>
        <v>94.54314975000003</v>
      </c>
      <c r="CE20" s="5">
        <f t="shared" si="50"/>
        <v>94.54314975000003</v>
      </c>
      <c r="CF20" s="38">
        <f t="shared" si="51"/>
        <v>74.57699777400002</v>
      </c>
      <c r="CG20" s="5">
        <f t="shared" si="52"/>
        <v>1.3673484710000003</v>
      </c>
      <c r="CH20"/>
      <c r="CJ20" s="5">
        <f t="shared" si="53"/>
        <v>63.407925</v>
      </c>
      <c r="CK20" s="5">
        <f t="shared" si="54"/>
        <v>63.407925</v>
      </c>
      <c r="CL20" s="38">
        <f t="shared" si="55"/>
        <v>50.0170842</v>
      </c>
      <c r="CM20" s="5">
        <f t="shared" si="56"/>
        <v>0.9170493</v>
      </c>
      <c r="CN20"/>
      <c r="CP20" s="5">
        <f t="shared" si="57"/>
        <v>105.94657500000001</v>
      </c>
      <c r="CQ20" s="5">
        <f t="shared" si="58"/>
        <v>105.94657500000001</v>
      </c>
      <c r="CR20" s="38">
        <f t="shared" si="59"/>
        <v>83.5721838</v>
      </c>
      <c r="CS20" s="5">
        <f t="shared" si="60"/>
        <v>1.5322727</v>
      </c>
      <c r="CT20"/>
      <c r="CV20" s="5">
        <f t="shared" si="61"/>
        <v>2021.2526249999999</v>
      </c>
      <c r="CW20" s="5">
        <f t="shared" si="62"/>
        <v>2021.2526249999999</v>
      </c>
      <c r="CX20" s="38">
        <f t="shared" si="63"/>
        <v>1594.393173</v>
      </c>
      <c r="CY20" s="5">
        <f t="shared" si="64"/>
        <v>29.2327545</v>
      </c>
      <c r="CZ20"/>
      <c r="DB20" s="5">
        <f t="shared" si="65"/>
        <v>1631.470575</v>
      </c>
      <c r="DC20" s="38">
        <f t="shared" si="66"/>
        <v>1631.470575</v>
      </c>
      <c r="DD20" s="38">
        <f t="shared" si="67"/>
        <v>1286.9274798000001</v>
      </c>
      <c r="DE20" s="5">
        <f t="shared" si="68"/>
        <v>23.5954567</v>
      </c>
      <c r="DH20" s="5">
        <f t="shared" si="69"/>
        <v>295.836975</v>
      </c>
      <c r="DI20" s="5">
        <f t="shared" si="70"/>
        <v>295.836975</v>
      </c>
      <c r="DJ20" s="38">
        <f t="shared" si="71"/>
        <v>233.3604654</v>
      </c>
      <c r="DK20" s="5">
        <f t="shared" si="72"/>
        <v>4.2785991</v>
      </c>
      <c r="DN20" s="5">
        <f t="shared" si="73"/>
        <v>119.014875</v>
      </c>
      <c r="DO20" s="5">
        <f t="shared" si="74"/>
        <v>119.014875</v>
      </c>
      <c r="DP20" s="38">
        <f t="shared" si="75"/>
        <v>93.880647</v>
      </c>
      <c r="DQ20" s="5">
        <f t="shared" si="76"/>
        <v>1.7212755</v>
      </c>
      <c r="DT20" s="5">
        <f t="shared" si="77"/>
        <v>957.3863249999999</v>
      </c>
      <c r="DU20" s="5">
        <f t="shared" si="78"/>
        <v>957.3863249999999</v>
      </c>
      <c r="DV20" s="38">
        <f t="shared" si="79"/>
        <v>755.2001177999999</v>
      </c>
      <c r="DW20" s="5">
        <f t="shared" si="80"/>
        <v>13.846383699999999</v>
      </c>
      <c r="DZ20" s="5">
        <f t="shared" si="81"/>
        <v>12153.91905</v>
      </c>
      <c r="EA20" s="38">
        <f t="shared" si="82"/>
        <v>12153.91905</v>
      </c>
      <c r="EB20" s="38">
        <f t="shared" si="83"/>
        <v>9587.1863412</v>
      </c>
      <c r="EC20" s="5">
        <f t="shared" si="84"/>
        <v>175.7783898</v>
      </c>
      <c r="EF20" s="38">
        <f t="shared" si="85"/>
        <v>1018.2606000000001</v>
      </c>
      <c r="EG20" s="38">
        <f t="shared" si="86"/>
        <v>1018.2606000000001</v>
      </c>
      <c r="EH20" s="38">
        <f t="shared" si="87"/>
        <v>803.2186224000001</v>
      </c>
      <c r="EI20" s="5">
        <f t="shared" si="88"/>
        <v>14.7267896</v>
      </c>
      <c r="EL20" s="38">
        <f t="shared" si="89"/>
        <v>399.449925</v>
      </c>
      <c r="EM20" s="38">
        <f t="shared" si="90"/>
        <v>399.449925</v>
      </c>
      <c r="EN20" s="38">
        <f t="shared" si="91"/>
        <v>315.0918522</v>
      </c>
      <c r="EO20" s="5">
        <f t="shared" si="92"/>
        <v>5.7771213</v>
      </c>
      <c r="ER20" s="5">
        <f t="shared" si="93"/>
        <v>327.64095000000003</v>
      </c>
      <c r="ES20" s="5">
        <f t="shared" si="94"/>
        <v>327.64095000000003</v>
      </c>
      <c r="ET20" s="38">
        <f t="shared" si="95"/>
        <v>258.4478988</v>
      </c>
      <c r="EU20" s="5">
        <f t="shared" si="96"/>
        <v>4.7385702</v>
      </c>
      <c r="EW20" s="38"/>
      <c r="EX20" s="38">
        <f t="shared" si="97"/>
        <v>2990.440425</v>
      </c>
      <c r="EY20" s="5">
        <f t="shared" si="98"/>
        <v>2990.440425</v>
      </c>
      <c r="EZ20" s="38">
        <f t="shared" si="99"/>
        <v>2358.9024642</v>
      </c>
      <c r="FA20" s="5">
        <f t="shared" si="100"/>
        <v>43.2498193</v>
      </c>
      <c r="FC20" s="38"/>
      <c r="FD20" s="38">
        <f t="shared" si="101"/>
        <v>8625.944775</v>
      </c>
      <c r="FE20" s="5">
        <f t="shared" si="102"/>
        <v>8625.944775</v>
      </c>
      <c r="FF20" s="38">
        <f t="shared" si="103"/>
        <v>6804.2694366000005</v>
      </c>
      <c r="FG20" s="5">
        <f t="shared" si="104"/>
        <v>124.75438390000001</v>
      </c>
      <c r="FJ20" s="5">
        <f t="shared" si="105"/>
        <v>88.41105</v>
      </c>
      <c r="FK20" s="5">
        <f t="shared" si="106"/>
        <v>88.41105</v>
      </c>
      <c r="FL20" s="38">
        <f t="shared" si="107"/>
        <v>69.7399092</v>
      </c>
      <c r="FM20" s="5">
        <f t="shared" si="108"/>
        <v>1.2786618</v>
      </c>
      <c r="FO20" s="5"/>
      <c r="FP20" s="5">
        <f t="shared" si="109"/>
        <v>4178.25555</v>
      </c>
      <c r="FQ20" s="5">
        <f t="shared" si="110"/>
        <v>4178.25555</v>
      </c>
      <c r="FR20" s="38">
        <f t="shared" si="111"/>
        <v>3295.8681372</v>
      </c>
      <c r="FS20" s="5">
        <f t="shared" si="112"/>
        <v>60.428823799999996</v>
      </c>
      <c r="FU20" s="5"/>
      <c r="FV20" s="5">
        <f t="shared" si="113"/>
        <v>294.83685</v>
      </c>
      <c r="FW20" s="5">
        <f t="shared" si="114"/>
        <v>294.83685</v>
      </c>
      <c r="FX20" s="38">
        <f t="shared" si="115"/>
        <v>232.5715524</v>
      </c>
      <c r="FY20" s="5">
        <f t="shared" si="116"/>
        <v>4.2641346</v>
      </c>
    </row>
    <row r="21" spans="1:181" ht="12.75">
      <c r="A21" s="40">
        <v>46478</v>
      </c>
      <c r="C21" s="76">
        <f>'2019C'!B21</f>
        <v>6200000</v>
      </c>
      <c r="D21" s="76">
        <f>'2019C'!C21</f>
        <v>666750</v>
      </c>
      <c r="E21" s="37">
        <f t="shared" si="0"/>
        <v>6866750</v>
      </c>
      <c r="F21" s="76">
        <f>'2019C'!E21</f>
        <v>525942</v>
      </c>
      <c r="G21" s="76">
        <f>'2019C'!F21</f>
        <v>9643</v>
      </c>
      <c r="I21" s="50">
        <f t="shared" si="117"/>
        <v>888539.9800000002</v>
      </c>
      <c r="J21" s="38">
        <f t="shared" si="1"/>
        <v>95553.87607499998</v>
      </c>
      <c r="K21" s="38">
        <f t="shared" si="2"/>
        <v>984093.8560750003</v>
      </c>
      <c r="L21" s="38">
        <f t="shared" si="3"/>
        <v>75374.27325180001</v>
      </c>
      <c r="M21" s="38">
        <f t="shared" si="4"/>
        <v>1381.9662947000002</v>
      </c>
      <c r="N21"/>
      <c r="O21" s="5">
        <f t="shared" si="118"/>
        <v>205319.82</v>
      </c>
      <c r="P21" s="5">
        <f t="shared" si="5"/>
        <v>22080.159675000003</v>
      </c>
      <c r="Q21" s="5">
        <f t="shared" si="6"/>
        <v>227399.979675</v>
      </c>
      <c r="R21" s="38">
        <f t="shared" si="7"/>
        <v>17417.1478662</v>
      </c>
      <c r="S21" s="5">
        <f t="shared" si="8"/>
        <v>319.3385523</v>
      </c>
      <c r="T21"/>
      <c r="U21" s="5">
        <f t="shared" si="119"/>
        <v>21816.559999999998</v>
      </c>
      <c r="V21" s="38">
        <f t="shared" si="9"/>
        <v>2346.1599</v>
      </c>
      <c r="W21" s="38">
        <f t="shared" si="10"/>
        <v>24162.719899999996</v>
      </c>
      <c r="X21" s="38">
        <f t="shared" si="11"/>
        <v>1850.6847096</v>
      </c>
      <c r="Y21" s="5">
        <f t="shared" si="12"/>
        <v>33.9317884</v>
      </c>
      <c r="Z21"/>
      <c r="AA21" s="5">
        <f t="shared" si="120"/>
        <v>7472.24</v>
      </c>
      <c r="AB21" s="5">
        <f t="shared" si="13"/>
        <v>803.5671</v>
      </c>
      <c r="AC21" s="5">
        <f t="shared" si="14"/>
        <v>8275.8071</v>
      </c>
      <c r="AD21" s="38">
        <f t="shared" si="15"/>
        <v>633.8652984</v>
      </c>
      <c r="AE21" s="5">
        <f t="shared" si="16"/>
        <v>11.6217436</v>
      </c>
      <c r="AF21"/>
      <c r="AG21" s="5">
        <f t="shared" si="121"/>
        <v>4292.2786</v>
      </c>
      <c r="AH21" s="5">
        <f t="shared" si="17"/>
        <v>461.59302525</v>
      </c>
      <c r="AI21" s="5">
        <f t="shared" si="18"/>
        <v>4753.87162525</v>
      </c>
      <c r="AJ21" s="38">
        <f t="shared" si="19"/>
        <v>364.11122442600004</v>
      </c>
      <c r="AK21" s="5">
        <f t="shared" si="20"/>
        <v>6.675877829</v>
      </c>
      <c r="AL21"/>
      <c r="AM21" s="5">
        <f t="shared" si="122"/>
        <v>33105.52</v>
      </c>
      <c r="AN21" s="5">
        <f t="shared" si="21"/>
        <v>3560.1783</v>
      </c>
      <c r="AO21" s="5">
        <f t="shared" si="22"/>
        <v>36665.6983</v>
      </c>
      <c r="AP21" s="38">
        <f t="shared" si="23"/>
        <v>2808.3199031999998</v>
      </c>
      <c r="AQ21" s="5">
        <f t="shared" si="24"/>
        <v>51.4897628</v>
      </c>
      <c r="AR21"/>
      <c r="AS21" s="5">
        <f t="shared" si="123"/>
        <v>202199.98</v>
      </c>
      <c r="AT21" s="5">
        <f t="shared" si="25"/>
        <v>21744.651075</v>
      </c>
      <c r="AU21" s="5">
        <f t="shared" si="26"/>
        <v>223944.631075</v>
      </c>
      <c r="AV21" s="38">
        <f t="shared" si="27"/>
        <v>17152.4938518</v>
      </c>
      <c r="AW21" s="5">
        <f t="shared" si="28"/>
        <v>314.4861947</v>
      </c>
      <c r="AX21"/>
      <c r="AY21" s="5">
        <f t="shared" si="124"/>
        <v>9649.68</v>
      </c>
      <c r="AZ21" s="5">
        <f t="shared" si="29"/>
        <v>1037.7297</v>
      </c>
      <c r="BA21" s="5">
        <f t="shared" si="30"/>
        <v>10687.4097</v>
      </c>
      <c r="BB21" s="38">
        <f t="shared" si="31"/>
        <v>818.5761288000001</v>
      </c>
      <c r="BC21" s="5">
        <f t="shared" si="32"/>
        <v>15.008365200000002</v>
      </c>
      <c r="BD21"/>
      <c r="BE21" s="5">
        <f>C21*$BG$6</f>
        <v>15664.92</v>
      </c>
      <c r="BF21" s="5">
        <f t="shared" si="33"/>
        <v>1684.6105499999999</v>
      </c>
      <c r="BG21" s="5">
        <f t="shared" si="34"/>
        <v>17349.53055</v>
      </c>
      <c r="BH21" s="38">
        <f t="shared" si="35"/>
        <v>1328.8450572</v>
      </c>
      <c r="BI21" s="5">
        <f t="shared" si="36"/>
        <v>24.3640038</v>
      </c>
      <c r="BJ21"/>
      <c r="BK21" s="38">
        <f t="shared" si="125"/>
        <v>38538.58</v>
      </c>
      <c r="BL21" s="5">
        <f t="shared" si="37"/>
        <v>4144.451325</v>
      </c>
      <c r="BM21" s="38">
        <f t="shared" si="38"/>
        <v>42683.031325</v>
      </c>
      <c r="BN21" s="38">
        <f t="shared" si="39"/>
        <v>3269.2028778</v>
      </c>
      <c r="BO21" s="5">
        <f t="shared" si="40"/>
        <v>59.9399237</v>
      </c>
      <c r="BP21"/>
      <c r="BQ21" s="5">
        <f t="shared" si="126"/>
        <v>1851.32</v>
      </c>
      <c r="BR21" s="5">
        <f t="shared" si="41"/>
        <v>199.09154999999998</v>
      </c>
      <c r="BS21" s="5">
        <f t="shared" si="42"/>
        <v>2050.41155</v>
      </c>
      <c r="BT21" s="38">
        <f t="shared" si="43"/>
        <v>157.0462812</v>
      </c>
      <c r="BU21" s="5">
        <f t="shared" si="44"/>
        <v>2.8793998</v>
      </c>
      <c r="BV21"/>
      <c r="BW21" s="5">
        <f t="shared" si="127"/>
        <v>19766.22</v>
      </c>
      <c r="BX21" s="5">
        <f t="shared" si="45"/>
        <v>2125.665675</v>
      </c>
      <c r="BY21" s="5">
        <f t="shared" si="46"/>
        <v>21891.885675</v>
      </c>
      <c r="BZ21" s="38">
        <f t="shared" si="47"/>
        <v>1676.7556902000001</v>
      </c>
      <c r="CA21" s="5">
        <f t="shared" si="48"/>
        <v>30.742848300000002</v>
      </c>
      <c r="CB21"/>
      <c r="CC21" s="5">
        <f t="shared" si="128"/>
        <v>879.1414000000002</v>
      </c>
      <c r="CD21" s="5">
        <f t="shared" si="49"/>
        <v>94.54314975000003</v>
      </c>
      <c r="CE21" s="5">
        <f t="shared" si="50"/>
        <v>973.6845497500002</v>
      </c>
      <c r="CF21" s="38">
        <f t="shared" si="51"/>
        <v>74.57699777400002</v>
      </c>
      <c r="CG21" s="5">
        <f t="shared" si="52"/>
        <v>1.3673484710000003</v>
      </c>
      <c r="CH21"/>
      <c r="CI21" s="5">
        <f t="shared" si="129"/>
        <v>589.62</v>
      </c>
      <c r="CJ21" s="5">
        <f t="shared" si="53"/>
        <v>63.407925</v>
      </c>
      <c r="CK21" s="5">
        <f t="shared" si="54"/>
        <v>653.027925</v>
      </c>
      <c r="CL21" s="38">
        <f t="shared" si="55"/>
        <v>50.0170842</v>
      </c>
      <c r="CM21" s="5">
        <f t="shared" si="56"/>
        <v>0.9170493</v>
      </c>
      <c r="CN21"/>
      <c r="CO21" s="5">
        <f t="shared" si="130"/>
        <v>985.1800000000001</v>
      </c>
      <c r="CP21" s="5">
        <f t="shared" si="57"/>
        <v>105.94657500000001</v>
      </c>
      <c r="CQ21" s="5">
        <f t="shared" si="58"/>
        <v>1091.126575</v>
      </c>
      <c r="CR21" s="38">
        <f t="shared" si="59"/>
        <v>83.5721838</v>
      </c>
      <c r="CS21" s="5">
        <f t="shared" si="60"/>
        <v>1.5322727</v>
      </c>
      <c r="CT21"/>
      <c r="CU21" s="5">
        <f t="shared" si="131"/>
        <v>18795.3</v>
      </c>
      <c r="CV21" s="5">
        <f t="shared" si="61"/>
        <v>2021.2526249999999</v>
      </c>
      <c r="CW21" s="5">
        <f t="shared" si="62"/>
        <v>20816.552625</v>
      </c>
      <c r="CX21" s="38">
        <f t="shared" si="63"/>
        <v>1594.393173</v>
      </c>
      <c r="CY21" s="5">
        <f t="shared" si="64"/>
        <v>29.2327545</v>
      </c>
      <c r="CZ21"/>
      <c r="DA21" s="5">
        <f t="shared" si="132"/>
        <v>15170.78</v>
      </c>
      <c r="DB21" s="5">
        <f t="shared" si="65"/>
        <v>1631.470575</v>
      </c>
      <c r="DC21" s="38">
        <f t="shared" si="66"/>
        <v>16802.250575000002</v>
      </c>
      <c r="DD21" s="38">
        <f t="shared" si="67"/>
        <v>1286.9274798000001</v>
      </c>
      <c r="DE21" s="5">
        <f t="shared" si="68"/>
        <v>23.5954567</v>
      </c>
      <c r="DG21" s="5">
        <f t="shared" si="133"/>
        <v>2750.94</v>
      </c>
      <c r="DH21" s="5">
        <f t="shared" si="69"/>
        <v>295.836975</v>
      </c>
      <c r="DI21" s="5">
        <f t="shared" si="70"/>
        <v>3046.776975</v>
      </c>
      <c r="DJ21" s="38">
        <f t="shared" si="71"/>
        <v>233.3604654</v>
      </c>
      <c r="DK21" s="5">
        <f t="shared" si="72"/>
        <v>4.2785991</v>
      </c>
      <c r="DM21" s="5">
        <f t="shared" si="134"/>
        <v>1106.7</v>
      </c>
      <c r="DN21" s="5">
        <f t="shared" si="73"/>
        <v>119.014875</v>
      </c>
      <c r="DO21" s="5">
        <f t="shared" si="74"/>
        <v>1225.7148750000001</v>
      </c>
      <c r="DP21" s="38">
        <f t="shared" si="75"/>
        <v>93.880647</v>
      </c>
      <c r="DQ21" s="5">
        <f t="shared" si="76"/>
        <v>1.7212755</v>
      </c>
      <c r="DS21" s="5">
        <f t="shared" si="135"/>
        <v>8902.58</v>
      </c>
      <c r="DT21" s="5">
        <f t="shared" si="77"/>
        <v>957.3863249999999</v>
      </c>
      <c r="DU21" s="5">
        <f t="shared" si="78"/>
        <v>9859.966325</v>
      </c>
      <c r="DV21" s="38">
        <f t="shared" si="79"/>
        <v>755.2001177999999</v>
      </c>
      <c r="DW21" s="5">
        <f t="shared" si="80"/>
        <v>13.846383699999999</v>
      </c>
      <c r="DY21" s="5">
        <f t="shared" si="136"/>
        <v>113017.32</v>
      </c>
      <c r="DZ21" s="5">
        <f t="shared" si="81"/>
        <v>12153.91905</v>
      </c>
      <c r="EA21" s="38">
        <f t="shared" si="82"/>
        <v>125171.23905</v>
      </c>
      <c r="EB21" s="38">
        <f t="shared" si="83"/>
        <v>9587.1863412</v>
      </c>
      <c r="EC21" s="5">
        <f t="shared" si="84"/>
        <v>175.7783898</v>
      </c>
      <c r="EE21" s="5">
        <f t="shared" si="137"/>
        <v>9468.64</v>
      </c>
      <c r="EF21" s="38">
        <f t="shared" si="85"/>
        <v>1018.2606000000001</v>
      </c>
      <c r="EG21" s="38">
        <f t="shared" si="86"/>
        <v>10486.900599999999</v>
      </c>
      <c r="EH21" s="38">
        <f t="shared" si="87"/>
        <v>803.2186224000001</v>
      </c>
      <c r="EI21" s="5">
        <f t="shared" si="88"/>
        <v>14.7267896</v>
      </c>
      <c r="EK21" s="5">
        <f t="shared" si="138"/>
        <v>3714.42</v>
      </c>
      <c r="EL21" s="38">
        <f t="shared" si="89"/>
        <v>399.449925</v>
      </c>
      <c r="EM21" s="38">
        <f t="shared" si="90"/>
        <v>4113.869925</v>
      </c>
      <c r="EN21" s="38">
        <f t="shared" si="91"/>
        <v>315.0918522</v>
      </c>
      <c r="EO21" s="5">
        <f t="shared" si="92"/>
        <v>5.7771213</v>
      </c>
      <c r="EQ21" s="5">
        <f t="shared" si="139"/>
        <v>3046.6800000000003</v>
      </c>
      <c r="ER21" s="5">
        <f t="shared" si="93"/>
        <v>327.64095000000003</v>
      </c>
      <c r="ES21" s="5">
        <f t="shared" si="94"/>
        <v>3374.3209500000003</v>
      </c>
      <c r="ET21" s="38">
        <f t="shared" si="95"/>
        <v>258.4478988</v>
      </c>
      <c r="EU21" s="5">
        <f t="shared" si="96"/>
        <v>4.7385702</v>
      </c>
      <c r="EW21" s="38">
        <f t="shared" si="140"/>
        <v>27807.62</v>
      </c>
      <c r="EX21" s="38">
        <f t="shared" si="97"/>
        <v>2990.440425</v>
      </c>
      <c r="EY21" s="5">
        <f t="shared" si="98"/>
        <v>30798.060425</v>
      </c>
      <c r="EZ21" s="38">
        <f t="shared" si="99"/>
        <v>2358.9024642</v>
      </c>
      <c r="FA21" s="5">
        <f t="shared" si="100"/>
        <v>43.2498193</v>
      </c>
      <c r="FC21" s="38">
        <f t="shared" si="141"/>
        <v>80211.26000000001</v>
      </c>
      <c r="FD21" s="38">
        <f t="shared" si="101"/>
        <v>8625.944775</v>
      </c>
      <c r="FE21" s="5">
        <f t="shared" si="102"/>
        <v>88837.204775</v>
      </c>
      <c r="FF21" s="38">
        <f t="shared" si="103"/>
        <v>6804.2694366000005</v>
      </c>
      <c r="FG21" s="5">
        <f t="shared" si="104"/>
        <v>124.75438390000001</v>
      </c>
      <c r="FI21" s="5">
        <f t="shared" si="142"/>
        <v>822.12</v>
      </c>
      <c r="FJ21" s="5">
        <f t="shared" si="105"/>
        <v>88.41105</v>
      </c>
      <c r="FK21" s="5">
        <f t="shared" si="106"/>
        <v>910.53105</v>
      </c>
      <c r="FL21" s="38">
        <f t="shared" si="107"/>
        <v>69.7399092</v>
      </c>
      <c r="FM21" s="5">
        <f t="shared" si="108"/>
        <v>1.2786618</v>
      </c>
      <c r="FO21" s="5">
        <f t="shared" si="143"/>
        <v>38852.92</v>
      </c>
      <c r="FP21" s="5">
        <f t="shared" si="109"/>
        <v>4178.25555</v>
      </c>
      <c r="FQ21" s="5">
        <f t="shared" si="110"/>
        <v>43031.17555</v>
      </c>
      <c r="FR21" s="38">
        <f t="shared" si="111"/>
        <v>3295.8681372</v>
      </c>
      <c r="FS21" s="5">
        <f t="shared" si="112"/>
        <v>60.428823799999996</v>
      </c>
      <c r="FU21" s="5">
        <f t="shared" si="144"/>
        <v>2741.64</v>
      </c>
      <c r="FV21" s="5">
        <f t="shared" si="113"/>
        <v>294.83685</v>
      </c>
      <c r="FW21" s="5">
        <f t="shared" si="114"/>
        <v>3036.47685</v>
      </c>
      <c r="FX21" s="38">
        <f t="shared" si="115"/>
        <v>232.5715524</v>
      </c>
      <c r="FY21" s="5">
        <f t="shared" si="116"/>
        <v>4.2641346</v>
      </c>
    </row>
    <row r="22" spans="1:181" ht="12.75">
      <c r="A22" s="40">
        <v>46661</v>
      </c>
      <c r="C22" s="76">
        <f>'2019C'!B22</f>
        <v>0</v>
      </c>
      <c r="D22" s="76">
        <f>'2019C'!C22</f>
        <v>511750</v>
      </c>
      <c r="E22" s="37">
        <f t="shared" si="0"/>
        <v>511750</v>
      </c>
      <c r="F22" s="76">
        <f>'2019C'!E22</f>
        <v>525942</v>
      </c>
      <c r="G22" s="76">
        <f>'2019C'!F22</f>
        <v>9643</v>
      </c>
      <c r="I22" s="50"/>
      <c r="J22" s="38">
        <f t="shared" si="1"/>
        <v>73340.37657499997</v>
      </c>
      <c r="K22" s="38">
        <f t="shared" si="2"/>
        <v>73340.37657499997</v>
      </c>
      <c r="L22" s="38">
        <f t="shared" si="3"/>
        <v>75374.27325180001</v>
      </c>
      <c r="M22" s="38">
        <f t="shared" si="4"/>
        <v>1381.9662947000002</v>
      </c>
      <c r="N22"/>
      <c r="P22" s="5">
        <f t="shared" si="5"/>
        <v>16947.164175</v>
      </c>
      <c r="Q22" s="5">
        <f t="shared" si="6"/>
        <v>16947.164175</v>
      </c>
      <c r="R22" s="38">
        <f t="shared" si="7"/>
        <v>17417.1478662</v>
      </c>
      <c r="S22" s="5">
        <f t="shared" si="8"/>
        <v>319.3385523</v>
      </c>
      <c r="T22"/>
      <c r="V22" s="38">
        <f t="shared" si="9"/>
        <v>1800.7459</v>
      </c>
      <c r="W22" s="38">
        <f t="shared" si="10"/>
        <v>1800.7459</v>
      </c>
      <c r="X22" s="38">
        <f t="shared" si="11"/>
        <v>1850.6847096</v>
      </c>
      <c r="Y22" s="5">
        <f t="shared" si="12"/>
        <v>33.9317884</v>
      </c>
      <c r="Z22"/>
      <c r="AB22" s="5">
        <f t="shared" si="13"/>
        <v>616.7611</v>
      </c>
      <c r="AC22" s="5">
        <f t="shared" si="14"/>
        <v>616.7611</v>
      </c>
      <c r="AD22" s="38">
        <f t="shared" si="15"/>
        <v>633.8652984</v>
      </c>
      <c r="AE22" s="5">
        <f t="shared" si="16"/>
        <v>11.6217436</v>
      </c>
      <c r="AF22"/>
      <c r="AH22" s="5">
        <f t="shared" si="17"/>
        <v>354.28606025</v>
      </c>
      <c r="AI22" s="5">
        <f t="shared" si="18"/>
        <v>354.28606025</v>
      </c>
      <c r="AJ22" s="38">
        <f t="shared" si="19"/>
        <v>364.11122442600004</v>
      </c>
      <c r="AK22" s="5">
        <f t="shared" si="20"/>
        <v>6.675877829</v>
      </c>
      <c r="AL22"/>
      <c r="AN22" s="5">
        <f t="shared" si="21"/>
        <v>2732.5403</v>
      </c>
      <c r="AO22" s="5">
        <f t="shared" si="22"/>
        <v>2732.5403</v>
      </c>
      <c r="AP22" s="38">
        <f t="shared" si="23"/>
        <v>2808.3199031999998</v>
      </c>
      <c r="AQ22" s="5">
        <f t="shared" si="24"/>
        <v>51.4897628</v>
      </c>
      <c r="AR22"/>
      <c r="AT22" s="5">
        <f t="shared" si="25"/>
        <v>16689.651575</v>
      </c>
      <c r="AU22" s="5">
        <f t="shared" si="26"/>
        <v>16689.651575</v>
      </c>
      <c r="AV22" s="38">
        <f t="shared" si="27"/>
        <v>17152.4938518</v>
      </c>
      <c r="AW22" s="5">
        <f t="shared" si="28"/>
        <v>314.4861947</v>
      </c>
      <c r="AX22"/>
      <c r="AZ22" s="5">
        <f t="shared" si="29"/>
        <v>796.4877</v>
      </c>
      <c r="BA22" s="5">
        <f t="shared" si="30"/>
        <v>796.4877</v>
      </c>
      <c r="BB22" s="38">
        <f t="shared" si="31"/>
        <v>818.5761288000001</v>
      </c>
      <c r="BC22" s="5">
        <f t="shared" si="32"/>
        <v>15.008365200000002</v>
      </c>
      <c r="BD22"/>
      <c r="BF22" s="5">
        <f t="shared" si="33"/>
        <v>1292.98755</v>
      </c>
      <c r="BG22" s="5">
        <f t="shared" si="34"/>
        <v>1292.98755</v>
      </c>
      <c r="BH22" s="38">
        <f t="shared" si="35"/>
        <v>1328.8450572</v>
      </c>
      <c r="BI22" s="5">
        <f t="shared" si="36"/>
        <v>24.3640038</v>
      </c>
      <c r="BJ22"/>
      <c r="BK22" s="38"/>
      <c r="BL22" s="5">
        <f t="shared" si="37"/>
        <v>3180.986825</v>
      </c>
      <c r="BM22" s="38">
        <f t="shared" si="38"/>
        <v>3180.986825</v>
      </c>
      <c r="BN22" s="38">
        <f t="shared" si="39"/>
        <v>3269.2028778</v>
      </c>
      <c r="BO22" s="5">
        <f t="shared" si="40"/>
        <v>59.9399237</v>
      </c>
      <c r="BP22"/>
      <c r="BR22" s="5">
        <f t="shared" si="41"/>
        <v>152.80855</v>
      </c>
      <c r="BS22" s="5">
        <f t="shared" si="42"/>
        <v>152.80855</v>
      </c>
      <c r="BT22" s="38">
        <f t="shared" si="43"/>
        <v>157.0462812</v>
      </c>
      <c r="BU22" s="5">
        <f t="shared" si="44"/>
        <v>2.8793998</v>
      </c>
      <c r="BV22"/>
      <c r="BX22" s="5">
        <f t="shared" si="45"/>
        <v>1631.5101750000001</v>
      </c>
      <c r="BY22" s="5">
        <f t="shared" si="46"/>
        <v>1631.5101750000001</v>
      </c>
      <c r="BZ22" s="38">
        <f t="shared" si="47"/>
        <v>1676.7556902000001</v>
      </c>
      <c r="CA22" s="5">
        <f t="shared" si="48"/>
        <v>30.742848300000002</v>
      </c>
      <c r="CB22"/>
      <c r="CD22" s="5">
        <f t="shared" si="49"/>
        <v>72.56461475000002</v>
      </c>
      <c r="CE22" s="5">
        <f t="shared" si="50"/>
        <v>72.56461475000002</v>
      </c>
      <c r="CF22" s="38">
        <f t="shared" si="51"/>
        <v>74.57699777400002</v>
      </c>
      <c r="CG22" s="5">
        <f t="shared" si="52"/>
        <v>1.3673484710000003</v>
      </c>
      <c r="CH22"/>
      <c r="CJ22" s="5">
        <f t="shared" si="53"/>
        <v>48.667424999999994</v>
      </c>
      <c r="CK22" s="5">
        <f t="shared" si="54"/>
        <v>48.667424999999994</v>
      </c>
      <c r="CL22" s="38">
        <f t="shared" si="55"/>
        <v>50.0170842</v>
      </c>
      <c r="CM22" s="5">
        <f t="shared" si="56"/>
        <v>0.9170493</v>
      </c>
      <c r="CN22"/>
      <c r="CP22" s="5">
        <f t="shared" si="57"/>
        <v>81.317075</v>
      </c>
      <c r="CQ22" s="5">
        <f t="shared" si="58"/>
        <v>81.317075</v>
      </c>
      <c r="CR22" s="38">
        <f t="shared" si="59"/>
        <v>83.5721838</v>
      </c>
      <c r="CS22" s="5">
        <f t="shared" si="60"/>
        <v>1.5322727</v>
      </c>
      <c r="CT22"/>
      <c r="CV22" s="5">
        <f t="shared" si="61"/>
        <v>1551.370125</v>
      </c>
      <c r="CW22" s="5">
        <f t="shared" si="62"/>
        <v>1551.370125</v>
      </c>
      <c r="CX22" s="38">
        <f t="shared" si="63"/>
        <v>1594.393173</v>
      </c>
      <c r="CY22" s="5">
        <f t="shared" si="64"/>
        <v>29.2327545</v>
      </c>
      <c r="CZ22"/>
      <c r="DB22" s="5">
        <f t="shared" si="65"/>
        <v>1252.201075</v>
      </c>
      <c r="DC22" s="38">
        <f t="shared" si="66"/>
        <v>1252.201075</v>
      </c>
      <c r="DD22" s="38">
        <f t="shared" si="67"/>
        <v>1286.9274798000001</v>
      </c>
      <c r="DE22" s="5">
        <f t="shared" si="68"/>
        <v>23.5954567</v>
      </c>
      <c r="DH22" s="5">
        <f t="shared" si="69"/>
        <v>227.063475</v>
      </c>
      <c r="DI22" s="5">
        <f t="shared" si="70"/>
        <v>227.063475</v>
      </c>
      <c r="DJ22" s="38">
        <f t="shared" si="71"/>
        <v>233.3604654</v>
      </c>
      <c r="DK22" s="5">
        <f t="shared" si="72"/>
        <v>4.2785991</v>
      </c>
      <c r="DN22" s="5">
        <f t="shared" si="73"/>
        <v>91.347375</v>
      </c>
      <c r="DO22" s="5">
        <f t="shared" si="74"/>
        <v>91.347375</v>
      </c>
      <c r="DP22" s="38">
        <f t="shared" si="75"/>
        <v>93.880647</v>
      </c>
      <c r="DQ22" s="5">
        <f t="shared" si="76"/>
        <v>1.7212755</v>
      </c>
      <c r="DT22" s="5">
        <f t="shared" si="77"/>
        <v>734.821825</v>
      </c>
      <c r="DU22" s="5">
        <f t="shared" si="78"/>
        <v>734.821825</v>
      </c>
      <c r="DV22" s="38">
        <f t="shared" si="79"/>
        <v>755.2001177999999</v>
      </c>
      <c r="DW22" s="5">
        <f t="shared" si="80"/>
        <v>13.846383699999999</v>
      </c>
      <c r="DZ22" s="5">
        <f t="shared" si="81"/>
        <v>9328.486050000001</v>
      </c>
      <c r="EA22" s="38">
        <f t="shared" si="82"/>
        <v>9328.486050000001</v>
      </c>
      <c r="EB22" s="38">
        <f t="shared" si="83"/>
        <v>9587.1863412</v>
      </c>
      <c r="EC22" s="5">
        <f t="shared" si="84"/>
        <v>175.7783898</v>
      </c>
      <c r="EF22" s="38">
        <f t="shared" si="85"/>
        <v>781.5446000000001</v>
      </c>
      <c r="EG22" s="38">
        <f t="shared" si="86"/>
        <v>781.5446000000001</v>
      </c>
      <c r="EH22" s="38">
        <f t="shared" si="87"/>
        <v>803.2186224000001</v>
      </c>
      <c r="EI22" s="5">
        <f t="shared" si="88"/>
        <v>14.7267896</v>
      </c>
      <c r="EL22" s="38">
        <f t="shared" si="89"/>
        <v>306.589425</v>
      </c>
      <c r="EM22" s="38">
        <f t="shared" si="90"/>
        <v>306.589425</v>
      </c>
      <c r="EN22" s="38">
        <f t="shared" si="91"/>
        <v>315.0918522</v>
      </c>
      <c r="EO22" s="5">
        <f t="shared" si="92"/>
        <v>5.7771213</v>
      </c>
      <c r="ER22" s="5">
        <f t="shared" si="93"/>
        <v>251.47395</v>
      </c>
      <c r="ES22" s="5">
        <f t="shared" si="94"/>
        <v>251.47395</v>
      </c>
      <c r="ET22" s="38">
        <f t="shared" si="95"/>
        <v>258.4478988</v>
      </c>
      <c r="EU22" s="5">
        <f t="shared" si="96"/>
        <v>4.7385702</v>
      </c>
      <c r="EW22" s="38"/>
      <c r="EX22" s="38">
        <f t="shared" si="97"/>
        <v>2295.2499249999996</v>
      </c>
      <c r="EY22" s="5">
        <f t="shared" si="98"/>
        <v>2295.2499249999996</v>
      </c>
      <c r="EZ22" s="38">
        <f t="shared" si="99"/>
        <v>2358.9024642</v>
      </c>
      <c r="FA22" s="5">
        <f t="shared" si="100"/>
        <v>43.2498193</v>
      </c>
      <c r="FC22" s="38"/>
      <c r="FD22" s="38">
        <f t="shared" si="101"/>
        <v>6620.663275</v>
      </c>
      <c r="FE22" s="5">
        <f t="shared" si="102"/>
        <v>6620.663275</v>
      </c>
      <c r="FF22" s="38">
        <f t="shared" si="103"/>
        <v>6804.2694366000005</v>
      </c>
      <c r="FG22" s="5">
        <f t="shared" si="104"/>
        <v>124.75438390000001</v>
      </c>
      <c r="FJ22" s="5">
        <f t="shared" si="105"/>
        <v>67.85805</v>
      </c>
      <c r="FK22" s="5">
        <f t="shared" si="106"/>
        <v>67.85805</v>
      </c>
      <c r="FL22" s="38">
        <f t="shared" si="107"/>
        <v>69.7399092</v>
      </c>
      <c r="FM22" s="5">
        <f t="shared" si="108"/>
        <v>1.2786618</v>
      </c>
      <c r="FO22" s="5"/>
      <c r="FP22" s="5">
        <f t="shared" si="109"/>
        <v>3206.93255</v>
      </c>
      <c r="FQ22" s="5">
        <f t="shared" si="110"/>
        <v>3206.93255</v>
      </c>
      <c r="FR22" s="38">
        <f t="shared" si="111"/>
        <v>3295.8681372</v>
      </c>
      <c r="FS22" s="5">
        <f t="shared" si="112"/>
        <v>60.428823799999996</v>
      </c>
      <c r="FU22" s="5"/>
      <c r="FV22" s="5">
        <f t="shared" si="113"/>
        <v>226.29585</v>
      </c>
      <c r="FW22" s="5">
        <f t="shared" si="114"/>
        <v>226.29585</v>
      </c>
      <c r="FX22" s="38">
        <f t="shared" si="115"/>
        <v>232.5715524</v>
      </c>
      <c r="FY22" s="5">
        <f t="shared" si="116"/>
        <v>4.2641346</v>
      </c>
    </row>
    <row r="23" spans="1:181" ht="12.75">
      <c r="A23" s="40">
        <v>46844</v>
      </c>
      <c r="C23" s="76">
        <f>'2019C'!B23</f>
        <v>6500000</v>
      </c>
      <c r="D23" s="76">
        <f>'2019C'!C23</f>
        <v>511750</v>
      </c>
      <c r="E23" s="37">
        <f t="shared" si="0"/>
        <v>7011750</v>
      </c>
      <c r="F23" s="76">
        <f>'2019C'!E23</f>
        <v>525942</v>
      </c>
      <c r="G23" s="76">
        <f>'2019C'!F23</f>
        <v>9643</v>
      </c>
      <c r="I23" s="50">
        <f t="shared" si="117"/>
        <v>931533.8500000002</v>
      </c>
      <c r="J23" s="38">
        <f t="shared" si="1"/>
        <v>73340.37657499997</v>
      </c>
      <c r="K23" s="38">
        <f t="shared" si="2"/>
        <v>1004874.2265750002</v>
      </c>
      <c r="L23" s="38">
        <f t="shared" si="3"/>
        <v>75374.27325180001</v>
      </c>
      <c r="M23" s="38">
        <f t="shared" si="4"/>
        <v>1381.9662947000002</v>
      </c>
      <c r="N23"/>
      <c r="O23" s="5">
        <f t="shared" si="118"/>
        <v>215254.65000000002</v>
      </c>
      <c r="P23" s="5">
        <f t="shared" si="5"/>
        <v>16947.164175</v>
      </c>
      <c r="Q23" s="5">
        <f t="shared" si="6"/>
        <v>232201.81417500004</v>
      </c>
      <c r="R23" s="38">
        <f t="shared" si="7"/>
        <v>17417.1478662</v>
      </c>
      <c r="S23" s="5">
        <f t="shared" si="8"/>
        <v>319.3385523</v>
      </c>
      <c r="T23"/>
      <c r="U23" s="5">
        <f t="shared" si="119"/>
        <v>22872.2</v>
      </c>
      <c r="V23" s="38">
        <f t="shared" si="9"/>
        <v>1800.7459</v>
      </c>
      <c r="W23" s="38">
        <f t="shared" si="10"/>
        <v>24672.9459</v>
      </c>
      <c r="X23" s="38">
        <f t="shared" si="11"/>
        <v>1850.6847096</v>
      </c>
      <c r="Y23" s="5">
        <f t="shared" si="12"/>
        <v>33.9317884</v>
      </c>
      <c r="Z23"/>
      <c r="AA23" s="5">
        <f t="shared" si="120"/>
        <v>7833.8</v>
      </c>
      <c r="AB23" s="5">
        <f t="shared" si="13"/>
        <v>616.7611</v>
      </c>
      <c r="AC23" s="5">
        <f t="shared" si="14"/>
        <v>8450.5611</v>
      </c>
      <c r="AD23" s="38">
        <f t="shared" si="15"/>
        <v>633.8652984</v>
      </c>
      <c r="AE23" s="5">
        <f t="shared" si="16"/>
        <v>11.6217436</v>
      </c>
      <c r="AF23"/>
      <c r="AG23" s="5">
        <f t="shared" si="121"/>
        <v>4499.9695</v>
      </c>
      <c r="AH23" s="5">
        <f t="shared" si="17"/>
        <v>354.28606025</v>
      </c>
      <c r="AI23" s="5">
        <f t="shared" si="18"/>
        <v>4854.25556025</v>
      </c>
      <c r="AJ23" s="38">
        <f t="shared" si="19"/>
        <v>364.11122442600004</v>
      </c>
      <c r="AK23" s="5">
        <f t="shared" si="20"/>
        <v>6.675877829</v>
      </c>
      <c r="AL23"/>
      <c r="AM23" s="5">
        <f t="shared" si="122"/>
        <v>34707.4</v>
      </c>
      <c r="AN23" s="5">
        <f t="shared" si="21"/>
        <v>2732.5403</v>
      </c>
      <c r="AO23" s="5">
        <f t="shared" si="22"/>
        <v>37439.9403</v>
      </c>
      <c r="AP23" s="38">
        <f t="shared" si="23"/>
        <v>2808.3199031999998</v>
      </c>
      <c r="AQ23" s="5">
        <f t="shared" si="24"/>
        <v>51.4897628</v>
      </c>
      <c r="AR23"/>
      <c r="AS23" s="5">
        <f t="shared" si="123"/>
        <v>211983.85</v>
      </c>
      <c r="AT23" s="5">
        <f t="shared" si="25"/>
        <v>16689.651575</v>
      </c>
      <c r="AU23" s="5">
        <f t="shared" si="26"/>
        <v>228673.501575</v>
      </c>
      <c r="AV23" s="38">
        <f t="shared" si="27"/>
        <v>17152.4938518</v>
      </c>
      <c r="AW23" s="5">
        <f t="shared" si="28"/>
        <v>314.4861947</v>
      </c>
      <c r="AX23"/>
      <c r="AY23" s="5">
        <f t="shared" si="124"/>
        <v>10116.6</v>
      </c>
      <c r="AZ23" s="5">
        <f t="shared" si="29"/>
        <v>796.4877</v>
      </c>
      <c r="BA23" s="5">
        <f t="shared" si="30"/>
        <v>10913.0877</v>
      </c>
      <c r="BB23" s="38">
        <f t="shared" si="31"/>
        <v>818.5761288000001</v>
      </c>
      <c r="BC23" s="5">
        <f t="shared" si="32"/>
        <v>15.008365200000002</v>
      </c>
      <c r="BD23"/>
      <c r="BE23" s="5">
        <f>C23*$BG$6</f>
        <v>16422.899999999998</v>
      </c>
      <c r="BF23" s="5">
        <f t="shared" si="33"/>
        <v>1292.98755</v>
      </c>
      <c r="BG23" s="5">
        <f t="shared" si="34"/>
        <v>17715.88755</v>
      </c>
      <c r="BH23" s="38">
        <f t="shared" si="35"/>
        <v>1328.8450572</v>
      </c>
      <c r="BI23" s="5">
        <f t="shared" si="36"/>
        <v>24.3640038</v>
      </c>
      <c r="BJ23"/>
      <c r="BK23" s="38">
        <f t="shared" si="125"/>
        <v>40403.35</v>
      </c>
      <c r="BL23" s="5">
        <f t="shared" si="37"/>
        <v>3180.986825</v>
      </c>
      <c r="BM23" s="38">
        <f t="shared" si="38"/>
        <v>43584.336825</v>
      </c>
      <c r="BN23" s="38">
        <f t="shared" si="39"/>
        <v>3269.2028778</v>
      </c>
      <c r="BO23" s="5">
        <f t="shared" si="40"/>
        <v>59.9399237</v>
      </c>
      <c r="BP23"/>
      <c r="BQ23" s="5">
        <f t="shared" si="126"/>
        <v>1940.8999999999999</v>
      </c>
      <c r="BR23" s="5">
        <f t="shared" si="41"/>
        <v>152.80855</v>
      </c>
      <c r="BS23" s="5">
        <f t="shared" si="42"/>
        <v>2093.70855</v>
      </c>
      <c r="BT23" s="38">
        <f t="shared" si="43"/>
        <v>157.0462812</v>
      </c>
      <c r="BU23" s="5">
        <f t="shared" si="44"/>
        <v>2.8793998</v>
      </c>
      <c r="BV23"/>
      <c r="BW23" s="5">
        <f t="shared" si="127"/>
        <v>20722.65</v>
      </c>
      <c r="BX23" s="5">
        <f t="shared" si="45"/>
        <v>1631.5101750000001</v>
      </c>
      <c r="BY23" s="5">
        <f t="shared" si="46"/>
        <v>22354.160175</v>
      </c>
      <c r="BZ23" s="38">
        <f t="shared" si="47"/>
        <v>1676.7556902000001</v>
      </c>
      <c r="CA23" s="5">
        <f t="shared" si="48"/>
        <v>30.742848300000002</v>
      </c>
      <c r="CB23"/>
      <c r="CC23" s="5">
        <f t="shared" si="128"/>
        <v>921.6805000000003</v>
      </c>
      <c r="CD23" s="5">
        <f t="shared" si="49"/>
        <v>72.56461475000002</v>
      </c>
      <c r="CE23" s="5">
        <f t="shared" si="50"/>
        <v>994.2451147500003</v>
      </c>
      <c r="CF23" s="38">
        <f t="shared" si="51"/>
        <v>74.57699777400002</v>
      </c>
      <c r="CG23" s="5">
        <f t="shared" si="52"/>
        <v>1.3673484710000003</v>
      </c>
      <c r="CH23"/>
      <c r="CI23" s="5">
        <f t="shared" si="129"/>
        <v>618.15</v>
      </c>
      <c r="CJ23" s="5">
        <f t="shared" si="53"/>
        <v>48.667424999999994</v>
      </c>
      <c r="CK23" s="5">
        <f t="shared" si="54"/>
        <v>666.817425</v>
      </c>
      <c r="CL23" s="38">
        <f t="shared" si="55"/>
        <v>50.0170842</v>
      </c>
      <c r="CM23" s="5">
        <f t="shared" si="56"/>
        <v>0.9170493</v>
      </c>
      <c r="CN23"/>
      <c r="CO23" s="5">
        <f t="shared" si="130"/>
        <v>1032.8500000000001</v>
      </c>
      <c r="CP23" s="5">
        <f t="shared" si="57"/>
        <v>81.317075</v>
      </c>
      <c r="CQ23" s="5">
        <f t="shared" si="58"/>
        <v>1114.167075</v>
      </c>
      <c r="CR23" s="38">
        <f t="shared" si="59"/>
        <v>83.5721838</v>
      </c>
      <c r="CS23" s="5">
        <f t="shared" si="60"/>
        <v>1.5322727</v>
      </c>
      <c r="CT23"/>
      <c r="CU23" s="5">
        <f t="shared" si="131"/>
        <v>19704.75</v>
      </c>
      <c r="CV23" s="5">
        <f t="shared" si="61"/>
        <v>1551.370125</v>
      </c>
      <c r="CW23" s="5">
        <f t="shared" si="62"/>
        <v>21256.120125</v>
      </c>
      <c r="CX23" s="38">
        <f t="shared" si="63"/>
        <v>1594.393173</v>
      </c>
      <c r="CY23" s="5">
        <f t="shared" si="64"/>
        <v>29.2327545</v>
      </c>
      <c r="CZ23"/>
      <c r="DA23" s="5">
        <f t="shared" si="132"/>
        <v>15904.85</v>
      </c>
      <c r="DB23" s="5">
        <f t="shared" si="65"/>
        <v>1252.201075</v>
      </c>
      <c r="DC23" s="38">
        <f t="shared" si="66"/>
        <v>17157.051075</v>
      </c>
      <c r="DD23" s="38">
        <f t="shared" si="67"/>
        <v>1286.9274798000001</v>
      </c>
      <c r="DE23" s="5">
        <f t="shared" si="68"/>
        <v>23.5954567</v>
      </c>
      <c r="DG23" s="5">
        <f t="shared" si="133"/>
        <v>2884.05</v>
      </c>
      <c r="DH23" s="5">
        <f t="shared" si="69"/>
        <v>227.063475</v>
      </c>
      <c r="DI23" s="5">
        <f t="shared" si="70"/>
        <v>3111.113475</v>
      </c>
      <c r="DJ23" s="38">
        <f t="shared" si="71"/>
        <v>233.3604654</v>
      </c>
      <c r="DK23" s="5">
        <f t="shared" si="72"/>
        <v>4.2785991</v>
      </c>
      <c r="DM23" s="5">
        <f t="shared" si="134"/>
        <v>1160.25</v>
      </c>
      <c r="DN23" s="5">
        <f t="shared" si="73"/>
        <v>91.347375</v>
      </c>
      <c r="DO23" s="5">
        <f t="shared" si="74"/>
        <v>1251.597375</v>
      </c>
      <c r="DP23" s="38">
        <f t="shared" si="75"/>
        <v>93.880647</v>
      </c>
      <c r="DQ23" s="5">
        <f t="shared" si="76"/>
        <v>1.7212755</v>
      </c>
      <c r="DS23" s="5">
        <f t="shared" si="135"/>
        <v>9333.35</v>
      </c>
      <c r="DT23" s="5">
        <f t="shared" si="77"/>
        <v>734.821825</v>
      </c>
      <c r="DU23" s="5">
        <f t="shared" si="78"/>
        <v>10068.171825000001</v>
      </c>
      <c r="DV23" s="38">
        <f t="shared" si="79"/>
        <v>755.2001177999999</v>
      </c>
      <c r="DW23" s="5">
        <f t="shared" si="80"/>
        <v>13.846383699999999</v>
      </c>
      <c r="DY23" s="5">
        <f t="shared" si="136"/>
        <v>118485.90000000001</v>
      </c>
      <c r="DZ23" s="5">
        <f t="shared" si="81"/>
        <v>9328.486050000001</v>
      </c>
      <c r="EA23" s="38">
        <f t="shared" si="82"/>
        <v>127814.38605000002</v>
      </c>
      <c r="EB23" s="38">
        <f t="shared" si="83"/>
        <v>9587.1863412</v>
      </c>
      <c r="EC23" s="5">
        <f t="shared" si="84"/>
        <v>175.7783898</v>
      </c>
      <c r="EE23" s="5">
        <f t="shared" si="137"/>
        <v>9926.800000000001</v>
      </c>
      <c r="EF23" s="38">
        <f t="shared" si="85"/>
        <v>781.5446000000001</v>
      </c>
      <c r="EG23" s="38">
        <f t="shared" si="86"/>
        <v>10708.3446</v>
      </c>
      <c r="EH23" s="38">
        <f t="shared" si="87"/>
        <v>803.2186224000001</v>
      </c>
      <c r="EI23" s="5">
        <f t="shared" si="88"/>
        <v>14.7267896</v>
      </c>
      <c r="EK23" s="5">
        <f t="shared" si="138"/>
        <v>3894.15</v>
      </c>
      <c r="EL23" s="38">
        <f t="shared" si="89"/>
        <v>306.589425</v>
      </c>
      <c r="EM23" s="38">
        <f t="shared" si="90"/>
        <v>4200.739425</v>
      </c>
      <c r="EN23" s="38">
        <f t="shared" si="91"/>
        <v>315.0918522</v>
      </c>
      <c r="EO23" s="5">
        <f t="shared" si="92"/>
        <v>5.7771213</v>
      </c>
      <c r="EQ23" s="5">
        <f t="shared" si="139"/>
        <v>3194.1</v>
      </c>
      <c r="ER23" s="5">
        <f t="shared" si="93"/>
        <v>251.47395</v>
      </c>
      <c r="ES23" s="5">
        <f t="shared" si="94"/>
        <v>3445.57395</v>
      </c>
      <c r="ET23" s="38">
        <f t="shared" si="95"/>
        <v>258.4478988</v>
      </c>
      <c r="EU23" s="5">
        <f t="shared" si="96"/>
        <v>4.7385702</v>
      </c>
      <c r="EW23" s="38">
        <f t="shared" si="140"/>
        <v>29153.149999999998</v>
      </c>
      <c r="EX23" s="38">
        <f t="shared" si="97"/>
        <v>2295.2499249999996</v>
      </c>
      <c r="EY23" s="5">
        <f t="shared" si="98"/>
        <v>31448.399924999998</v>
      </c>
      <c r="EZ23" s="38">
        <f t="shared" si="99"/>
        <v>2358.9024642</v>
      </c>
      <c r="FA23" s="5">
        <f t="shared" si="100"/>
        <v>43.2498193</v>
      </c>
      <c r="FC23" s="38">
        <f t="shared" si="141"/>
        <v>84092.45</v>
      </c>
      <c r="FD23" s="38">
        <f t="shared" si="101"/>
        <v>6620.663275</v>
      </c>
      <c r="FE23" s="5">
        <f t="shared" si="102"/>
        <v>90713.113275</v>
      </c>
      <c r="FF23" s="38">
        <f t="shared" si="103"/>
        <v>6804.2694366000005</v>
      </c>
      <c r="FG23" s="5">
        <f t="shared" si="104"/>
        <v>124.75438390000001</v>
      </c>
      <c r="FI23" s="5">
        <f t="shared" si="142"/>
        <v>861.9</v>
      </c>
      <c r="FJ23" s="5">
        <f t="shared" si="105"/>
        <v>67.85805</v>
      </c>
      <c r="FK23" s="5">
        <f t="shared" si="106"/>
        <v>929.75805</v>
      </c>
      <c r="FL23" s="38">
        <f t="shared" si="107"/>
        <v>69.7399092</v>
      </c>
      <c r="FM23" s="5">
        <f t="shared" si="108"/>
        <v>1.2786618</v>
      </c>
      <c r="FO23" s="5">
        <f t="shared" si="143"/>
        <v>40732.9</v>
      </c>
      <c r="FP23" s="5">
        <f t="shared" si="109"/>
        <v>3206.93255</v>
      </c>
      <c r="FQ23" s="5">
        <f t="shared" si="110"/>
        <v>43939.83255</v>
      </c>
      <c r="FR23" s="38">
        <f t="shared" si="111"/>
        <v>3295.8681372</v>
      </c>
      <c r="FS23" s="5">
        <f t="shared" si="112"/>
        <v>60.428823799999996</v>
      </c>
      <c r="FU23" s="5">
        <f t="shared" si="144"/>
        <v>2874.3</v>
      </c>
      <c r="FV23" s="5">
        <f t="shared" si="113"/>
        <v>226.29585</v>
      </c>
      <c r="FW23" s="5">
        <f t="shared" si="114"/>
        <v>3100.59585</v>
      </c>
      <c r="FX23" s="38">
        <f t="shared" si="115"/>
        <v>232.5715524</v>
      </c>
      <c r="FY23" s="5">
        <f t="shared" si="116"/>
        <v>4.2641346</v>
      </c>
    </row>
    <row r="24" spans="1:181" ht="12.75">
      <c r="A24" s="40">
        <v>47027</v>
      </c>
      <c r="C24" s="76">
        <f>'2019C'!B24</f>
        <v>0</v>
      </c>
      <c r="D24" s="76">
        <f>'2019C'!C24</f>
        <v>349250</v>
      </c>
      <c r="E24" s="37">
        <f t="shared" si="0"/>
        <v>349250</v>
      </c>
      <c r="F24" s="76">
        <f>'2019C'!E24</f>
        <v>525942</v>
      </c>
      <c r="G24" s="76">
        <f>'2019C'!F24</f>
        <v>9643</v>
      </c>
      <c r="I24" s="50"/>
      <c r="J24" s="38">
        <f t="shared" si="1"/>
        <v>50052.03032500001</v>
      </c>
      <c r="K24" s="38">
        <f t="shared" si="2"/>
        <v>50052.03032500001</v>
      </c>
      <c r="L24" s="38">
        <f t="shared" si="3"/>
        <v>75374.27325180001</v>
      </c>
      <c r="M24" s="38">
        <f t="shared" si="4"/>
        <v>1381.9662947000002</v>
      </c>
      <c r="N24"/>
      <c r="P24" s="5">
        <f t="shared" si="5"/>
        <v>11565.797925</v>
      </c>
      <c r="Q24" s="5">
        <f t="shared" si="6"/>
        <v>11565.797925</v>
      </c>
      <c r="R24" s="38">
        <f t="shared" si="7"/>
        <v>17417.1478662</v>
      </c>
      <c r="S24" s="5">
        <f t="shared" si="8"/>
        <v>319.3385523</v>
      </c>
      <c r="T24"/>
      <c r="V24" s="38">
        <f t="shared" si="9"/>
        <v>1228.9409</v>
      </c>
      <c r="W24" s="38">
        <f t="shared" si="10"/>
        <v>1228.9409</v>
      </c>
      <c r="X24" s="38">
        <f t="shared" si="11"/>
        <v>1850.6847096</v>
      </c>
      <c r="Y24" s="5">
        <f t="shared" si="12"/>
        <v>33.9317884</v>
      </c>
      <c r="Z24"/>
      <c r="AB24" s="5">
        <f t="shared" si="13"/>
        <v>420.91610000000003</v>
      </c>
      <c r="AC24" s="5">
        <f t="shared" si="14"/>
        <v>420.91610000000003</v>
      </c>
      <c r="AD24" s="38">
        <f t="shared" si="15"/>
        <v>633.8652984</v>
      </c>
      <c r="AE24" s="5">
        <f t="shared" si="16"/>
        <v>11.6217436</v>
      </c>
      <c r="AF24"/>
      <c r="AH24" s="5">
        <f t="shared" si="17"/>
        <v>241.78682275</v>
      </c>
      <c r="AI24" s="5">
        <f t="shared" si="18"/>
        <v>241.78682275</v>
      </c>
      <c r="AJ24" s="38">
        <f t="shared" si="19"/>
        <v>364.11122442600004</v>
      </c>
      <c r="AK24" s="5">
        <f t="shared" si="20"/>
        <v>6.675877829</v>
      </c>
      <c r="AL24"/>
      <c r="AN24" s="5">
        <f t="shared" si="21"/>
        <v>1864.8553</v>
      </c>
      <c r="AO24" s="5">
        <f t="shared" si="22"/>
        <v>1864.8553</v>
      </c>
      <c r="AP24" s="38">
        <f t="shared" si="23"/>
        <v>2808.3199031999998</v>
      </c>
      <c r="AQ24" s="5">
        <f t="shared" si="24"/>
        <v>51.4897628</v>
      </c>
      <c r="AR24"/>
      <c r="AT24" s="5">
        <f t="shared" si="25"/>
        <v>11390.055325</v>
      </c>
      <c r="AU24" s="5">
        <f t="shared" si="26"/>
        <v>11390.055325</v>
      </c>
      <c r="AV24" s="38">
        <f t="shared" si="27"/>
        <v>17152.4938518</v>
      </c>
      <c r="AW24" s="5">
        <f t="shared" si="28"/>
        <v>314.4861947</v>
      </c>
      <c r="AX24"/>
      <c r="AZ24" s="5">
        <f t="shared" si="29"/>
        <v>543.5727</v>
      </c>
      <c r="BA24" s="5">
        <f t="shared" si="30"/>
        <v>543.5727</v>
      </c>
      <c r="BB24" s="38">
        <f t="shared" si="31"/>
        <v>818.5761288000001</v>
      </c>
      <c r="BC24" s="5">
        <f t="shared" si="32"/>
        <v>15.008365200000002</v>
      </c>
      <c r="BD24"/>
      <c r="BF24" s="5">
        <f t="shared" si="33"/>
        <v>882.41505</v>
      </c>
      <c r="BG24" s="5">
        <f t="shared" si="34"/>
        <v>882.41505</v>
      </c>
      <c r="BH24" s="38">
        <f t="shared" si="35"/>
        <v>1328.8450572</v>
      </c>
      <c r="BI24" s="5">
        <f t="shared" si="36"/>
        <v>24.3640038</v>
      </c>
      <c r="BJ24"/>
      <c r="BK24" s="38"/>
      <c r="BL24" s="5">
        <f t="shared" si="37"/>
        <v>2170.903075</v>
      </c>
      <c r="BM24" s="38">
        <f t="shared" si="38"/>
        <v>2170.903075</v>
      </c>
      <c r="BN24" s="38">
        <f t="shared" si="39"/>
        <v>3269.2028778</v>
      </c>
      <c r="BO24" s="5">
        <f t="shared" si="40"/>
        <v>59.9399237</v>
      </c>
      <c r="BP24"/>
      <c r="BR24" s="5">
        <f t="shared" si="41"/>
        <v>104.28605</v>
      </c>
      <c r="BS24" s="5">
        <f t="shared" si="42"/>
        <v>104.28605</v>
      </c>
      <c r="BT24" s="38">
        <f t="shared" si="43"/>
        <v>157.0462812</v>
      </c>
      <c r="BU24" s="5">
        <f t="shared" si="44"/>
        <v>2.8793998</v>
      </c>
      <c r="BV24"/>
      <c r="BX24" s="5">
        <f t="shared" si="45"/>
        <v>1113.443925</v>
      </c>
      <c r="BY24" s="5">
        <f t="shared" si="46"/>
        <v>1113.443925</v>
      </c>
      <c r="BZ24" s="38">
        <f t="shared" si="47"/>
        <v>1676.7556902000001</v>
      </c>
      <c r="CA24" s="5">
        <f t="shared" si="48"/>
        <v>30.742848300000002</v>
      </c>
      <c r="CB24"/>
      <c r="CD24" s="5">
        <f t="shared" si="49"/>
        <v>49.52260225000001</v>
      </c>
      <c r="CE24" s="5">
        <f t="shared" si="50"/>
        <v>49.52260225000001</v>
      </c>
      <c r="CF24" s="38">
        <f t="shared" si="51"/>
        <v>74.57699777400002</v>
      </c>
      <c r="CG24" s="5">
        <f t="shared" si="52"/>
        <v>1.3673484710000003</v>
      </c>
      <c r="CH24"/>
      <c r="CJ24" s="5">
        <f t="shared" si="53"/>
        <v>33.213674999999995</v>
      </c>
      <c r="CK24" s="5">
        <f t="shared" si="54"/>
        <v>33.213674999999995</v>
      </c>
      <c r="CL24" s="38">
        <f t="shared" si="55"/>
        <v>50.0170842</v>
      </c>
      <c r="CM24" s="5">
        <f t="shared" si="56"/>
        <v>0.9170493</v>
      </c>
      <c r="CN24"/>
      <c r="CP24" s="5">
        <f t="shared" si="57"/>
        <v>55.495825</v>
      </c>
      <c r="CQ24" s="5">
        <f t="shared" si="58"/>
        <v>55.495825</v>
      </c>
      <c r="CR24" s="38">
        <f t="shared" si="59"/>
        <v>83.5721838</v>
      </c>
      <c r="CS24" s="5">
        <f t="shared" si="60"/>
        <v>1.5322727</v>
      </c>
      <c r="CT24"/>
      <c r="CV24" s="5">
        <f t="shared" si="61"/>
        <v>1058.751375</v>
      </c>
      <c r="CW24" s="5">
        <f t="shared" si="62"/>
        <v>1058.751375</v>
      </c>
      <c r="CX24" s="38">
        <f t="shared" si="63"/>
        <v>1594.393173</v>
      </c>
      <c r="CY24" s="5">
        <f t="shared" si="64"/>
        <v>29.2327545</v>
      </c>
      <c r="CZ24"/>
      <c r="DB24" s="5">
        <f t="shared" si="65"/>
        <v>854.579825</v>
      </c>
      <c r="DC24" s="38">
        <f t="shared" si="66"/>
        <v>854.579825</v>
      </c>
      <c r="DD24" s="38">
        <f t="shared" si="67"/>
        <v>1286.9274798000001</v>
      </c>
      <c r="DE24" s="5">
        <f t="shared" si="68"/>
        <v>23.5954567</v>
      </c>
      <c r="DH24" s="5">
        <f t="shared" si="69"/>
        <v>154.962225</v>
      </c>
      <c r="DI24" s="5">
        <f t="shared" si="70"/>
        <v>154.962225</v>
      </c>
      <c r="DJ24" s="38">
        <f t="shared" si="71"/>
        <v>233.3604654</v>
      </c>
      <c r="DK24" s="5">
        <f t="shared" si="72"/>
        <v>4.2785991</v>
      </c>
      <c r="DN24" s="5">
        <f t="shared" si="73"/>
        <v>62.341125</v>
      </c>
      <c r="DO24" s="5">
        <f t="shared" si="74"/>
        <v>62.341125</v>
      </c>
      <c r="DP24" s="38">
        <f t="shared" si="75"/>
        <v>93.880647</v>
      </c>
      <c r="DQ24" s="5">
        <f t="shared" si="76"/>
        <v>1.7212755</v>
      </c>
      <c r="DT24" s="5">
        <f t="shared" si="77"/>
        <v>501.488075</v>
      </c>
      <c r="DU24" s="5">
        <f t="shared" si="78"/>
        <v>501.488075</v>
      </c>
      <c r="DV24" s="38">
        <f t="shared" si="79"/>
        <v>755.2001177999999</v>
      </c>
      <c r="DW24" s="5">
        <f t="shared" si="80"/>
        <v>13.846383699999999</v>
      </c>
      <c r="DZ24" s="5">
        <f t="shared" si="81"/>
        <v>6366.33855</v>
      </c>
      <c r="EA24" s="38">
        <f t="shared" si="82"/>
        <v>6366.33855</v>
      </c>
      <c r="EB24" s="38">
        <f t="shared" si="83"/>
        <v>9587.1863412</v>
      </c>
      <c r="EC24" s="5">
        <f t="shared" si="84"/>
        <v>175.7783898</v>
      </c>
      <c r="EF24" s="38">
        <f t="shared" si="85"/>
        <v>533.3746</v>
      </c>
      <c r="EG24" s="38">
        <f t="shared" si="86"/>
        <v>533.3746</v>
      </c>
      <c r="EH24" s="38">
        <f t="shared" si="87"/>
        <v>803.2186224000001</v>
      </c>
      <c r="EI24" s="5">
        <f t="shared" si="88"/>
        <v>14.7267896</v>
      </c>
      <c r="EL24" s="38">
        <f t="shared" si="89"/>
        <v>209.235675</v>
      </c>
      <c r="EM24" s="38">
        <f t="shared" si="90"/>
        <v>209.235675</v>
      </c>
      <c r="EN24" s="38">
        <f t="shared" si="91"/>
        <v>315.0918522</v>
      </c>
      <c r="EO24" s="5">
        <f t="shared" si="92"/>
        <v>5.7771213</v>
      </c>
      <c r="ER24" s="5">
        <f t="shared" si="93"/>
        <v>171.62145</v>
      </c>
      <c r="ES24" s="5">
        <f t="shared" si="94"/>
        <v>171.62145</v>
      </c>
      <c r="ET24" s="38">
        <f t="shared" si="95"/>
        <v>258.4478988</v>
      </c>
      <c r="EU24" s="5">
        <f t="shared" si="96"/>
        <v>4.7385702</v>
      </c>
      <c r="EW24" s="38"/>
      <c r="EX24" s="38">
        <f t="shared" si="97"/>
        <v>1566.421175</v>
      </c>
      <c r="EY24" s="5">
        <f t="shared" si="98"/>
        <v>1566.421175</v>
      </c>
      <c r="EZ24" s="38">
        <f t="shared" si="99"/>
        <v>2358.9024642</v>
      </c>
      <c r="FA24" s="5">
        <f t="shared" si="100"/>
        <v>43.2498193</v>
      </c>
      <c r="FC24" s="38"/>
      <c r="FD24" s="38">
        <f t="shared" si="101"/>
        <v>4518.352025</v>
      </c>
      <c r="FE24" s="5">
        <f t="shared" si="102"/>
        <v>4518.352025</v>
      </c>
      <c r="FF24" s="38">
        <f t="shared" si="103"/>
        <v>6804.2694366000005</v>
      </c>
      <c r="FG24" s="5">
        <f t="shared" si="104"/>
        <v>124.75438390000001</v>
      </c>
      <c r="FJ24" s="5">
        <f t="shared" si="105"/>
        <v>46.31055</v>
      </c>
      <c r="FK24" s="5">
        <f t="shared" si="106"/>
        <v>46.31055</v>
      </c>
      <c r="FL24" s="38">
        <f t="shared" si="107"/>
        <v>69.7399092</v>
      </c>
      <c r="FM24" s="5">
        <f t="shared" si="108"/>
        <v>1.2786618</v>
      </c>
      <c r="FO24" s="5"/>
      <c r="FP24" s="5">
        <f t="shared" si="109"/>
        <v>2188.61005</v>
      </c>
      <c r="FQ24" s="5">
        <f t="shared" si="110"/>
        <v>2188.61005</v>
      </c>
      <c r="FR24" s="38">
        <f t="shared" si="111"/>
        <v>3295.8681372</v>
      </c>
      <c r="FS24" s="5">
        <f t="shared" si="112"/>
        <v>60.428823799999996</v>
      </c>
      <c r="FU24" s="5"/>
      <c r="FV24" s="5">
        <f t="shared" si="113"/>
        <v>154.43835</v>
      </c>
      <c r="FW24" s="5">
        <f t="shared" si="114"/>
        <v>154.43835</v>
      </c>
      <c r="FX24" s="38">
        <f t="shared" si="115"/>
        <v>232.5715524</v>
      </c>
      <c r="FY24" s="5">
        <f t="shared" si="116"/>
        <v>4.2641346</v>
      </c>
    </row>
    <row r="25" spans="1:181" ht="12.75">
      <c r="A25" s="40">
        <v>47209</v>
      </c>
      <c r="C25" s="76">
        <f>'2019C'!B25</f>
        <v>6820000</v>
      </c>
      <c r="D25" s="76">
        <f>'2019C'!C25</f>
        <v>349250</v>
      </c>
      <c r="E25" s="37">
        <f t="shared" si="0"/>
        <v>7169250</v>
      </c>
      <c r="F25" s="76">
        <f>'2019C'!E25</f>
        <v>525942</v>
      </c>
      <c r="G25" s="76">
        <f>'2019C'!F25</f>
        <v>9643</v>
      </c>
      <c r="I25" s="50">
        <f t="shared" si="117"/>
        <v>977393.978</v>
      </c>
      <c r="J25" s="38">
        <f t="shared" si="1"/>
        <v>50052.03032500001</v>
      </c>
      <c r="K25" s="38">
        <f t="shared" si="2"/>
        <v>1027446.0083250001</v>
      </c>
      <c r="L25" s="38">
        <f t="shared" si="3"/>
        <v>75374.27325180001</v>
      </c>
      <c r="M25" s="38">
        <f t="shared" si="4"/>
        <v>1381.9662947000002</v>
      </c>
      <c r="N25"/>
      <c r="O25" s="5">
        <f t="shared" si="118"/>
        <v>225851.80200000003</v>
      </c>
      <c r="P25" s="5">
        <f t="shared" si="5"/>
        <v>11565.797925</v>
      </c>
      <c r="Q25" s="5">
        <f t="shared" si="6"/>
        <v>237417.59992500002</v>
      </c>
      <c r="R25" s="38">
        <f t="shared" si="7"/>
        <v>17417.1478662</v>
      </c>
      <c r="S25" s="5">
        <f t="shared" si="8"/>
        <v>319.3385523</v>
      </c>
      <c r="T25"/>
      <c r="U25" s="5">
        <f t="shared" si="119"/>
        <v>23998.216</v>
      </c>
      <c r="V25" s="38">
        <f t="shared" si="9"/>
        <v>1228.9409</v>
      </c>
      <c r="W25" s="38">
        <f t="shared" si="10"/>
        <v>25227.1569</v>
      </c>
      <c r="X25" s="38">
        <f t="shared" si="11"/>
        <v>1850.6847096</v>
      </c>
      <c r="Y25" s="5">
        <f t="shared" si="12"/>
        <v>33.9317884</v>
      </c>
      <c r="Z25"/>
      <c r="AA25" s="5">
        <f t="shared" si="120"/>
        <v>8219.464</v>
      </c>
      <c r="AB25" s="5">
        <f t="shared" si="13"/>
        <v>420.91610000000003</v>
      </c>
      <c r="AC25" s="5">
        <f t="shared" si="14"/>
        <v>8640.3801</v>
      </c>
      <c r="AD25" s="38">
        <f t="shared" si="15"/>
        <v>633.8652984</v>
      </c>
      <c r="AE25" s="5">
        <f t="shared" si="16"/>
        <v>11.6217436</v>
      </c>
      <c r="AF25"/>
      <c r="AG25" s="5">
        <f t="shared" si="121"/>
        <v>4721.5064600000005</v>
      </c>
      <c r="AH25" s="5">
        <f t="shared" si="17"/>
        <v>241.78682275</v>
      </c>
      <c r="AI25" s="5">
        <f t="shared" si="18"/>
        <v>4963.293282750001</v>
      </c>
      <c r="AJ25" s="38">
        <f t="shared" si="19"/>
        <v>364.11122442600004</v>
      </c>
      <c r="AK25" s="5">
        <f t="shared" si="20"/>
        <v>6.675877829</v>
      </c>
      <c r="AL25"/>
      <c r="AM25" s="5">
        <f t="shared" si="122"/>
        <v>36416.072</v>
      </c>
      <c r="AN25" s="5">
        <f t="shared" si="21"/>
        <v>1864.8553</v>
      </c>
      <c r="AO25" s="5">
        <f t="shared" si="22"/>
        <v>38280.9273</v>
      </c>
      <c r="AP25" s="38">
        <f t="shared" si="23"/>
        <v>2808.3199031999998</v>
      </c>
      <c r="AQ25" s="5">
        <f t="shared" si="24"/>
        <v>51.4897628</v>
      </c>
      <c r="AR25"/>
      <c r="AS25" s="5">
        <f t="shared" si="123"/>
        <v>222419.978</v>
      </c>
      <c r="AT25" s="5">
        <f t="shared" si="25"/>
        <v>11390.055325</v>
      </c>
      <c r="AU25" s="5">
        <f t="shared" si="26"/>
        <v>233810.033325</v>
      </c>
      <c r="AV25" s="38">
        <f t="shared" si="27"/>
        <v>17152.4938518</v>
      </c>
      <c r="AW25" s="5">
        <f t="shared" si="28"/>
        <v>314.4861947</v>
      </c>
      <c r="AX25"/>
      <c r="AY25" s="5">
        <f t="shared" si="124"/>
        <v>10614.648000000001</v>
      </c>
      <c r="AZ25" s="5">
        <f t="shared" si="29"/>
        <v>543.5727</v>
      </c>
      <c r="BA25" s="5">
        <f t="shared" si="30"/>
        <v>11158.220700000002</v>
      </c>
      <c r="BB25" s="38">
        <f t="shared" si="31"/>
        <v>818.5761288000001</v>
      </c>
      <c r="BC25" s="5">
        <f t="shared" si="32"/>
        <v>15.008365200000002</v>
      </c>
      <c r="BD25"/>
      <c r="BE25" s="5">
        <f>C25*$BG$6</f>
        <v>17231.412</v>
      </c>
      <c r="BF25" s="5">
        <f t="shared" si="33"/>
        <v>882.41505</v>
      </c>
      <c r="BG25" s="5">
        <f t="shared" si="34"/>
        <v>18113.82705</v>
      </c>
      <c r="BH25" s="38">
        <f t="shared" si="35"/>
        <v>1328.8450572</v>
      </c>
      <c r="BI25" s="5">
        <f t="shared" si="36"/>
        <v>24.3640038</v>
      </c>
      <c r="BJ25"/>
      <c r="BK25" s="38">
        <f t="shared" si="125"/>
        <v>42392.438</v>
      </c>
      <c r="BL25" s="5">
        <f t="shared" si="37"/>
        <v>2170.903075</v>
      </c>
      <c r="BM25" s="38">
        <f t="shared" si="38"/>
        <v>44563.341075000004</v>
      </c>
      <c r="BN25" s="38">
        <f t="shared" si="39"/>
        <v>3269.2028778</v>
      </c>
      <c r="BO25" s="5">
        <f t="shared" si="40"/>
        <v>59.9399237</v>
      </c>
      <c r="BP25"/>
      <c r="BQ25" s="5">
        <f t="shared" si="126"/>
        <v>2036.452</v>
      </c>
      <c r="BR25" s="5">
        <f t="shared" si="41"/>
        <v>104.28605</v>
      </c>
      <c r="BS25" s="5">
        <f t="shared" si="42"/>
        <v>2140.73805</v>
      </c>
      <c r="BT25" s="38">
        <f t="shared" si="43"/>
        <v>157.0462812</v>
      </c>
      <c r="BU25" s="5">
        <f t="shared" si="44"/>
        <v>2.8793998</v>
      </c>
      <c r="BV25"/>
      <c r="BW25" s="5">
        <f t="shared" si="127"/>
        <v>21742.842</v>
      </c>
      <c r="BX25" s="5">
        <f t="shared" si="45"/>
        <v>1113.443925</v>
      </c>
      <c r="BY25" s="5">
        <f t="shared" si="46"/>
        <v>22856.285925</v>
      </c>
      <c r="BZ25" s="38">
        <f t="shared" si="47"/>
        <v>1676.7556902000001</v>
      </c>
      <c r="CA25" s="5">
        <f t="shared" si="48"/>
        <v>30.742848300000002</v>
      </c>
      <c r="CB25"/>
      <c r="CC25" s="5">
        <f t="shared" si="128"/>
        <v>967.0555400000003</v>
      </c>
      <c r="CD25" s="5">
        <f t="shared" si="49"/>
        <v>49.52260225000001</v>
      </c>
      <c r="CE25" s="5">
        <f t="shared" si="50"/>
        <v>1016.5781422500003</v>
      </c>
      <c r="CF25" s="38">
        <f t="shared" si="51"/>
        <v>74.57699777400002</v>
      </c>
      <c r="CG25" s="5">
        <f t="shared" si="52"/>
        <v>1.3673484710000003</v>
      </c>
      <c r="CH25"/>
      <c r="CI25" s="5">
        <f t="shared" si="129"/>
        <v>648.582</v>
      </c>
      <c r="CJ25" s="5">
        <f t="shared" si="53"/>
        <v>33.213674999999995</v>
      </c>
      <c r="CK25" s="5">
        <f t="shared" si="54"/>
        <v>681.795675</v>
      </c>
      <c r="CL25" s="38">
        <f t="shared" si="55"/>
        <v>50.0170842</v>
      </c>
      <c r="CM25" s="5">
        <f t="shared" si="56"/>
        <v>0.9170493</v>
      </c>
      <c r="CN25"/>
      <c r="CO25" s="5">
        <f t="shared" si="130"/>
        <v>1083.698</v>
      </c>
      <c r="CP25" s="5">
        <f t="shared" si="57"/>
        <v>55.495825</v>
      </c>
      <c r="CQ25" s="5">
        <f t="shared" si="58"/>
        <v>1139.193825</v>
      </c>
      <c r="CR25" s="38">
        <f t="shared" si="59"/>
        <v>83.5721838</v>
      </c>
      <c r="CS25" s="5">
        <f t="shared" si="60"/>
        <v>1.5322727</v>
      </c>
      <c r="CT25"/>
      <c r="CU25" s="5">
        <f t="shared" si="131"/>
        <v>20674.829999999998</v>
      </c>
      <c r="CV25" s="5">
        <f t="shared" si="61"/>
        <v>1058.751375</v>
      </c>
      <c r="CW25" s="5">
        <f t="shared" si="62"/>
        <v>21733.581374999998</v>
      </c>
      <c r="CX25" s="38">
        <f t="shared" si="63"/>
        <v>1594.393173</v>
      </c>
      <c r="CY25" s="5">
        <f t="shared" si="64"/>
        <v>29.2327545</v>
      </c>
      <c r="CZ25"/>
      <c r="DA25" s="5">
        <f t="shared" si="132"/>
        <v>16687.858</v>
      </c>
      <c r="DB25" s="5">
        <f t="shared" si="65"/>
        <v>854.579825</v>
      </c>
      <c r="DC25" s="38">
        <f t="shared" si="66"/>
        <v>17542.437825</v>
      </c>
      <c r="DD25" s="38">
        <f t="shared" si="67"/>
        <v>1286.9274798000001</v>
      </c>
      <c r="DE25" s="5">
        <f t="shared" si="68"/>
        <v>23.5954567</v>
      </c>
      <c r="DG25" s="5">
        <f t="shared" si="133"/>
        <v>3026.034</v>
      </c>
      <c r="DH25" s="5">
        <f t="shared" si="69"/>
        <v>154.962225</v>
      </c>
      <c r="DI25" s="5">
        <f t="shared" si="70"/>
        <v>3180.996225</v>
      </c>
      <c r="DJ25" s="38">
        <f t="shared" si="71"/>
        <v>233.3604654</v>
      </c>
      <c r="DK25" s="5">
        <f t="shared" si="72"/>
        <v>4.2785991</v>
      </c>
      <c r="DM25" s="5">
        <f t="shared" si="134"/>
        <v>1217.3700000000001</v>
      </c>
      <c r="DN25" s="5">
        <f t="shared" si="73"/>
        <v>62.341125</v>
      </c>
      <c r="DO25" s="5">
        <f t="shared" si="74"/>
        <v>1279.711125</v>
      </c>
      <c r="DP25" s="38">
        <f t="shared" si="75"/>
        <v>93.880647</v>
      </c>
      <c r="DQ25" s="5">
        <f t="shared" si="76"/>
        <v>1.7212755</v>
      </c>
      <c r="DS25" s="5">
        <f t="shared" si="135"/>
        <v>9792.838</v>
      </c>
      <c r="DT25" s="5">
        <f t="shared" si="77"/>
        <v>501.488075</v>
      </c>
      <c r="DU25" s="5">
        <f t="shared" si="78"/>
        <v>10294.326074999999</v>
      </c>
      <c r="DV25" s="38">
        <f t="shared" si="79"/>
        <v>755.2001177999999</v>
      </c>
      <c r="DW25" s="5">
        <f t="shared" si="80"/>
        <v>13.846383699999999</v>
      </c>
      <c r="DY25" s="5">
        <f t="shared" si="136"/>
        <v>124319.05200000001</v>
      </c>
      <c r="DZ25" s="5">
        <f t="shared" si="81"/>
        <v>6366.33855</v>
      </c>
      <c r="EA25" s="38">
        <f t="shared" si="82"/>
        <v>130685.39055000001</v>
      </c>
      <c r="EB25" s="38">
        <f t="shared" si="83"/>
        <v>9587.1863412</v>
      </c>
      <c r="EC25" s="5">
        <f t="shared" si="84"/>
        <v>175.7783898</v>
      </c>
      <c r="EE25" s="5">
        <f t="shared" si="137"/>
        <v>10415.504</v>
      </c>
      <c r="EF25" s="38">
        <f t="shared" si="85"/>
        <v>533.3746</v>
      </c>
      <c r="EG25" s="38">
        <f t="shared" si="86"/>
        <v>10948.8786</v>
      </c>
      <c r="EH25" s="38">
        <f t="shared" si="87"/>
        <v>803.2186224000001</v>
      </c>
      <c r="EI25" s="5">
        <f t="shared" si="88"/>
        <v>14.7267896</v>
      </c>
      <c r="EK25" s="5">
        <f t="shared" si="138"/>
        <v>4085.862</v>
      </c>
      <c r="EL25" s="38">
        <f t="shared" si="89"/>
        <v>209.235675</v>
      </c>
      <c r="EM25" s="38">
        <f t="shared" si="90"/>
        <v>4295.097675</v>
      </c>
      <c r="EN25" s="38">
        <f t="shared" si="91"/>
        <v>315.0918522</v>
      </c>
      <c r="EO25" s="5">
        <f t="shared" si="92"/>
        <v>5.7771213</v>
      </c>
      <c r="EQ25" s="5">
        <f t="shared" si="139"/>
        <v>3351.348</v>
      </c>
      <c r="ER25" s="5">
        <f t="shared" si="93"/>
        <v>171.62145</v>
      </c>
      <c r="ES25" s="5">
        <f t="shared" si="94"/>
        <v>3522.96945</v>
      </c>
      <c r="ET25" s="38">
        <f t="shared" si="95"/>
        <v>258.4478988</v>
      </c>
      <c r="EU25" s="5">
        <f t="shared" si="96"/>
        <v>4.7385702</v>
      </c>
      <c r="EW25" s="38">
        <f t="shared" si="140"/>
        <v>30588.381999999998</v>
      </c>
      <c r="EX25" s="38">
        <f t="shared" si="97"/>
        <v>1566.421175</v>
      </c>
      <c r="EY25" s="5">
        <f t="shared" si="98"/>
        <v>32154.803174999997</v>
      </c>
      <c r="EZ25" s="38">
        <f t="shared" si="99"/>
        <v>2358.9024642</v>
      </c>
      <c r="FA25" s="5">
        <f t="shared" si="100"/>
        <v>43.2498193</v>
      </c>
      <c r="FC25" s="38">
        <f t="shared" si="141"/>
        <v>88232.386</v>
      </c>
      <c r="FD25" s="38">
        <f t="shared" si="101"/>
        <v>4518.352025</v>
      </c>
      <c r="FE25" s="5">
        <f t="shared" si="102"/>
        <v>92750.738025</v>
      </c>
      <c r="FF25" s="38">
        <f t="shared" si="103"/>
        <v>6804.2694366000005</v>
      </c>
      <c r="FG25" s="5">
        <f t="shared" si="104"/>
        <v>124.75438390000001</v>
      </c>
      <c r="FI25" s="5">
        <f t="shared" si="142"/>
        <v>904.332</v>
      </c>
      <c r="FJ25" s="5">
        <f t="shared" si="105"/>
        <v>46.31055</v>
      </c>
      <c r="FK25" s="5">
        <f t="shared" si="106"/>
        <v>950.64255</v>
      </c>
      <c r="FL25" s="38">
        <f t="shared" si="107"/>
        <v>69.7399092</v>
      </c>
      <c r="FM25" s="5">
        <f t="shared" si="108"/>
        <v>1.2786618</v>
      </c>
      <c r="FO25" s="5">
        <f t="shared" si="143"/>
        <v>42738.212</v>
      </c>
      <c r="FP25" s="5">
        <f t="shared" si="109"/>
        <v>2188.61005</v>
      </c>
      <c r="FQ25" s="5">
        <f t="shared" si="110"/>
        <v>44926.82205</v>
      </c>
      <c r="FR25" s="38">
        <f t="shared" si="111"/>
        <v>3295.8681372</v>
      </c>
      <c r="FS25" s="5">
        <f t="shared" si="112"/>
        <v>60.428823799999996</v>
      </c>
      <c r="FU25" s="5">
        <f t="shared" si="144"/>
        <v>3015.804</v>
      </c>
      <c r="FV25" s="5">
        <f t="shared" si="113"/>
        <v>154.43835</v>
      </c>
      <c r="FW25" s="5">
        <f t="shared" si="114"/>
        <v>3170.24235</v>
      </c>
      <c r="FX25" s="38">
        <f t="shared" si="115"/>
        <v>232.5715524</v>
      </c>
      <c r="FY25" s="5">
        <f t="shared" si="116"/>
        <v>4.2641346</v>
      </c>
    </row>
    <row r="26" spans="1:181" ht="12.75">
      <c r="A26" s="40">
        <v>47392</v>
      </c>
      <c r="C26" s="76">
        <f>'2019C'!B26</f>
        <v>0</v>
      </c>
      <c r="D26" s="76">
        <f>'2019C'!C26</f>
        <v>178750</v>
      </c>
      <c r="E26" s="37">
        <f t="shared" si="0"/>
        <v>178750</v>
      </c>
      <c r="F26" s="76">
        <f>'2019C'!E26</f>
        <v>525942</v>
      </c>
      <c r="G26" s="76">
        <f>'2019C'!F26</f>
        <v>9643</v>
      </c>
      <c r="I26" s="50"/>
      <c r="J26" s="38">
        <f t="shared" si="1"/>
        <v>25617.180875</v>
      </c>
      <c r="K26" s="38">
        <f t="shared" si="2"/>
        <v>25617.180875</v>
      </c>
      <c r="L26" s="38">
        <f t="shared" si="3"/>
        <v>75374.27325180001</v>
      </c>
      <c r="M26" s="38">
        <f t="shared" si="4"/>
        <v>1381.9662947000002</v>
      </c>
      <c r="N26"/>
      <c r="P26" s="5">
        <f t="shared" si="5"/>
        <v>5919.502875</v>
      </c>
      <c r="Q26" s="5">
        <f t="shared" si="6"/>
        <v>5919.502875</v>
      </c>
      <c r="R26" s="38">
        <f t="shared" si="7"/>
        <v>17417.1478662</v>
      </c>
      <c r="S26" s="5">
        <f t="shared" si="8"/>
        <v>319.3385523</v>
      </c>
      <c r="T26"/>
      <c r="V26" s="38">
        <f t="shared" si="9"/>
        <v>628.9855</v>
      </c>
      <c r="W26" s="38">
        <f t="shared" si="10"/>
        <v>628.9855</v>
      </c>
      <c r="X26" s="38">
        <f t="shared" si="11"/>
        <v>1850.6847096</v>
      </c>
      <c r="Y26" s="5">
        <f t="shared" si="12"/>
        <v>33.9317884</v>
      </c>
      <c r="Z26"/>
      <c r="AB26" s="5">
        <f t="shared" si="13"/>
        <v>215.4295</v>
      </c>
      <c r="AC26" s="5">
        <f t="shared" si="14"/>
        <v>215.4295</v>
      </c>
      <c r="AD26" s="38">
        <f t="shared" si="15"/>
        <v>633.8652984</v>
      </c>
      <c r="AE26" s="5">
        <f t="shared" si="16"/>
        <v>11.6217436</v>
      </c>
      <c r="AF26"/>
      <c r="AH26" s="5">
        <f t="shared" si="17"/>
        <v>123.74916125</v>
      </c>
      <c r="AI26" s="5">
        <f t="shared" si="18"/>
        <v>123.74916125</v>
      </c>
      <c r="AJ26" s="38">
        <f t="shared" si="19"/>
        <v>364.11122442600004</v>
      </c>
      <c r="AK26" s="5">
        <f t="shared" si="20"/>
        <v>6.675877829</v>
      </c>
      <c r="AL26"/>
      <c r="AN26" s="5">
        <f t="shared" si="21"/>
        <v>954.4535</v>
      </c>
      <c r="AO26" s="5">
        <f t="shared" si="22"/>
        <v>954.4535</v>
      </c>
      <c r="AP26" s="38">
        <f t="shared" si="23"/>
        <v>2808.3199031999998</v>
      </c>
      <c r="AQ26" s="5">
        <f t="shared" si="24"/>
        <v>51.4897628</v>
      </c>
      <c r="AR26"/>
      <c r="AT26" s="5">
        <f t="shared" si="25"/>
        <v>5829.555875</v>
      </c>
      <c r="AU26" s="5">
        <f t="shared" si="26"/>
        <v>5829.555875</v>
      </c>
      <c r="AV26" s="38">
        <f t="shared" si="27"/>
        <v>17152.4938518</v>
      </c>
      <c r="AW26" s="5">
        <f t="shared" si="28"/>
        <v>314.4861947</v>
      </c>
      <c r="AX26"/>
      <c r="AZ26" s="5">
        <f t="shared" si="29"/>
        <v>278.2065</v>
      </c>
      <c r="BA26" s="5">
        <f t="shared" si="30"/>
        <v>278.2065</v>
      </c>
      <c r="BB26" s="38">
        <f t="shared" si="31"/>
        <v>818.5761288000001</v>
      </c>
      <c r="BC26" s="5">
        <f t="shared" si="32"/>
        <v>15.008365200000002</v>
      </c>
      <c r="BD26"/>
      <c r="BF26" s="5">
        <f t="shared" si="33"/>
        <v>451.62975</v>
      </c>
      <c r="BG26" s="5">
        <f t="shared" si="34"/>
        <v>451.62975</v>
      </c>
      <c r="BH26" s="38">
        <f t="shared" si="35"/>
        <v>1328.8450572</v>
      </c>
      <c r="BI26" s="5">
        <f t="shared" si="36"/>
        <v>24.3640038</v>
      </c>
      <c r="BJ26"/>
      <c r="BK26" s="38"/>
      <c r="BL26" s="5">
        <f t="shared" si="37"/>
        <v>1111.092125</v>
      </c>
      <c r="BM26" s="38">
        <f t="shared" si="38"/>
        <v>1111.092125</v>
      </c>
      <c r="BN26" s="38">
        <f t="shared" si="39"/>
        <v>3269.2028778</v>
      </c>
      <c r="BO26" s="5">
        <f t="shared" si="40"/>
        <v>59.9399237</v>
      </c>
      <c r="BP26"/>
      <c r="BR26" s="5">
        <f t="shared" si="41"/>
        <v>53.37475</v>
      </c>
      <c r="BS26" s="5">
        <f t="shared" si="42"/>
        <v>53.37475</v>
      </c>
      <c r="BT26" s="38">
        <f t="shared" si="43"/>
        <v>157.0462812</v>
      </c>
      <c r="BU26" s="5">
        <f t="shared" si="44"/>
        <v>2.8793998</v>
      </c>
      <c r="BV26"/>
      <c r="BX26" s="5">
        <f t="shared" si="45"/>
        <v>569.872875</v>
      </c>
      <c r="BY26" s="5">
        <f t="shared" si="46"/>
        <v>569.872875</v>
      </c>
      <c r="BZ26" s="38">
        <f t="shared" si="47"/>
        <v>1676.7556902000001</v>
      </c>
      <c r="CA26" s="5">
        <f t="shared" si="48"/>
        <v>30.742848300000002</v>
      </c>
      <c r="CB26"/>
      <c r="CD26" s="5">
        <f t="shared" si="49"/>
        <v>25.346213750000008</v>
      </c>
      <c r="CE26" s="5">
        <f t="shared" si="50"/>
        <v>25.346213750000008</v>
      </c>
      <c r="CF26" s="38">
        <f t="shared" si="51"/>
        <v>74.57699777400002</v>
      </c>
      <c r="CG26" s="5">
        <f t="shared" si="52"/>
        <v>1.3673484710000003</v>
      </c>
      <c r="CH26"/>
      <c r="CJ26" s="5">
        <f t="shared" si="53"/>
        <v>16.999125</v>
      </c>
      <c r="CK26" s="5">
        <f t="shared" si="54"/>
        <v>16.999125</v>
      </c>
      <c r="CL26" s="38">
        <f t="shared" si="55"/>
        <v>50.0170842</v>
      </c>
      <c r="CM26" s="5">
        <f t="shared" si="56"/>
        <v>0.9170493</v>
      </c>
      <c r="CN26"/>
      <c r="CP26" s="5">
        <f t="shared" si="57"/>
        <v>28.403375000000004</v>
      </c>
      <c r="CQ26" s="5">
        <f t="shared" si="58"/>
        <v>28.403375000000004</v>
      </c>
      <c r="CR26" s="38">
        <f t="shared" si="59"/>
        <v>83.5721838</v>
      </c>
      <c r="CS26" s="5">
        <f t="shared" si="60"/>
        <v>1.5322727</v>
      </c>
      <c r="CT26"/>
      <c r="CV26" s="5">
        <f t="shared" si="61"/>
        <v>541.880625</v>
      </c>
      <c r="CW26" s="5">
        <f t="shared" si="62"/>
        <v>541.880625</v>
      </c>
      <c r="CX26" s="38">
        <f t="shared" si="63"/>
        <v>1594.393173</v>
      </c>
      <c r="CY26" s="5">
        <f t="shared" si="64"/>
        <v>29.2327545</v>
      </c>
      <c r="CZ26"/>
      <c r="DB26" s="5">
        <f t="shared" si="65"/>
        <v>437.383375</v>
      </c>
      <c r="DC26" s="38">
        <f t="shared" si="66"/>
        <v>437.383375</v>
      </c>
      <c r="DD26" s="38">
        <f t="shared" si="67"/>
        <v>1286.9274798000001</v>
      </c>
      <c r="DE26" s="5">
        <f t="shared" si="68"/>
        <v>23.5954567</v>
      </c>
      <c r="DH26" s="5">
        <f t="shared" si="69"/>
        <v>79.311375</v>
      </c>
      <c r="DI26" s="5">
        <f t="shared" si="70"/>
        <v>79.311375</v>
      </c>
      <c r="DJ26" s="38">
        <f t="shared" si="71"/>
        <v>233.3604654</v>
      </c>
      <c r="DK26" s="5">
        <f t="shared" si="72"/>
        <v>4.2785991</v>
      </c>
      <c r="DN26" s="5">
        <f t="shared" si="73"/>
        <v>31.906875</v>
      </c>
      <c r="DO26" s="5">
        <f t="shared" si="74"/>
        <v>31.906875</v>
      </c>
      <c r="DP26" s="38">
        <f t="shared" si="75"/>
        <v>93.880647</v>
      </c>
      <c r="DQ26" s="5">
        <f t="shared" si="76"/>
        <v>1.7212755</v>
      </c>
      <c r="DT26" s="5">
        <f t="shared" si="77"/>
        <v>256.667125</v>
      </c>
      <c r="DU26" s="5">
        <f t="shared" si="78"/>
        <v>256.667125</v>
      </c>
      <c r="DV26" s="38">
        <f t="shared" si="79"/>
        <v>755.2001177999999</v>
      </c>
      <c r="DW26" s="5">
        <f t="shared" si="80"/>
        <v>13.846383699999999</v>
      </c>
      <c r="DZ26" s="5">
        <f t="shared" si="81"/>
        <v>3258.36225</v>
      </c>
      <c r="EA26" s="38">
        <f t="shared" si="82"/>
        <v>3258.36225</v>
      </c>
      <c r="EB26" s="38">
        <f t="shared" si="83"/>
        <v>9587.1863412</v>
      </c>
      <c r="EC26" s="5">
        <f t="shared" si="84"/>
        <v>175.7783898</v>
      </c>
      <c r="EF26" s="38">
        <f t="shared" si="85"/>
        <v>272.987</v>
      </c>
      <c r="EG26" s="38">
        <f t="shared" si="86"/>
        <v>272.987</v>
      </c>
      <c r="EH26" s="38">
        <f t="shared" si="87"/>
        <v>803.2186224000001</v>
      </c>
      <c r="EI26" s="5">
        <f t="shared" si="88"/>
        <v>14.7267896</v>
      </c>
      <c r="EL26" s="38">
        <f t="shared" si="89"/>
        <v>107.089125</v>
      </c>
      <c r="EM26" s="38">
        <f t="shared" si="90"/>
        <v>107.089125</v>
      </c>
      <c r="EN26" s="38">
        <f t="shared" si="91"/>
        <v>315.0918522</v>
      </c>
      <c r="EO26" s="5">
        <f t="shared" si="92"/>
        <v>5.7771213</v>
      </c>
      <c r="ER26" s="5">
        <f t="shared" si="93"/>
        <v>87.83775</v>
      </c>
      <c r="ES26" s="5">
        <f t="shared" si="94"/>
        <v>87.83775</v>
      </c>
      <c r="ET26" s="38">
        <f t="shared" si="95"/>
        <v>258.4478988</v>
      </c>
      <c r="EU26" s="5">
        <f t="shared" si="96"/>
        <v>4.7385702</v>
      </c>
      <c r="EW26" s="38"/>
      <c r="EX26" s="38">
        <f t="shared" si="97"/>
        <v>801.7116249999999</v>
      </c>
      <c r="EY26" s="5">
        <f t="shared" si="98"/>
        <v>801.7116249999999</v>
      </c>
      <c r="EZ26" s="38">
        <f t="shared" si="99"/>
        <v>2358.9024642</v>
      </c>
      <c r="FA26" s="5">
        <f t="shared" si="100"/>
        <v>43.2498193</v>
      </c>
      <c r="FC26" s="38"/>
      <c r="FD26" s="38">
        <f t="shared" si="101"/>
        <v>2312.542375</v>
      </c>
      <c r="FE26" s="5">
        <f t="shared" si="102"/>
        <v>2312.542375</v>
      </c>
      <c r="FF26" s="38">
        <f t="shared" si="103"/>
        <v>6804.2694366000005</v>
      </c>
      <c r="FG26" s="5">
        <f t="shared" si="104"/>
        <v>124.75438390000001</v>
      </c>
      <c r="FJ26" s="5">
        <f t="shared" si="105"/>
        <v>23.70225</v>
      </c>
      <c r="FK26" s="5">
        <f t="shared" si="106"/>
        <v>23.70225</v>
      </c>
      <c r="FL26" s="38">
        <f t="shared" si="107"/>
        <v>69.7399092</v>
      </c>
      <c r="FM26" s="5">
        <f t="shared" si="108"/>
        <v>1.2786618</v>
      </c>
      <c r="FO26" s="5"/>
      <c r="FP26" s="5">
        <f t="shared" si="109"/>
        <v>1120.15475</v>
      </c>
      <c r="FQ26" s="5">
        <f t="shared" si="110"/>
        <v>1120.15475</v>
      </c>
      <c r="FR26" s="38">
        <f t="shared" si="111"/>
        <v>3295.8681372</v>
      </c>
      <c r="FS26" s="5">
        <f t="shared" si="112"/>
        <v>60.428823799999996</v>
      </c>
      <c r="FU26" s="5"/>
      <c r="FV26" s="5">
        <f t="shared" si="113"/>
        <v>79.04325</v>
      </c>
      <c r="FW26" s="5">
        <f t="shared" si="114"/>
        <v>79.04325</v>
      </c>
      <c r="FX26" s="38">
        <f t="shared" si="115"/>
        <v>232.5715524</v>
      </c>
      <c r="FY26" s="5">
        <f t="shared" si="116"/>
        <v>4.2641346</v>
      </c>
    </row>
    <row r="27" spans="1:181" ht="12.75">
      <c r="A27" s="40">
        <v>11049</v>
      </c>
      <c r="C27" s="76">
        <f>'2019C'!B27</f>
        <v>7150000</v>
      </c>
      <c r="D27" s="76">
        <f>'2019C'!C27</f>
        <v>178750</v>
      </c>
      <c r="E27" s="37">
        <f t="shared" si="0"/>
        <v>7328750</v>
      </c>
      <c r="F27" s="76">
        <f>'2019C'!E27</f>
        <v>525942</v>
      </c>
      <c r="G27" s="76">
        <f>'2019C'!F27</f>
        <v>9643</v>
      </c>
      <c r="I27" s="50">
        <f t="shared" si="117"/>
        <v>1024687.235</v>
      </c>
      <c r="J27" s="38">
        <f t="shared" si="1"/>
        <v>25617.180875</v>
      </c>
      <c r="K27" s="38">
        <f t="shared" si="2"/>
        <v>1050304.415875</v>
      </c>
      <c r="L27" s="38">
        <f t="shared" si="3"/>
        <v>75374.27325180001</v>
      </c>
      <c r="M27" s="38">
        <f t="shared" si="4"/>
        <v>1381.9662947000002</v>
      </c>
      <c r="N27"/>
      <c r="O27" s="5">
        <f t="shared" si="118"/>
        <v>236780.11500000002</v>
      </c>
      <c r="P27" s="5">
        <f t="shared" si="5"/>
        <v>5919.502875</v>
      </c>
      <c r="Q27" s="5">
        <f t="shared" si="6"/>
        <v>242699.61787500003</v>
      </c>
      <c r="R27" s="38">
        <f t="shared" si="7"/>
        <v>17417.1478662</v>
      </c>
      <c r="S27" s="5">
        <f t="shared" si="8"/>
        <v>319.3385523</v>
      </c>
      <c r="T27"/>
      <c r="U27" s="5">
        <f t="shared" si="119"/>
        <v>25159.42</v>
      </c>
      <c r="V27" s="38">
        <f t="shared" si="9"/>
        <v>628.9855</v>
      </c>
      <c r="W27" s="38">
        <f t="shared" si="10"/>
        <v>25788.405499999997</v>
      </c>
      <c r="X27" s="38">
        <f t="shared" si="11"/>
        <v>1850.6847096</v>
      </c>
      <c r="Y27" s="5">
        <f t="shared" si="12"/>
        <v>33.9317884</v>
      </c>
      <c r="Z27"/>
      <c r="AA27" s="5">
        <f t="shared" si="120"/>
        <v>8617.18</v>
      </c>
      <c r="AB27" s="5">
        <f t="shared" si="13"/>
        <v>215.4295</v>
      </c>
      <c r="AC27" s="5">
        <f t="shared" si="14"/>
        <v>8832.6095</v>
      </c>
      <c r="AD27" s="38">
        <f t="shared" si="15"/>
        <v>633.8652984</v>
      </c>
      <c r="AE27" s="5">
        <f t="shared" si="16"/>
        <v>11.6217436</v>
      </c>
      <c r="AF27"/>
      <c r="AG27" s="5">
        <f t="shared" si="121"/>
        <v>4949.96645</v>
      </c>
      <c r="AH27" s="5">
        <f t="shared" si="17"/>
        <v>123.74916125</v>
      </c>
      <c r="AI27" s="5">
        <f t="shared" si="18"/>
        <v>5073.71561125</v>
      </c>
      <c r="AJ27" s="38">
        <f t="shared" si="19"/>
        <v>364.11122442600004</v>
      </c>
      <c r="AK27" s="5">
        <f t="shared" si="20"/>
        <v>6.675877829</v>
      </c>
      <c r="AL27"/>
      <c r="AM27" s="5">
        <f t="shared" si="122"/>
        <v>38178.14</v>
      </c>
      <c r="AN27" s="5">
        <f t="shared" si="21"/>
        <v>954.4535</v>
      </c>
      <c r="AO27" s="5">
        <f t="shared" si="22"/>
        <v>39132.5935</v>
      </c>
      <c r="AP27" s="38">
        <f t="shared" si="23"/>
        <v>2808.3199031999998</v>
      </c>
      <c r="AQ27" s="5">
        <f t="shared" si="24"/>
        <v>51.4897628</v>
      </c>
      <c r="AR27"/>
      <c r="AS27" s="5">
        <f t="shared" si="123"/>
        <v>233182.23500000002</v>
      </c>
      <c r="AT27" s="5">
        <f t="shared" si="25"/>
        <v>5829.555875</v>
      </c>
      <c r="AU27" s="5">
        <f t="shared" si="26"/>
        <v>239011.790875</v>
      </c>
      <c r="AV27" s="38">
        <f t="shared" si="27"/>
        <v>17152.4938518</v>
      </c>
      <c r="AW27" s="5">
        <f t="shared" si="28"/>
        <v>314.4861947</v>
      </c>
      <c r="AX27"/>
      <c r="AY27" s="5">
        <f t="shared" si="124"/>
        <v>11128.26</v>
      </c>
      <c r="AZ27" s="5">
        <f t="shared" si="29"/>
        <v>278.2065</v>
      </c>
      <c r="BA27" s="5">
        <f t="shared" si="30"/>
        <v>11406.4665</v>
      </c>
      <c r="BB27" s="38">
        <f t="shared" si="31"/>
        <v>818.5761288000001</v>
      </c>
      <c r="BC27" s="5">
        <f t="shared" si="32"/>
        <v>15.008365200000002</v>
      </c>
      <c r="BD27"/>
      <c r="BE27" s="5">
        <f>C27*$BG$6</f>
        <v>18065.19</v>
      </c>
      <c r="BF27" s="5">
        <f t="shared" si="33"/>
        <v>451.62975</v>
      </c>
      <c r="BG27" s="5">
        <f t="shared" si="34"/>
        <v>18516.81975</v>
      </c>
      <c r="BH27" s="38">
        <f t="shared" si="35"/>
        <v>1328.8450572</v>
      </c>
      <c r="BI27" s="5">
        <f t="shared" si="36"/>
        <v>24.3640038</v>
      </c>
      <c r="BJ27"/>
      <c r="BK27" s="38">
        <f t="shared" si="125"/>
        <v>44443.685</v>
      </c>
      <c r="BL27" s="5">
        <f t="shared" si="37"/>
        <v>1111.092125</v>
      </c>
      <c r="BM27" s="38">
        <f t="shared" si="38"/>
        <v>45554.777125</v>
      </c>
      <c r="BN27" s="38">
        <f t="shared" si="39"/>
        <v>3269.2028778</v>
      </c>
      <c r="BO27" s="5">
        <f t="shared" si="40"/>
        <v>59.9399237</v>
      </c>
      <c r="BP27"/>
      <c r="BQ27" s="5">
        <f t="shared" si="126"/>
        <v>2134.99</v>
      </c>
      <c r="BR27" s="5">
        <f t="shared" si="41"/>
        <v>53.37475</v>
      </c>
      <c r="BS27" s="5">
        <f t="shared" si="42"/>
        <v>2188.3647499999997</v>
      </c>
      <c r="BT27" s="38">
        <f t="shared" si="43"/>
        <v>157.0462812</v>
      </c>
      <c r="BU27" s="5">
        <f t="shared" si="44"/>
        <v>2.8793998</v>
      </c>
      <c r="BV27"/>
      <c r="BW27" s="5">
        <f t="shared" si="127"/>
        <v>22794.915</v>
      </c>
      <c r="BX27" s="5">
        <f t="shared" si="45"/>
        <v>569.872875</v>
      </c>
      <c r="BY27" s="5">
        <f t="shared" si="46"/>
        <v>23364.787875</v>
      </c>
      <c r="BZ27" s="38">
        <f t="shared" si="47"/>
        <v>1676.7556902000001</v>
      </c>
      <c r="CA27" s="5">
        <f t="shared" si="48"/>
        <v>30.742848300000002</v>
      </c>
      <c r="CB27"/>
      <c r="CC27" s="5">
        <f t="shared" si="128"/>
        <v>1013.8485500000003</v>
      </c>
      <c r="CD27" s="5">
        <f t="shared" si="49"/>
        <v>25.346213750000008</v>
      </c>
      <c r="CE27" s="5">
        <f t="shared" si="50"/>
        <v>1039.1947637500002</v>
      </c>
      <c r="CF27" s="38">
        <f t="shared" si="51"/>
        <v>74.57699777400002</v>
      </c>
      <c r="CG27" s="5">
        <f t="shared" si="52"/>
        <v>1.3673484710000003</v>
      </c>
      <c r="CH27"/>
      <c r="CI27" s="5">
        <f t="shared" si="129"/>
        <v>679.9649999999999</v>
      </c>
      <c r="CJ27" s="5">
        <f t="shared" si="53"/>
        <v>16.999125</v>
      </c>
      <c r="CK27" s="5">
        <f t="shared" si="54"/>
        <v>696.964125</v>
      </c>
      <c r="CL27" s="38">
        <f t="shared" si="55"/>
        <v>50.0170842</v>
      </c>
      <c r="CM27" s="5">
        <f t="shared" si="56"/>
        <v>0.9170493</v>
      </c>
      <c r="CN27"/>
      <c r="CO27" s="5">
        <f t="shared" si="130"/>
        <v>1136.135</v>
      </c>
      <c r="CP27" s="5">
        <f t="shared" si="57"/>
        <v>28.403375000000004</v>
      </c>
      <c r="CQ27" s="5">
        <f t="shared" si="58"/>
        <v>1164.538375</v>
      </c>
      <c r="CR27" s="38">
        <f t="shared" si="59"/>
        <v>83.5721838</v>
      </c>
      <c r="CS27" s="5">
        <f t="shared" si="60"/>
        <v>1.5322727</v>
      </c>
      <c r="CT27"/>
      <c r="CU27" s="5">
        <f t="shared" si="131"/>
        <v>21675.225</v>
      </c>
      <c r="CV27" s="5">
        <f t="shared" si="61"/>
        <v>541.880625</v>
      </c>
      <c r="CW27" s="5">
        <f t="shared" si="62"/>
        <v>22217.105625</v>
      </c>
      <c r="CX27" s="38">
        <f t="shared" si="63"/>
        <v>1594.393173</v>
      </c>
      <c r="CY27" s="5">
        <f t="shared" si="64"/>
        <v>29.2327545</v>
      </c>
      <c r="CZ27"/>
      <c r="DA27" s="5">
        <f t="shared" si="132"/>
        <v>17495.335</v>
      </c>
      <c r="DB27" s="5">
        <f t="shared" si="65"/>
        <v>437.383375</v>
      </c>
      <c r="DC27" s="38">
        <f t="shared" si="66"/>
        <v>17932.718375</v>
      </c>
      <c r="DD27" s="38">
        <f t="shared" si="67"/>
        <v>1286.9274798000001</v>
      </c>
      <c r="DE27" s="5">
        <f t="shared" si="68"/>
        <v>23.5954567</v>
      </c>
      <c r="DG27" s="5">
        <f t="shared" si="133"/>
        <v>3172.455</v>
      </c>
      <c r="DH27" s="5">
        <f t="shared" si="69"/>
        <v>79.311375</v>
      </c>
      <c r="DI27" s="5">
        <f t="shared" si="70"/>
        <v>3251.766375</v>
      </c>
      <c r="DJ27" s="38">
        <f t="shared" si="71"/>
        <v>233.3604654</v>
      </c>
      <c r="DK27" s="5">
        <f t="shared" si="72"/>
        <v>4.2785991</v>
      </c>
      <c r="DM27" s="5">
        <f t="shared" si="134"/>
        <v>1276.275</v>
      </c>
      <c r="DN27" s="5">
        <f t="shared" si="73"/>
        <v>31.906875</v>
      </c>
      <c r="DO27" s="5">
        <f t="shared" si="74"/>
        <v>1308.181875</v>
      </c>
      <c r="DP27" s="38">
        <f t="shared" si="75"/>
        <v>93.880647</v>
      </c>
      <c r="DQ27" s="5">
        <f t="shared" si="76"/>
        <v>1.7212755</v>
      </c>
      <c r="DS27" s="5">
        <f t="shared" si="135"/>
        <v>10266.685</v>
      </c>
      <c r="DT27" s="5">
        <f t="shared" si="77"/>
        <v>256.667125</v>
      </c>
      <c r="DU27" s="5">
        <f t="shared" si="78"/>
        <v>10523.352125</v>
      </c>
      <c r="DV27" s="38">
        <f t="shared" si="79"/>
        <v>755.2001177999999</v>
      </c>
      <c r="DW27" s="5">
        <f t="shared" si="80"/>
        <v>13.846383699999999</v>
      </c>
      <c r="DY27" s="5">
        <f t="shared" si="136"/>
        <v>130334.49</v>
      </c>
      <c r="DZ27" s="5">
        <f t="shared" si="81"/>
        <v>3258.36225</v>
      </c>
      <c r="EA27" s="38">
        <f t="shared" si="82"/>
        <v>133592.85225</v>
      </c>
      <c r="EB27" s="38">
        <f t="shared" si="83"/>
        <v>9587.1863412</v>
      </c>
      <c r="EC27" s="5">
        <f t="shared" si="84"/>
        <v>175.7783898</v>
      </c>
      <c r="EE27" s="5">
        <f t="shared" si="137"/>
        <v>10919.48</v>
      </c>
      <c r="EF27" s="38">
        <f t="shared" si="85"/>
        <v>272.987</v>
      </c>
      <c r="EG27" s="38">
        <f t="shared" si="86"/>
        <v>11192.466999999999</v>
      </c>
      <c r="EH27" s="38">
        <f t="shared" si="87"/>
        <v>803.2186224000001</v>
      </c>
      <c r="EI27" s="5">
        <f t="shared" si="88"/>
        <v>14.7267896</v>
      </c>
      <c r="EK27" s="5">
        <f t="shared" si="138"/>
        <v>4283.565</v>
      </c>
      <c r="EL27" s="38">
        <f t="shared" si="89"/>
        <v>107.089125</v>
      </c>
      <c r="EM27" s="38">
        <f t="shared" si="90"/>
        <v>4390.654125</v>
      </c>
      <c r="EN27" s="38">
        <f t="shared" si="91"/>
        <v>315.0918522</v>
      </c>
      <c r="EO27" s="5">
        <f t="shared" si="92"/>
        <v>5.7771213</v>
      </c>
      <c r="EQ27" s="5">
        <f t="shared" si="139"/>
        <v>3513.51</v>
      </c>
      <c r="ER27" s="5">
        <f t="shared" si="93"/>
        <v>87.83775</v>
      </c>
      <c r="ES27" s="5">
        <f t="shared" si="94"/>
        <v>3601.3477500000004</v>
      </c>
      <c r="ET27" s="38">
        <f t="shared" si="95"/>
        <v>258.4478988</v>
      </c>
      <c r="EU27" s="5">
        <f t="shared" si="96"/>
        <v>4.7385702</v>
      </c>
      <c r="EW27" s="38">
        <f t="shared" si="140"/>
        <v>32068.464999999997</v>
      </c>
      <c r="EX27" s="38">
        <f t="shared" si="97"/>
        <v>801.7116249999999</v>
      </c>
      <c r="EY27" s="5">
        <f t="shared" si="98"/>
        <v>32870.17662499999</v>
      </c>
      <c r="EZ27" s="38">
        <f t="shared" si="99"/>
        <v>2358.9024642</v>
      </c>
      <c r="FA27" s="5">
        <f t="shared" si="100"/>
        <v>43.2498193</v>
      </c>
      <c r="FC27" s="38">
        <f t="shared" si="141"/>
        <v>92501.695</v>
      </c>
      <c r="FD27" s="38">
        <f t="shared" si="101"/>
        <v>2312.542375</v>
      </c>
      <c r="FE27" s="5">
        <f t="shared" si="102"/>
        <v>94814.23737500001</v>
      </c>
      <c r="FF27" s="38">
        <f t="shared" si="103"/>
        <v>6804.2694366000005</v>
      </c>
      <c r="FG27" s="5">
        <f t="shared" si="104"/>
        <v>124.75438390000001</v>
      </c>
      <c r="FI27" s="5">
        <f t="shared" si="142"/>
        <v>948.09</v>
      </c>
      <c r="FJ27" s="5">
        <f t="shared" si="105"/>
        <v>23.70225</v>
      </c>
      <c r="FK27" s="5">
        <f t="shared" si="106"/>
        <v>971.7922500000001</v>
      </c>
      <c r="FL27" s="38">
        <f t="shared" si="107"/>
        <v>69.7399092</v>
      </c>
      <c r="FM27" s="5">
        <f t="shared" si="108"/>
        <v>1.2786618</v>
      </c>
      <c r="FO27" s="5">
        <f t="shared" si="143"/>
        <v>44806.189999999995</v>
      </c>
      <c r="FP27" s="5">
        <f t="shared" si="109"/>
        <v>1120.15475</v>
      </c>
      <c r="FQ27" s="5">
        <f t="shared" si="110"/>
        <v>45926.34475</v>
      </c>
      <c r="FR27" s="38">
        <f t="shared" si="111"/>
        <v>3295.8681372</v>
      </c>
      <c r="FS27" s="5">
        <f t="shared" si="112"/>
        <v>60.428823799999996</v>
      </c>
      <c r="FU27" s="5">
        <f t="shared" si="144"/>
        <v>3161.73</v>
      </c>
      <c r="FV27" s="5">
        <f t="shared" si="113"/>
        <v>79.04325</v>
      </c>
      <c r="FW27" s="5">
        <f t="shared" si="114"/>
        <v>3240.77325</v>
      </c>
      <c r="FX27" s="38">
        <f t="shared" si="115"/>
        <v>232.5715524</v>
      </c>
      <c r="FY27" s="5">
        <f t="shared" si="116"/>
        <v>4.2641346</v>
      </c>
    </row>
    <row r="28" spans="2:169" ht="12.75">
      <c r="B28" s="36"/>
      <c r="C28" s="37"/>
      <c r="D28" s="37"/>
      <c r="E28" s="37"/>
      <c r="F28" s="37"/>
      <c r="G28" s="3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D28"/>
      <c r="DE28"/>
      <c r="DJ28"/>
      <c r="DK28"/>
      <c r="DP28"/>
      <c r="DQ28"/>
      <c r="DV28"/>
      <c r="DW28"/>
      <c r="EB28"/>
      <c r="EC28"/>
      <c r="EH28"/>
      <c r="EI28"/>
      <c r="EN28"/>
      <c r="EO28"/>
      <c r="ET28"/>
      <c r="EU28"/>
      <c r="EZ28"/>
      <c r="FA28"/>
      <c r="FF28"/>
      <c r="FG28"/>
      <c r="FL28"/>
      <c r="FM28"/>
    </row>
    <row r="29" spans="1:181" ht="13.5" thickBot="1">
      <c r="A29" s="41" t="s">
        <v>31</v>
      </c>
      <c r="C29" s="42">
        <f>SUM(C8:C28)</f>
        <v>54150000</v>
      </c>
      <c r="D29" s="42">
        <f>SUM(D8:D28)</f>
        <v>16142300</v>
      </c>
      <c r="E29" s="42">
        <f>SUM(E8:E28)</f>
        <v>70292300</v>
      </c>
      <c r="F29" s="42">
        <f>SUM(F8:F28)</f>
        <v>10518840</v>
      </c>
      <c r="G29" s="42">
        <f>SUM(G8:G28)</f>
        <v>192860</v>
      </c>
      <c r="I29" s="42">
        <f>SUM(I8:I28)</f>
        <v>7760393.535000002</v>
      </c>
      <c r="J29" s="42">
        <f>SUM(J8:J28)</f>
        <v>2313399.8256700006</v>
      </c>
      <c r="K29" s="42">
        <f>SUM(K8:K28)</f>
        <v>10073793.36067</v>
      </c>
      <c r="L29" s="42">
        <f>SUM(L8:L28)</f>
        <v>1507485.4650360006</v>
      </c>
      <c r="M29" s="42">
        <f>SUM(M8:M28)</f>
        <v>27639.325893999998</v>
      </c>
      <c r="O29" s="42">
        <f>SUM(O8:O28)</f>
        <v>1793236.8150000002</v>
      </c>
      <c r="P29" s="42">
        <f>SUM(P8:P28)</f>
        <v>534570.0210300001</v>
      </c>
      <c r="Q29" s="42">
        <f>SUM(Q8:Q28)</f>
        <v>2327806.8360300004</v>
      </c>
      <c r="R29" s="42">
        <f>SUM(R8:R28)</f>
        <v>348342.9573240002</v>
      </c>
      <c r="S29" s="42">
        <f>SUM(S8:S28)</f>
        <v>6386.771045999999</v>
      </c>
      <c r="U29" s="42">
        <f>SUM(U8:U28)</f>
        <v>190543.01999999996</v>
      </c>
      <c r="V29" s="42">
        <f>SUM(V8:V28)</f>
        <v>56801.525239999995</v>
      </c>
      <c r="W29" s="42">
        <f>SUM(W8:W28)</f>
        <v>247344.54523999998</v>
      </c>
      <c r="X29" s="42">
        <f>SUM(X8:X28)</f>
        <v>37013.69419199998</v>
      </c>
      <c r="Y29" s="42">
        <f>SUM(Y8:Y28)</f>
        <v>678.635768</v>
      </c>
      <c r="AA29" s="42">
        <f>SUM(AA8:AA28)</f>
        <v>65261.58</v>
      </c>
      <c r="AB29" s="42">
        <f>SUM(AB8:AB28)</f>
        <v>19454.69995999999</v>
      </c>
      <c r="AC29" s="42">
        <f>SUM(AC8:AC28)</f>
        <v>84716.27996</v>
      </c>
      <c r="AD29" s="42">
        <f>SUM(AD8:AD28)</f>
        <v>12677.305968</v>
      </c>
      <c r="AE29" s="42">
        <f>SUM(AE8:AE28)</f>
        <v>232.434872</v>
      </c>
      <c r="AG29" s="42">
        <f>SUM(AG8:AG28)</f>
        <v>37488.20745</v>
      </c>
      <c r="AH29" s="42">
        <f>SUM(AH8:AH28)</f>
        <v>11175.362716900003</v>
      </c>
      <c r="AI29" s="42">
        <f>SUM(AI8:AI28)</f>
        <v>48663.570166900005</v>
      </c>
      <c r="AJ29" s="42">
        <f>SUM(AJ8:AJ28)</f>
        <v>7282.224488520003</v>
      </c>
      <c r="AK29" s="42">
        <f>SUM(AK8:AK28)</f>
        <v>133.51755658</v>
      </c>
      <c r="AM29" s="42">
        <f>SUM(AM8:AM28)</f>
        <v>289139.33999999997</v>
      </c>
      <c r="AN29" s="42">
        <f>SUM(AN8:AN28)</f>
        <v>86193.42507999999</v>
      </c>
      <c r="AO29" s="42">
        <f>SUM(AO8:AO28)</f>
        <v>375332.7650799999</v>
      </c>
      <c r="AP29" s="42">
        <f>SUM(AP8:AP28)</f>
        <v>56166.398063999986</v>
      </c>
      <c r="AQ29" s="42">
        <f>SUM(AQ8:AQ28)</f>
        <v>1029.795256</v>
      </c>
      <c r="AS29" s="42">
        <f>SUM(AS8:AS28)</f>
        <v>1765988.5350000004</v>
      </c>
      <c r="AT29" s="42">
        <f>SUM(AT8:AT28)</f>
        <v>526447.2156700002</v>
      </c>
      <c r="AU29" s="42">
        <f>SUM(AU8:AU28)</f>
        <v>2292435.7506700004</v>
      </c>
      <c r="AV29" s="42">
        <f>SUM(AV8:AV28)</f>
        <v>343049.877036</v>
      </c>
      <c r="AW29" s="42">
        <f>SUM(AW8:AW28)</f>
        <v>6289.723894</v>
      </c>
      <c r="AY29" s="42">
        <f>SUM(AY8:AY28)</f>
        <v>84279.06</v>
      </c>
      <c r="AZ29" s="42">
        <f>SUM(AZ8:AZ28)</f>
        <v>25123.875720000007</v>
      </c>
      <c r="BA29" s="42">
        <f>SUM(BA8:BA28)</f>
        <v>109402.93572000001</v>
      </c>
      <c r="BB29" s="42">
        <f>SUM(BB8:BB28)</f>
        <v>16371.522575999998</v>
      </c>
      <c r="BC29" s="42">
        <f>SUM(BC8:BC28)</f>
        <v>300.1673040000002</v>
      </c>
      <c r="BE29" s="42">
        <f>SUM(BE8:BE28)</f>
        <v>136815.38999999998</v>
      </c>
      <c r="BF29" s="42">
        <f>SUM(BF8:BF28)</f>
        <v>40785.135180000005</v>
      </c>
      <c r="BG29" s="42">
        <f>SUM(BG8:BG28)</f>
        <v>177600.52518</v>
      </c>
      <c r="BH29" s="42">
        <f>SUM(BH8:BH28)</f>
        <v>26576.901144</v>
      </c>
      <c r="BI29" s="42">
        <f>SUM(BI8:BI28)</f>
        <v>487.28007599999984</v>
      </c>
      <c r="BK29" s="42">
        <f>SUM(BK8:BK28)</f>
        <v>336590.985</v>
      </c>
      <c r="BL29" s="42">
        <f>SUM(BL8:BL28)</f>
        <v>100338.92256999998</v>
      </c>
      <c r="BM29" s="42">
        <f>SUM(BM8:BM28)</f>
        <v>436929.90757000004</v>
      </c>
      <c r="BN29" s="42">
        <f>SUM(BN8:BN28)</f>
        <v>65384.057556000014</v>
      </c>
      <c r="BO29" s="42">
        <f>SUM(BO8:BO28)</f>
        <v>1198.798474</v>
      </c>
      <c r="BQ29" s="42">
        <f>SUM(BQ8:BQ28)</f>
        <v>16169.189999999999</v>
      </c>
      <c r="BR29" s="42">
        <f>SUM(BR8:BR28)</f>
        <v>4820.090779999999</v>
      </c>
      <c r="BS29" s="42">
        <f>SUM(BS8:BS28)</f>
        <v>20989.280779999997</v>
      </c>
      <c r="BT29" s="42">
        <f>SUM(BT8:BT28)</f>
        <v>3140.925624000001</v>
      </c>
      <c r="BU29" s="42">
        <f>SUM(BU8:BU28)</f>
        <v>57.58799600000002</v>
      </c>
      <c r="BW29" s="42">
        <f>SUM(BW8:BW28)</f>
        <v>172635.61500000002</v>
      </c>
      <c r="BX29" s="42">
        <f>SUM(BX8:BX28)</f>
        <v>51463.26663000001</v>
      </c>
      <c r="BY29" s="42">
        <f>SUM(BY8:BY28)</f>
        <v>224098.88163000002</v>
      </c>
      <c r="BZ29" s="42">
        <f>SUM(BZ8:BZ28)</f>
        <v>33535.113804</v>
      </c>
      <c r="CA29" s="42">
        <f>SUM(CA8:CA28)</f>
        <v>614.8569659999999</v>
      </c>
      <c r="CC29" s="42">
        <f>SUM(CC8:CC28)</f>
        <v>7678.307550000003</v>
      </c>
      <c r="CD29" s="42">
        <f>SUM(CD8:CD28)</f>
        <v>2288.929713100001</v>
      </c>
      <c r="CE29" s="42">
        <f>SUM(CE8:CE28)</f>
        <v>9967.237263100002</v>
      </c>
      <c r="CF29" s="42">
        <f>SUM(CF8:CF28)</f>
        <v>1491.539955480001</v>
      </c>
      <c r="CG29" s="42">
        <f>SUM(CG8:CG28)</f>
        <v>27.346969419999997</v>
      </c>
      <c r="CI29" s="42">
        <f>SUM(CI8:CI28)</f>
        <v>5149.665</v>
      </c>
      <c r="CJ29" s="42">
        <f>SUM(CJ8:CJ28)</f>
        <v>1535.13273</v>
      </c>
      <c r="CK29" s="42">
        <f>SUM(CK8:CK28)</f>
        <v>6684.79773</v>
      </c>
      <c r="CL29" s="42">
        <f>SUM(CL8:CL28)</f>
        <v>1000.341684</v>
      </c>
      <c r="CM29" s="42">
        <f>SUM(CM8:CM28)</f>
        <v>18.340986</v>
      </c>
      <c r="CO29" s="42">
        <f>SUM(CO8:CO28)</f>
        <v>8604.435000000001</v>
      </c>
      <c r="CP29" s="42">
        <f>SUM(CP8:CP28)</f>
        <v>2565.0114699999995</v>
      </c>
      <c r="CQ29" s="42">
        <f>SUM(CQ8:CQ28)</f>
        <v>11169.446469999999</v>
      </c>
      <c r="CR29" s="42">
        <f>SUM(CR8:CR28)</f>
        <v>1671.4436759999994</v>
      </c>
      <c r="CS29" s="42">
        <f>SUM(CS8:CS28)</f>
        <v>30.645454</v>
      </c>
      <c r="CU29" s="42">
        <f>SUM(CU8:CU28)</f>
        <v>164155.725</v>
      </c>
      <c r="CV29" s="42">
        <f>SUM(CV8:CV28)</f>
        <v>48935.382450000005</v>
      </c>
      <c r="CW29" s="42">
        <f>SUM(CW8:CW28)</f>
        <v>213091.10744999998</v>
      </c>
      <c r="CX29" s="42">
        <f>SUM(CX8:CX28)</f>
        <v>31887.863460000004</v>
      </c>
      <c r="CY29" s="42">
        <f>SUM(CY8:CY28)</f>
        <v>584.65509</v>
      </c>
      <c r="DA29" s="42">
        <f>SUM(DA8:DA28)</f>
        <v>132499.635</v>
      </c>
      <c r="DB29" s="42">
        <f>SUM(DB8:DB28)</f>
        <v>39498.59386999999</v>
      </c>
      <c r="DC29" s="42">
        <f>SUM(DC8:DC28)</f>
        <v>171998.22887000002</v>
      </c>
      <c r="DD29" s="42">
        <f>SUM(DD8:DD28)</f>
        <v>25738.549596000008</v>
      </c>
      <c r="DE29" s="42">
        <f>SUM(DE8:DE28)</f>
        <v>471.909134</v>
      </c>
      <c r="DG29" s="42">
        <f>SUM(DG8:DG28)</f>
        <v>24026.355000000003</v>
      </c>
      <c r="DH29" s="42">
        <f>SUM(DH8:DH28)</f>
        <v>7162.3385100000005</v>
      </c>
      <c r="DI29" s="42">
        <f>SUM(DI8:DI28)</f>
        <v>31188.693509999994</v>
      </c>
      <c r="DJ29" s="42">
        <f>SUM(DJ8:DJ28)</f>
        <v>4667.209308</v>
      </c>
      <c r="DK29" s="42">
        <f>SUM(DK8:DK28)</f>
        <v>85.57198199999998</v>
      </c>
      <c r="DM29" s="42">
        <f>SUM(DM8:DM28)</f>
        <v>9665.775</v>
      </c>
      <c r="DN29" s="42">
        <f>SUM(DN8:DN28)</f>
        <v>2881.4005499999994</v>
      </c>
      <c r="DO29" s="42">
        <f>SUM(DO8:DO28)</f>
        <v>12547.17555</v>
      </c>
      <c r="DP29" s="42">
        <f>SUM(DP8:DP28)</f>
        <v>1877.6129399999993</v>
      </c>
      <c r="DQ29" s="42">
        <f>SUM(DQ8:DQ28)</f>
        <v>34.42551000000001</v>
      </c>
      <c r="DS29" s="42">
        <f>SUM(DS8:DS28)</f>
        <v>77753.985</v>
      </c>
      <c r="DT29" s="42">
        <f>SUM(DT8:DT28)</f>
        <v>23178.728570000003</v>
      </c>
      <c r="DU29" s="42">
        <f>SUM(DU8:DU28)</f>
        <v>100932.71357000002</v>
      </c>
      <c r="DV29" s="42">
        <f>SUM(DV8:DV28)</f>
        <v>15104.002355999992</v>
      </c>
      <c r="DW29" s="42">
        <f>SUM(DW8:DW28)</f>
        <v>276.9276739999999</v>
      </c>
      <c r="DY29" s="42">
        <f>SUM(DY8:DY28)</f>
        <v>987078.6900000001</v>
      </c>
      <c r="DZ29" s="42">
        <f>SUM(DZ8:DZ28)</f>
        <v>294251.52978</v>
      </c>
      <c r="EA29" s="42">
        <f>SUM(EA8:EA28)</f>
        <v>1281330.2197799997</v>
      </c>
      <c r="EB29" s="42">
        <f>SUM(EB8:EB28)</f>
        <v>191743.72682399995</v>
      </c>
      <c r="EC29" s="42">
        <f>SUM(EC8:EC28)</f>
        <v>3515.5677959999985</v>
      </c>
      <c r="EE29" s="42">
        <f>SUM(EE8:EE28)</f>
        <v>82697.87999999999</v>
      </c>
      <c r="EF29" s="42">
        <f>SUM(EF8:EF28)</f>
        <v>24652.520560000004</v>
      </c>
      <c r="EG29" s="42">
        <f>SUM(EG8:EG28)</f>
        <v>107350.40055999998</v>
      </c>
      <c r="EH29" s="42">
        <f>SUM(EH8:EH28)</f>
        <v>16064.372447999996</v>
      </c>
      <c r="EI29" s="42">
        <f>SUM(EI8:EI28)</f>
        <v>294.53579199999996</v>
      </c>
      <c r="EK29" s="42">
        <f>SUM(EK8:EK28)</f>
        <v>32441.265000000003</v>
      </c>
      <c r="EL29" s="42">
        <f>SUM(EL8:EL28)</f>
        <v>9670.851929999999</v>
      </c>
      <c r="EM29" s="42">
        <f>SUM(EM8:EM28)</f>
        <v>42112.11693</v>
      </c>
      <c r="EN29" s="42">
        <f>SUM(EN8:EN28)</f>
        <v>6301.837044000002</v>
      </c>
      <c r="EO29" s="42">
        <f>SUM(EO8:EO28)</f>
        <v>115.54242600000002</v>
      </c>
      <c r="EQ29" s="42">
        <f>SUM(EQ8:EQ28)</f>
        <v>26609.310000000005</v>
      </c>
      <c r="ER29" s="42">
        <f>SUM(ER8:ER28)</f>
        <v>7932.326219999999</v>
      </c>
      <c r="ES29" s="42">
        <f>SUM(ES8:ES28)</f>
        <v>34541.63622</v>
      </c>
      <c r="ET29" s="42">
        <f>SUM(ET8:ET28)</f>
        <v>5168.957976000001</v>
      </c>
      <c r="EU29" s="42">
        <f>SUM(EU8:EU28)</f>
        <v>94.77140399999998</v>
      </c>
      <c r="EW29" s="42">
        <f>SUM(EW8:EW28)</f>
        <v>242868.16499999995</v>
      </c>
      <c r="EX29" s="42">
        <f>SUM(EX8:EX28)</f>
        <v>72399.82972999998</v>
      </c>
      <c r="EY29" s="42">
        <f>SUM(EY8:EY28)</f>
        <v>315267.99473000003</v>
      </c>
      <c r="EZ29" s="42">
        <f>SUM(EZ8:EZ28)</f>
        <v>47178.049284</v>
      </c>
      <c r="FA29" s="42">
        <f>SUM(FA8:FA28)</f>
        <v>864.9963860000001</v>
      </c>
      <c r="FC29" s="42">
        <f>SUM(FC8:FC28)</f>
        <v>700554.7950000002</v>
      </c>
      <c r="FD29" s="42">
        <f>SUM(FD8:FD28)</f>
        <v>208837.77779</v>
      </c>
      <c r="FE29" s="42">
        <f>SUM(FE8:FE28)</f>
        <v>909392.57279</v>
      </c>
      <c r="FF29" s="42">
        <f>SUM(FF8:FF28)</f>
        <v>136085.38873200008</v>
      </c>
      <c r="FG29" s="42">
        <f>SUM(FG8:FG28)</f>
        <v>2495.0876780000003</v>
      </c>
      <c r="FI29" s="42">
        <f>SUM(FI8:FI28)</f>
        <v>7180.29</v>
      </c>
      <c r="FJ29" s="42">
        <f>SUM(FJ8:FJ28)</f>
        <v>2140.468979999999</v>
      </c>
      <c r="FK29" s="42">
        <f>SUM(FK8:FK28)</f>
        <v>9320.75898</v>
      </c>
      <c r="FL29" s="42">
        <f>SUM(FL8:FL28)</f>
        <v>1394.7981840000007</v>
      </c>
      <c r="FM29" s="42">
        <f>SUM(FM8:FM28)</f>
        <v>25.573236000000016</v>
      </c>
      <c r="FO29" s="42">
        <f>SUM(FO8:FO28)</f>
        <v>339336.38999999996</v>
      </c>
      <c r="FP29" s="42">
        <f>SUM(FP8:FP28)</f>
        <v>101157.33717999999</v>
      </c>
      <c r="FQ29" s="42">
        <f>SUM(FQ8:FQ28)</f>
        <v>440493.72718000005</v>
      </c>
      <c r="FR29" s="42">
        <f>SUM(FR8:FR28)</f>
        <v>65917.362744</v>
      </c>
      <c r="FS29" s="42">
        <f>SUM(FS8:FS28)</f>
        <v>1208.576476</v>
      </c>
      <c r="FU29" s="42">
        <f>SUM(FU8:FU28)</f>
        <v>23945.13</v>
      </c>
      <c r="FV29" s="42">
        <f>SUM(FV8:FV28)</f>
        <v>7138.125060000002</v>
      </c>
      <c r="FW29" s="42">
        <f>SUM(FW8:FW28)</f>
        <v>31083.255059999996</v>
      </c>
      <c r="FX29" s="42">
        <f>SUM(FX8:FX28)</f>
        <v>4651.431048000001</v>
      </c>
      <c r="FY29" s="42">
        <f>SUM(FY8:FY28)</f>
        <v>85.28269200000001</v>
      </c>
    </row>
    <row r="30" spans="9:106" ht="13.5" thickTop="1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</row>
    <row r="31" spans="9:106" ht="12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</row>
    <row r="32" spans="9:106" ht="12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9:106" ht="12.75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</row>
    <row r="34" spans="9:106" ht="12.75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</row>
    <row r="35" spans="9:106" ht="12.75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</row>
    <row r="36" spans="9:106" ht="12.75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</row>
    <row r="37" spans="1:106" ht="12.75">
      <c r="A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</row>
    <row r="38" spans="1:106" ht="12.75">
      <c r="A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</row>
    <row r="39" spans="1:106" ht="12.75">
      <c r="A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</row>
    <row r="40" spans="1:106" ht="12.75">
      <c r="A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</row>
    <row r="41" spans="1:106" ht="12.75">
      <c r="A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</row>
    <row r="42" spans="1:106" ht="12.75">
      <c r="A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</row>
    <row r="43" spans="1:7" ht="12.75">
      <c r="A43"/>
      <c r="C43"/>
      <c r="D43"/>
      <c r="E43"/>
      <c r="F43"/>
      <c r="G43"/>
    </row>
    <row r="44" spans="1:7" ht="12.75">
      <c r="A44"/>
      <c r="C44"/>
      <c r="D44"/>
      <c r="E44"/>
      <c r="F44"/>
      <c r="G44"/>
    </row>
    <row r="45" spans="1:7" ht="12.75">
      <c r="A45"/>
      <c r="C45"/>
      <c r="D45"/>
      <c r="E45"/>
      <c r="F45"/>
      <c r="G45"/>
    </row>
    <row r="46" spans="1:7" ht="12.75">
      <c r="A46"/>
      <c r="C46"/>
      <c r="D46"/>
      <c r="E46"/>
      <c r="F46"/>
      <c r="G46"/>
    </row>
    <row r="47" spans="1:7" ht="12.75">
      <c r="A47"/>
      <c r="C47"/>
      <c r="D47"/>
      <c r="E47"/>
      <c r="F47"/>
      <c r="G47"/>
    </row>
    <row r="48" spans="1:7" ht="12.75">
      <c r="A48"/>
      <c r="C48"/>
      <c r="D48"/>
      <c r="E48"/>
      <c r="F48"/>
      <c r="G48"/>
    </row>
    <row r="49" spans="1:7" ht="12.75">
      <c r="A49"/>
      <c r="C49"/>
      <c r="D49"/>
      <c r="E49"/>
      <c r="F49"/>
      <c r="G49"/>
    </row>
    <row r="50" spans="1:7" ht="12.75">
      <c r="A50"/>
      <c r="C50"/>
      <c r="D50"/>
      <c r="E50"/>
      <c r="F50"/>
      <c r="G50"/>
    </row>
    <row r="51" spans="1:7" ht="12.75">
      <c r="A51"/>
      <c r="C51"/>
      <c r="D51"/>
      <c r="E51"/>
      <c r="F51"/>
      <c r="G51"/>
    </row>
    <row r="52" spans="1:7" ht="12.75">
      <c r="A52"/>
      <c r="C52"/>
      <c r="D52"/>
      <c r="E52"/>
      <c r="F52"/>
      <c r="G52"/>
    </row>
    <row r="53" spans="1:7" ht="12.75">
      <c r="A53"/>
      <c r="C53"/>
      <c r="D53"/>
      <c r="E53"/>
      <c r="F53"/>
      <c r="G53"/>
    </row>
    <row r="54" spans="1:7" ht="12.75">
      <c r="A54"/>
      <c r="C54"/>
      <c r="D54"/>
      <c r="E54"/>
      <c r="F54"/>
      <c r="G54"/>
    </row>
    <row r="55" spans="1:7" ht="12.75">
      <c r="A55"/>
      <c r="C55"/>
      <c r="D55"/>
      <c r="E55"/>
      <c r="F55"/>
      <c r="G55"/>
    </row>
    <row r="56" spans="1:7" ht="12.75">
      <c r="A56"/>
      <c r="C56"/>
      <c r="D56"/>
      <c r="E56"/>
      <c r="F56"/>
      <c r="G56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  <row r="59" spans="1:7" ht="12.75">
      <c r="A59"/>
      <c r="C59"/>
      <c r="D59"/>
      <c r="E59"/>
      <c r="F59"/>
      <c r="G59"/>
    </row>
    <row r="60" spans="1:7" ht="12.75">
      <c r="A60"/>
      <c r="C60"/>
      <c r="D60"/>
      <c r="E60"/>
      <c r="F60"/>
      <c r="G60"/>
    </row>
    <row r="61" spans="1:7" ht="12.75">
      <c r="A61"/>
      <c r="C61"/>
      <c r="D61"/>
      <c r="E61"/>
      <c r="F61"/>
      <c r="G61"/>
    </row>
    <row r="62" spans="1:7" ht="12.75">
      <c r="A62"/>
      <c r="C62"/>
      <c r="D62"/>
      <c r="E62"/>
      <c r="F62"/>
      <c r="G62"/>
    </row>
    <row r="63" spans="1:7" ht="12.75">
      <c r="A63"/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</sheetData>
  <sheetProtection/>
  <printOptions/>
  <pageMargins left="0.7" right="0.7" top="0.75" bottom="0.75" header="0.3" footer="0.3"/>
  <pageSetup horizontalDpi="600" verticalDpi="600" orientation="landscape" scale="7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2" sqref="F12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52" customWidth="1"/>
    <col min="5" max="5" width="13.7109375" style="52" customWidth="1"/>
    <col min="6" max="6" width="12.7109375" style="52" customWidth="1"/>
    <col min="7" max="8" width="10.7109375" style="52" customWidth="1"/>
    <col min="9" max="9" width="12.7109375" style="52" customWidth="1"/>
    <col min="10" max="10" width="9.7109375" style="52" customWidth="1"/>
    <col min="11" max="13" width="12.7109375" style="52" customWidth="1"/>
    <col min="14" max="16" width="13.7109375" style="52" customWidth="1"/>
    <col min="17" max="17" width="10.7109375" style="52" customWidth="1"/>
    <col min="18" max="18" width="12.7109375" style="8" customWidth="1"/>
    <col min="19" max="19" width="10.28125" style="0" bestFit="1" customWidth="1"/>
  </cols>
  <sheetData>
    <row r="1" ht="12.75">
      <c r="A1" s="51" t="s">
        <v>112</v>
      </c>
    </row>
    <row r="3" spans="1:18" ht="12.75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 t="s">
        <v>50</v>
      </c>
    </row>
    <row r="4" spans="1:18" ht="12.75">
      <c r="A4" s="56" t="s">
        <v>51</v>
      </c>
      <c r="B4" s="56" t="s">
        <v>52</v>
      </c>
      <c r="C4" s="56" t="s">
        <v>53</v>
      </c>
      <c r="D4" s="57" t="s">
        <v>31</v>
      </c>
      <c r="E4" s="57" t="s">
        <v>54</v>
      </c>
      <c r="F4" s="57" t="s">
        <v>55</v>
      </c>
      <c r="G4" s="57" t="s">
        <v>56</v>
      </c>
      <c r="H4" s="57" t="s">
        <v>57</v>
      </c>
      <c r="I4" s="57" t="s">
        <v>58</v>
      </c>
      <c r="J4" s="57" t="s">
        <v>59</v>
      </c>
      <c r="K4" s="57" t="s">
        <v>60</v>
      </c>
      <c r="L4" s="57" t="s">
        <v>61</v>
      </c>
      <c r="M4" s="57" t="s">
        <v>62</v>
      </c>
      <c r="N4" s="57" t="s">
        <v>63</v>
      </c>
      <c r="O4" s="57" t="s">
        <v>64</v>
      </c>
      <c r="P4" s="57" t="s">
        <v>65</v>
      </c>
      <c r="Q4" s="57" t="s">
        <v>66</v>
      </c>
      <c r="R4" s="58" t="s">
        <v>67</v>
      </c>
    </row>
    <row r="5" spans="1:18" s="62" customFormat="1" ht="13.5" thickBot="1">
      <c r="A5" s="59"/>
      <c r="B5" s="59"/>
      <c r="C5" s="59" t="s">
        <v>68</v>
      </c>
      <c r="D5" s="60">
        <f>SUM(E5:Q5)</f>
        <v>120628045.74</v>
      </c>
      <c r="E5" s="60">
        <f aca="true" t="shared" si="0" ref="E5:Q5">SUM(E6:E61)</f>
        <v>13461205.45</v>
      </c>
      <c r="F5" s="60">
        <f t="shared" si="0"/>
        <v>5145580.32</v>
      </c>
      <c r="G5" s="60">
        <f t="shared" si="0"/>
        <v>100611</v>
      </c>
      <c r="H5" s="60">
        <f t="shared" si="0"/>
        <v>873254.08</v>
      </c>
      <c r="I5" s="60">
        <f t="shared" si="0"/>
        <v>6622644.790000001</v>
      </c>
      <c r="J5" s="60">
        <f t="shared" si="0"/>
        <v>30640</v>
      </c>
      <c r="K5" s="60">
        <f t="shared" si="0"/>
        <v>1071587.1099999999</v>
      </c>
      <c r="L5" s="60">
        <f t="shared" si="0"/>
        <v>1244682.3800000001</v>
      </c>
      <c r="M5" s="60">
        <f t="shared" si="0"/>
        <v>2657454.3499999996</v>
      </c>
      <c r="N5" s="60">
        <f t="shared" si="0"/>
        <v>10823642.82</v>
      </c>
      <c r="O5" s="60">
        <f t="shared" si="0"/>
        <v>28251551.790000003</v>
      </c>
      <c r="P5" s="60">
        <f t="shared" si="0"/>
        <v>49535928.19</v>
      </c>
      <c r="Q5" s="60">
        <f t="shared" si="0"/>
        <v>809263.46</v>
      </c>
      <c r="R5" s="61"/>
    </row>
    <row r="6" spans="1:17" ht="13.5" thickTop="1">
      <c r="A6" s="63"/>
      <c r="B6" s="64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8" ht="12.75">
      <c r="A7" s="64" t="s">
        <v>54</v>
      </c>
      <c r="B7" s="64" t="s">
        <v>113</v>
      </c>
      <c r="C7" s="64" t="s">
        <v>70</v>
      </c>
      <c r="D7" s="52">
        <f aca="true" t="shared" si="1" ref="D7:D60">SUM(E7:Q7)</f>
        <v>3994735.95</v>
      </c>
      <c r="E7" s="66">
        <f>1273174.6+1586225.13+1135336.22</f>
        <v>3994735.95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8">
        <f aca="true" t="shared" si="2" ref="R7:R38">D7/$D$5</f>
        <v>0.03311614579755522</v>
      </c>
    </row>
    <row r="8" spans="1:18" ht="12.75">
      <c r="A8" s="64" t="s">
        <v>54</v>
      </c>
      <c r="B8" s="64" t="s">
        <v>71</v>
      </c>
      <c r="C8" s="64" t="s">
        <v>72</v>
      </c>
      <c r="D8" s="52">
        <f t="shared" si="1"/>
        <v>424460.83</v>
      </c>
      <c r="E8" s="66">
        <v>424460.83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8">
        <f t="shared" si="2"/>
        <v>0.0035187574116460193</v>
      </c>
    </row>
    <row r="9" spans="1:18" ht="12.75">
      <c r="A9" s="64" t="s">
        <v>54</v>
      </c>
      <c r="B9" s="64" t="s">
        <v>123</v>
      </c>
      <c r="C9" s="64" t="s">
        <v>74</v>
      </c>
      <c r="D9" s="52">
        <f t="shared" si="1"/>
        <v>145378.6</v>
      </c>
      <c r="E9" s="66">
        <f>38543.26+76170.64+30664.7</f>
        <v>145378.6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8">
        <f t="shared" si="2"/>
        <v>0.001205180761307756</v>
      </c>
    </row>
    <row r="10" spans="1:18" ht="12.75">
      <c r="A10" s="64" t="s">
        <v>55</v>
      </c>
      <c r="B10" s="64" t="s">
        <v>75</v>
      </c>
      <c r="C10" s="64" t="s">
        <v>70</v>
      </c>
      <c r="D10" s="52">
        <f t="shared" si="1"/>
        <v>644111.0900000001</v>
      </c>
      <c r="E10" s="66"/>
      <c r="F10" s="66">
        <f>91850.75+20067.79+520650.28+11542.27</f>
        <v>644111.0900000001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8">
        <f t="shared" si="2"/>
        <v>0.005339646232753435</v>
      </c>
    </row>
    <row r="11" spans="1:18" ht="12.75">
      <c r="A11" s="64" t="s">
        <v>55</v>
      </c>
      <c r="B11" s="64" t="s">
        <v>71</v>
      </c>
      <c r="C11" s="64" t="s">
        <v>76</v>
      </c>
      <c r="D11" s="52">
        <f t="shared" si="1"/>
        <v>3934025.45</v>
      </c>
      <c r="E11" s="66"/>
      <c r="F11" s="66">
        <f>2933123.54+1000901.91</f>
        <v>3934025.45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8">
        <f t="shared" si="2"/>
        <v>0.032612859023508876</v>
      </c>
    </row>
    <row r="12" spans="1:18" ht="12.75">
      <c r="A12" s="64" t="s">
        <v>55</v>
      </c>
      <c r="B12" s="64" t="s">
        <v>77</v>
      </c>
      <c r="C12" s="64" t="s">
        <v>74</v>
      </c>
      <c r="D12" s="52">
        <f t="shared" si="1"/>
        <v>187747.03</v>
      </c>
      <c r="E12" s="66"/>
      <c r="F12" s="66">
        <f>18047.77+18954+41328.2+28000+81417.06</f>
        <v>187747.03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8">
        <f t="shared" si="2"/>
        <v>0.0015564127632861377</v>
      </c>
    </row>
    <row r="13" spans="1:18" ht="12.75">
      <c r="A13" s="64" t="s">
        <v>55</v>
      </c>
      <c r="B13" s="64" t="s">
        <v>119</v>
      </c>
      <c r="C13" s="64" t="s">
        <v>120</v>
      </c>
      <c r="D13" s="52">
        <f t="shared" si="1"/>
        <v>304783.75</v>
      </c>
      <c r="E13" s="66"/>
      <c r="F13" s="66">
        <f>304783.75</f>
        <v>304783.75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8">
        <f t="shared" si="2"/>
        <v>0.0025266408663945916</v>
      </c>
    </row>
    <row r="14" spans="1:18" ht="12.75">
      <c r="A14" s="64" t="s">
        <v>56</v>
      </c>
      <c r="B14" s="64" t="s">
        <v>75</v>
      </c>
      <c r="C14" s="64" t="s">
        <v>70</v>
      </c>
      <c r="D14" s="52">
        <f t="shared" si="1"/>
        <v>100611</v>
      </c>
      <c r="E14" s="66"/>
      <c r="F14" s="66"/>
      <c r="G14" s="65">
        <f>56077+44534</f>
        <v>100611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>
        <f t="shared" si="2"/>
        <v>0.000834059769291592</v>
      </c>
    </row>
    <row r="15" spans="1:18" ht="12.75">
      <c r="A15" s="64" t="s">
        <v>57</v>
      </c>
      <c r="B15" s="64" t="s">
        <v>117</v>
      </c>
      <c r="C15" s="64" t="s">
        <v>70</v>
      </c>
      <c r="D15" s="52">
        <f t="shared" si="1"/>
        <v>749817.8999999999</v>
      </c>
      <c r="E15" s="66"/>
      <c r="F15" s="66"/>
      <c r="G15" s="65"/>
      <c r="H15" s="66">
        <f>99265.52+134516.85+2500+176366.44+165927.64+170041.45+1200</f>
        <v>749817.8999999999</v>
      </c>
      <c r="I15" s="65"/>
      <c r="J15" s="65"/>
      <c r="K15" s="65"/>
      <c r="L15" s="65"/>
      <c r="M15" s="65"/>
      <c r="N15" s="65"/>
      <c r="O15" s="65"/>
      <c r="P15" s="65"/>
      <c r="Q15" s="65"/>
      <c r="R15" s="8">
        <f t="shared" si="2"/>
        <v>0.006215949992393535</v>
      </c>
    </row>
    <row r="16" spans="1:18" ht="12.75">
      <c r="A16" s="64" t="s">
        <v>57</v>
      </c>
      <c r="B16" s="64" t="s">
        <v>82</v>
      </c>
      <c r="C16" s="64" t="s">
        <v>122</v>
      </c>
      <c r="D16" s="52">
        <f t="shared" si="1"/>
        <v>36014.18</v>
      </c>
      <c r="E16" s="66"/>
      <c r="F16" s="66"/>
      <c r="G16" s="65"/>
      <c r="H16" s="66">
        <f>36014.18</f>
        <v>36014.18</v>
      </c>
      <c r="I16" s="65"/>
      <c r="J16" s="65"/>
      <c r="K16" s="65"/>
      <c r="L16" s="65"/>
      <c r="M16" s="65"/>
      <c r="N16" s="65"/>
      <c r="O16" s="65"/>
      <c r="P16" s="65"/>
      <c r="Q16" s="65"/>
      <c r="R16" s="8">
        <f t="shared" si="2"/>
        <v>0.00029855561183196534</v>
      </c>
    </row>
    <row r="17" spans="1:18" ht="12.75">
      <c r="A17" s="64" t="s">
        <v>58</v>
      </c>
      <c r="B17" s="64" t="s">
        <v>114</v>
      </c>
      <c r="C17" s="64" t="s">
        <v>70</v>
      </c>
      <c r="D17" s="52">
        <f t="shared" si="1"/>
        <v>384569.74000000005</v>
      </c>
      <c r="E17" s="66"/>
      <c r="F17" s="66"/>
      <c r="G17" s="65"/>
      <c r="H17" s="66"/>
      <c r="I17" s="66">
        <f>26905.38+72685.58+284978.78</f>
        <v>384569.74000000005</v>
      </c>
      <c r="J17" s="65"/>
      <c r="K17" s="65"/>
      <c r="L17" s="65"/>
      <c r="M17" s="65"/>
      <c r="N17" s="65"/>
      <c r="O17" s="65"/>
      <c r="P17" s="65"/>
      <c r="Q17" s="65"/>
      <c r="R17" s="8">
        <f t="shared" si="2"/>
        <v>0.0031880624247937854</v>
      </c>
    </row>
    <row r="18" spans="1:18" ht="12.75">
      <c r="A18" s="64" t="s">
        <v>59</v>
      </c>
      <c r="B18" s="64" t="s">
        <v>69</v>
      </c>
      <c r="C18" s="64" t="s">
        <v>70</v>
      </c>
      <c r="D18" s="52">
        <f t="shared" si="1"/>
        <v>11475</v>
      </c>
      <c r="E18" s="66"/>
      <c r="F18" s="66"/>
      <c r="G18" s="65"/>
      <c r="H18" s="66"/>
      <c r="I18" s="65"/>
      <c r="J18" s="66">
        <f>11475</f>
        <v>11475</v>
      </c>
      <c r="K18" s="66"/>
      <c r="L18" s="65"/>
      <c r="M18" s="65"/>
      <c r="N18" s="65"/>
      <c r="O18" s="65"/>
      <c r="P18" s="65"/>
      <c r="Q18" s="65"/>
      <c r="R18" s="8">
        <f t="shared" si="2"/>
        <v>9.512713175121028E-05</v>
      </c>
    </row>
    <row r="19" spans="1:18" ht="12.75">
      <c r="A19" s="64" t="s">
        <v>59</v>
      </c>
      <c r="B19" s="64" t="s">
        <v>119</v>
      </c>
      <c r="C19" s="64" t="s">
        <v>74</v>
      </c>
      <c r="D19" s="52">
        <f t="shared" si="1"/>
        <v>19165</v>
      </c>
      <c r="E19" s="66"/>
      <c r="F19" s="66"/>
      <c r="G19" s="65"/>
      <c r="H19" s="66"/>
      <c r="I19" s="65"/>
      <c r="J19" s="66">
        <f>19165</f>
        <v>19165</v>
      </c>
      <c r="K19" s="66"/>
      <c r="L19" s="65"/>
      <c r="M19" s="65"/>
      <c r="N19" s="65"/>
      <c r="O19" s="65"/>
      <c r="P19" s="65"/>
      <c r="Q19" s="65"/>
      <c r="R19" s="8">
        <f t="shared" si="2"/>
        <v>0.00015887681743023487</v>
      </c>
    </row>
    <row r="20" spans="1:18" ht="12.75">
      <c r="A20" s="64" t="s">
        <v>60</v>
      </c>
      <c r="B20" s="64" t="s">
        <v>73</v>
      </c>
      <c r="C20" s="64" t="s">
        <v>78</v>
      </c>
      <c r="D20" s="52">
        <f t="shared" si="1"/>
        <v>365680</v>
      </c>
      <c r="E20" s="66"/>
      <c r="F20" s="66"/>
      <c r="G20" s="65"/>
      <c r="H20" s="66"/>
      <c r="I20" s="65"/>
      <c r="J20" s="66"/>
      <c r="K20" s="66">
        <f>90922.62+274757.38</f>
        <v>365680</v>
      </c>
      <c r="L20" s="65"/>
      <c r="M20" s="65"/>
      <c r="N20" s="65"/>
      <c r="O20" s="65"/>
      <c r="P20" s="65"/>
      <c r="Q20" s="65"/>
      <c r="R20" s="8">
        <f t="shared" si="2"/>
        <v>0.003031467497933122</v>
      </c>
    </row>
    <row r="21" spans="1:18" ht="12.75">
      <c r="A21" s="64" t="s">
        <v>61</v>
      </c>
      <c r="B21" s="64" t="s">
        <v>116</v>
      </c>
      <c r="C21" s="64" t="s">
        <v>70</v>
      </c>
      <c r="D21" s="52">
        <f t="shared" si="1"/>
        <v>295158.75</v>
      </c>
      <c r="E21" s="66"/>
      <c r="F21" s="66"/>
      <c r="G21" s="65"/>
      <c r="H21" s="66"/>
      <c r="I21" s="65"/>
      <c r="J21" s="66"/>
      <c r="K21" s="66"/>
      <c r="L21" s="66">
        <f>7743.75+286415+1000</f>
        <v>295158.75</v>
      </c>
      <c r="M21" s="65"/>
      <c r="N21" s="65"/>
      <c r="O21" s="65"/>
      <c r="P21" s="65"/>
      <c r="Q21" s="65"/>
      <c r="R21" s="8">
        <f t="shared" si="2"/>
        <v>0.0024468501349692844</v>
      </c>
    </row>
    <row r="22" spans="1:18" ht="12.75">
      <c r="A22" s="64" t="s">
        <v>61</v>
      </c>
      <c r="B22" s="64" t="s">
        <v>69</v>
      </c>
      <c r="C22" s="64" t="s">
        <v>74</v>
      </c>
      <c r="D22" s="52">
        <f t="shared" si="1"/>
        <v>53526</v>
      </c>
      <c r="E22" s="66"/>
      <c r="F22" s="66"/>
      <c r="G22" s="65"/>
      <c r="H22" s="66"/>
      <c r="I22" s="65"/>
      <c r="J22" s="66"/>
      <c r="K22" s="66"/>
      <c r="L22" s="66">
        <f>53526</f>
        <v>53526</v>
      </c>
      <c r="M22" s="65"/>
      <c r="N22" s="65"/>
      <c r="O22" s="65"/>
      <c r="P22" s="65"/>
      <c r="Q22" s="65"/>
      <c r="R22" s="8">
        <f t="shared" si="2"/>
        <v>0.0004437276561320507</v>
      </c>
    </row>
    <row r="23" spans="1:18" ht="12.75">
      <c r="A23" s="64" t="s">
        <v>61</v>
      </c>
      <c r="B23" s="64" t="s">
        <v>69</v>
      </c>
      <c r="C23" s="64" t="s">
        <v>80</v>
      </c>
      <c r="D23" s="52">
        <f t="shared" si="1"/>
        <v>21537.53</v>
      </c>
      <c r="E23" s="66"/>
      <c r="F23" s="65"/>
      <c r="G23" s="65"/>
      <c r="H23" s="65"/>
      <c r="I23" s="65"/>
      <c r="J23" s="65"/>
      <c r="K23" s="65"/>
      <c r="L23" s="66">
        <f>6607.32+14930.21</f>
        <v>21537.53</v>
      </c>
      <c r="M23" s="65"/>
      <c r="N23" s="65"/>
      <c r="O23" s="65"/>
      <c r="P23" s="65"/>
      <c r="Q23" s="65"/>
      <c r="R23" s="8">
        <f t="shared" si="2"/>
        <v>0.0001785449633033241</v>
      </c>
    </row>
    <row r="24" spans="1:18" ht="12.75">
      <c r="A24" s="64" t="s">
        <v>62</v>
      </c>
      <c r="B24" s="64" t="s">
        <v>75</v>
      </c>
      <c r="C24" s="64" t="s">
        <v>70</v>
      </c>
      <c r="D24" s="52">
        <f t="shared" si="1"/>
        <v>173215.5</v>
      </c>
      <c r="E24" s="66"/>
      <c r="F24" s="65"/>
      <c r="G24" s="65"/>
      <c r="H24" s="65"/>
      <c r="I24" s="65"/>
      <c r="J24" s="65"/>
      <c r="K24" s="65"/>
      <c r="L24" s="66"/>
      <c r="M24" s="66">
        <f>44756+108040+20419.5</f>
        <v>173215.5</v>
      </c>
      <c r="N24" s="65"/>
      <c r="O24" s="65"/>
      <c r="P24" s="65"/>
      <c r="Q24" s="65"/>
      <c r="R24" s="8">
        <f t="shared" si="2"/>
        <v>0.001435947162514315</v>
      </c>
    </row>
    <row r="25" spans="1:18" ht="12.75">
      <c r="A25" s="64" t="s">
        <v>62</v>
      </c>
      <c r="B25" s="64" t="s">
        <v>79</v>
      </c>
      <c r="C25" s="64" t="s">
        <v>81</v>
      </c>
      <c r="D25" s="52">
        <f t="shared" si="1"/>
        <v>2198876.2399999998</v>
      </c>
      <c r="E25" s="66"/>
      <c r="F25" s="65"/>
      <c r="G25" s="65"/>
      <c r="H25" s="65"/>
      <c r="I25" s="65"/>
      <c r="J25" s="65"/>
      <c r="K25" s="65"/>
      <c r="L25" s="66"/>
      <c r="M25" s="66">
        <f>2002217.97+196658.27</f>
        <v>2198876.2399999998</v>
      </c>
      <c r="N25" s="65"/>
      <c r="O25" s="65"/>
      <c r="P25" s="65"/>
      <c r="Q25" s="65"/>
      <c r="R25" s="8">
        <f t="shared" si="2"/>
        <v>0.01822856555878744</v>
      </c>
    </row>
    <row r="26" spans="1:18" ht="12.75">
      <c r="A26" s="64" t="s">
        <v>62</v>
      </c>
      <c r="B26" s="64" t="s">
        <v>82</v>
      </c>
      <c r="C26" s="64" t="s">
        <v>74</v>
      </c>
      <c r="D26" s="52">
        <f t="shared" si="1"/>
        <v>184219.11</v>
      </c>
      <c r="E26" s="66"/>
      <c r="F26" s="65"/>
      <c r="G26" s="65"/>
      <c r="H26" s="65"/>
      <c r="I26" s="65"/>
      <c r="J26" s="65"/>
      <c r="K26" s="65"/>
      <c r="L26" s="66"/>
      <c r="M26" s="66">
        <f>89978.8+94240.31</f>
        <v>184219.11</v>
      </c>
      <c r="N26" s="65"/>
      <c r="O26" s="65"/>
      <c r="P26" s="65"/>
      <c r="Q26" s="65"/>
      <c r="R26" s="8">
        <f t="shared" si="2"/>
        <v>0.001527166496563024</v>
      </c>
    </row>
    <row r="27" spans="1:18" ht="12.75">
      <c r="A27" s="64" t="s">
        <v>63</v>
      </c>
      <c r="B27" s="64" t="s">
        <v>75</v>
      </c>
      <c r="C27" s="64" t="s">
        <v>70</v>
      </c>
      <c r="D27" s="52">
        <f t="shared" si="1"/>
        <v>72272</v>
      </c>
      <c r="E27" s="66"/>
      <c r="F27" s="65"/>
      <c r="G27" s="65"/>
      <c r="H27" s="65"/>
      <c r="I27" s="65"/>
      <c r="J27" s="65"/>
      <c r="K27" s="65"/>
      <c r="L27" s="66"/>
      <c r="M27" s="66"/>
      <c r="N27" s="66">
        <f>24788.48+38594.7+8888.82</f>
        <v>72272</v>
      </c>
      <c r="O27" s="65"/>
      <c r="P27" s="65"/>
      <c r="Q27" s="65"/>
      <c r="R27" s="8">
        <f t="shared" si="2"/>
        <v>0.0005991309861371215</v>
      </c>
    </row>
    <row r="28" spans="1:18" ht="12.75">
      <c r="A28" s="64" t="s">
        <v>63</v>
      </c>
      <c r="B28" s="64" t="s">
        <v>69</v>
      </c>
      <c r="C28" s="64" t="s">
        <v>74</v>
      </c>
      <c r="D28" s="52">
        <f t="shared" si="1"/>
        <v>59281.71</v>
      </c>
      <c r="E28" s="66"/>
      <c r="F28" s="65"/>
      <c r="G28" s="65"/>
      <c r="H28" s="65"/>
      <c r="I28" s="65"/>
      <c r="J28" s="65"/>
      <c r="K28" s="65"/>
      <c r="L28" s="66"/>
      <c r="M28" s="66"/>
      <c r="N28" s="66">
        <f>59281.71</f>
        <v>59281.71</v>
      </c>
      <c r="O28" s="65"/>
      <c r="P28" s="65"/>
      <c r="Q28" s="65"/>
      <c r="R28" s="8">
        <f t="shared" si="2"/>
        <v>0.0004914421819265394</v>
      </c>
    </row>
    <row r="29" spans="1:18" ht="12.75">
      <c r="A29" s="64" t="s">
        <v>64</v>
      </c>
      <c r="B29" s="64" t="s">
        <v>118</v>
      </c>
      <c r="C29" s="64" t="s">
        <v>70</v>
      </c>
      <c r="D29" s="52">
        <f t="shared" si="1"/>
        <v>541025.88</v>
      </c>
      <c r="E29" s="66"/>
      <c r="F29" s="65"/>
      <c r="G29" s="65"/>
      <c r="H29" s="65"/>
      <c r="I29" s="65"/>
      <c r="J29" s="65"/>
      <c r="K29" s="65"/>
      <c r="L29" s="66"/>
      <c r="M29" s="66"/>
      <c r="N29" s="66"/>
      <c r="O29" s="66">
        <f>53280.93+396553.33+91191.62</f>
        <v>541025.88</v>
      </c>
      <c r="P29" s="65"/>
      <c r="Q29" s="65"/>
      <c r="R29" s="8">
        <f t="shared" si="2"/>
        <v>0.004485075395867058</v>
      </c>
    </row>
    <row r="30" spans="1:18" ht="12.75">
      <c r="A30" s="64" t="s">
        <v>65</v>
      </c>
      <c r="B30" s="64" t="s">
        <v>83</v>
      </c>
      <c r="C30" s="64" t="s">
        <v>70</v>
      </c>
      <c r="D30" s="52">
        <f t="shared" si="1"/>
        <v>1560607.0799999998</v>
      </c>
      <c r="E30" s="66"/>
      <c r="F30" s="65"/>
      <c r="G30" s="65"/>
      <c r="H30" s="65"/>
      <c r="I30" s="65"/>
      <c r="J30" s="65"/>
      <c r="K30" s="65"/>
      <c r="L30" s="66"/>
      <c r="M30" s="66"/>
      <c r="N30" s="66"/>
      <c r="O30" s="65"/>
      <c r="P30" s="66">
        <f>209782.92+900000+74424+112561+3315+22968.15+216303.98+7979.03+9278+3995</f>
        <v>1560607.0799999998</v>
      </c>
      <c r="Q30" s="65"/>
      <c r="R30" s="8">
        <f t="shared" si="2"/>
        <v>0.012937348610983142</v>
      </c>
    </row>
    <row r="31" spans="1:18" ht="12.75">
      <c r="A31" s="64" t="s">
        <v>65</v>
      </c>
      <c r="B31" s="64" t="s">
        <v>69</v>
      </c>
      <c r="C31" s="64" t="s">
        <v>115</v>
      </c>
      <c r="D31" s="52">
        <f t="shared" si="1"/>
        <v>16000</v>
      </c>
      <c r="E31" s="66"/>
      <c r="F31" s="65"/>
      <c r="G31" s="65"/>
      <c r="H31" s="65"/>
      <c r="I31" s="65"/>
      <c r="J31" s="65"/>
      <c r="K31" s="65"/>
      <c r="L31" s="66"/>
      <c r="M31" s="66"/>
      <c r="N31" s="66"/>
      <c r="O31" s="65"/>
      <c r="P31" s="66">
        <f>16000</f>
        <v>16000</v>
      </c>
      <c r="Q31" s="65"/>
      <c r="R31" s="8">
        <f t="shared" si="2"/>
        <v>0.00013263913795375727</v>
      </c>
    </row>
    <row r="32" spans="1:19" ht="12.75">
      <c r="A32" s="64" t="s">
        <v>66</v>
      </c>
      <c r="B32" s="64" t="s">
        <v>121</v>
      </c>
      <c r="C32" s="64" t="s">
        <v>70</v>
      </c>
      <c r="D32" s="52">
        <f t="shared" si="1"/>
        <v>755922.46</v>
      </c>
      <c r="E32" s="66"/>
      <c r="F32" s="65"/>
      <c r="G32" s="65"/>
      <c r="H32" s="65"/>
      <c r="I32" s="65"/>
      <c r="J32" s="65"/>
      <c r="K32" s="65"/>
      <c r="L32" s="66"/>
      <c r="M32" s="66"/>
      <c r="N32" s="66"/>
      <c r="O32" s="65"/>
      <c r="P32" s="66"/>
      <c r="Q32" s="66">
        <f>33775+205471.69+46860+231623.37+238192.4</f>
        <v>755922.46</v>
      </c>
      <c r="R32" s="8">
        <f t="shared" si="2"/>
        <v>0.0062665564658927215</v>
      </c>
      <c r="S32" s="8"/>
    </row>
    <row r="33" spans="1:19" ht="12.75">
      <c r="A33" s="64" t="s">
        <v>66</v>
      </c>
      <c r="B33" s="64" t="s">
        <v>119</v>
      </c>
      <c r="C33" s="64" t="s">
        <v>74</v>
      </c>
      <c r="D33" s="52">
        <f t="shared" si="1"/>
        <v>53341</v>
      </c>
      <c r="E33" s="66"/>
      <c r="F33" s="65"/>
      <c r="G33" s="65"/>
      <c r="H33" s="65"/>
      <c r="I33" s="65"/>
      <c r="J33" s="65"/>
      <c r="K33" s="65"/>
      <c r="L33" s="66"/>
      <c r="M33" s="66"/>
      <c r="N33" s="66"/>
      <c r="O33" s="65"/>
      <c r="P33" s="66"/>
      <c r="Q33" s="66">
        <f>53341</f>
        <v>53341</v>
      </c>
      <c r="R33" s="8">
        <f t="shared" si="2"/>
        <v>0.0004421940160994604</v>
      </c>
      <c r="S33" s="8">
        <f>SUM(R7:R33)</f>
        <v>0.14331293086900673</v>
      </c>
    </row>
    <row r="34" spans="1:18" ht="12.75">
      <c r="A34" s="2" t="s">
        <v>54</v>
      </c>
      <c r="B34" s="2" t="s">
        <v>84</v>
      </c>
      <c r="C34" t="s">
        <v>85</v>
      </c>
      <c r="D34" s="52">
        <f t="shared" si="1"/>
        <v>2048379.4</v>
      </c>
      <c r="E34" s="52">
        <f>10002.14+886205.21+500553.64+651618.41</f>
        <v>2048379.4</v>
      </c>
      <c r="R34" s="8">
        <f t="shared" si="2"/>
        <v>0.016980954863639656</v>
      </c>
    </row>
    <row r="35" spans="1:18" ht="12.75">
      <c r="A35" s="2" t="s">
        <v>54</v>
      </c>
      <c r="B35" s="2" t="s">
        <v>86</v>
      </c>
      <c r="C35" s="67" t="s">
        <v>87</v>
      </c>
      <c r="D35" s="52">
        <f t="shared" si="1"/>
        <v>487866.4</v>
      </c>
      <c r="E35" s="52">
        <f>460888.88+26977.52</f>
        <v>487866.4</v>
      </c>
      <c r="R35" s="8">
        <f t="shared" si="2"/>
        <v>0.004044386170787683</v>
      </c>
    </row>
    <row r="36" spans="1:18" ht="12.75">
      <c r="A36" s="2" t="s">
        <v>54</v>
      </c>
      <c r="B36" s="2" t="s">
        <v>88</v>
      </c>
      <c r="C36" s="67" t="s">
        <v>87</v>
      </c>
      <c r="D36" s="52">
        <f t="shared" si="1"/>
        <v>120166.78</v>
      </c>
      <c r="E36" s="52">
        <f>1780.15+118386.63</f>
        <v>120166.78</v>
      </c>
      <c r="R36" s="8">
        <f t="shared" si="2"/>
        <v>0.0009961761318674248</v>
      </c>
    </row>
    <row r="37" spans="1:18" ht="12.75">
      <c r="A37" s="2" t="s">
        <v>54</v>
      </c>
      <c r="B37" s="2" t="s">
        <v>124</v>
      </c>
      <c r="C37" s="67" t="s">
        <v>87</v>
      </c>
      <c r="D37" s="52">
        <f t="shared" si="1"/>
        <v>4396.76</v>
      </c>
      <c r="E37" s="52">
        <f>4396.76</f>
        <v>4396.76</v>
      </c>
      <c r="R37" s="8">
        <f t="shared" si="2"/>
        <v>3.6448903511847615E-05</v>
      </c>
    </row>
    <row r="38" spans="1:18" ht="12.75">
      <c r="A38" s="2" t="s">
        <v>54</v>
      </c>
      <c r="B38" s="2" t="s">
        <v>86</v>
      </c>
      <c r="C38" t="s">
        <v>89</v>
      </c>
      <c r="D38" s="52">
        <f t="shared" si="1"/>
        <v>485.15</v>
      </c>
      <c r="E38" s="52">
        <f>485.15</f>
        <v>485.15</v>
      </c>
      <c r="R38" s="8">
        <f t="shared" si="2"/>
        <v>4.021867361141583E-06</v>
      </c>
    </row>
    <row r="39" spans="1:18" ht="12.75">
      <c r="A39" s="2" t="s">
        <v>54</v>
      </c>
      <c r="B39" s="2" t="s">
        <v>90</v>
      </c>
      <c r="C39" t="s">
        <v>91</v>
      </c>
      <c r="D39" s="52">
        <f t="shared" si="1"/>
        <v>6235335.58</v>
      </c>
      <c r="E39" s="52">
        <f>1066489.48+5168846.1</f>
        <v>6235335.58</v>
      </c>
      <c r="R39" s="8">
        <f aca="true" t="shared" si="3" ref="R39:R60">D39/$D$5</f>
        <v>0.05169059601147444</v>
      </c>
    </row>
    <row r="40" spans="1:18" ht="12.75">
      <c r="A40" s="2" t="s">
        <v>55</v>
      </c>
      <c r="B40" s="2" t="s">
        <v>131</v>
      </c>
      <c r="C40" t="s">
        <v>92</v>
      </c>
      <c r="D40" s="52">
        <f t="shared" si="1"/>
        <v>74913</v>
      </c>
      <c r="F40" s="52">
        <f>35279.75+17502.65+22130.6</f>
        <v>74913</v>
      </c>
      <c r="R40" s="8">
        <f t="shared" si="3"/>
        <v>0.0006210247338456136</v>
      </c>
    </row>
    <row r="41" spans="1:18" ht="12.75">
      <c r="A41" s="2" t="s">
        <v>57</v>
      </c>
      <c r="B41" s="2" t="s">
        <v>98</v>
      </c>
      <c r="C41" t="s">
        <v>129</v>
      </c>
      <c r="D41" s="52">
        <f t="shared" si="1"/>
        <v>87422</v>
      </c>
      <c r="H41" s="52">
        <f>87422</f>
        <v>87422</v>
      </c>
      <c r="R41" s="8">
        <f t="shared" si="3"/>
        <v>0.0007247236698870854</v>
      </c>
    </row>
    <row r="42" spans="1:18" ht="12.75">
      <c r="A42" s="2" t="s">
        <v>58</v>
      </c>
      <c r="B42" s="2" t="s">
        <v>86</v>
      </c>
      <c r="C42" t="s">
        <v>153</v>
      </c>
      <c r="D42" s="52">
        <f t="shared" si="1"/>
        <v>450</v>
      </c>
      <c r="I42" s="52">
        <v>450</v>
      </c>
      <c r="R42" s="8">
        <f t="shared" si="3"/>
        <v>3.7304757549494228E-06</v>
      </c>
    </row>
    <row r="43" spans="1:18" ht="12.75">
      <c r="A43" s="2" t="s">
        <v>58</v>
      </c>
      <c r="B43" s="2" t="s">
        <v>90</v>
      </c>
      <c r="C43" t="s">
        <v>93</v>
      </c>
      <c r="D43" s="52">
        <f t="shared" si="1"/>
        <v>462785.52</v>
      </c>
      <c r="I43" s="52">
        <f>426725.4+36060.12</f>
        <v>462785.52</v>
      </c>
      <c r="R43" s="8">
        <f t="shared" si="3"/>
        <v>0.0038364670268925807</v>
      </c>
    </row>
    <row r="44" spans="1:18" ht="12.75">
      <c r="A44" s="2" t="s">
        <v>58</v>
      </c>
      <c r="B44" s="2" t="s">
        <v>86</v>
      </c>
      <c r="C44" t="s">
        <v>94</v>
      </c>
      <c r="D44" s="52">
        <f t="shared" si="1"/>
        <v>264144.05000000005</v>
      </c>
      <c r="I44" s="52">
        <f>179400.45+84743.6</f>
        <v>264144.05000000005</v>
      </c>
      <c r="R44" s="8">
        <f t="shared" si="3"/>
        <v>0.002189739942975885</v>
      </c>
    </row>
    <row r="45" spans="1:18" ht="12.75">
      <c r="A45" s="2" t="s">
        <v>58</v>
      </c>
      <c r="B45" s="2" t="s">
        <v>126</v>
      </c>
      <c r="C45" t="s">
        <v>95</v>
      </c>
      <c r="D45" s="52">
        <f t="shared" si="1"/>
        <v>2920294.5300000003</v>
      </c>
      <c r="I45" s="52">
        <f>207807.81+1728142.51+984344.21</f>
        <v>2920294.5300000003</v>
      </c>
      <c r="R45" s="8">
        <f t="shared" si="3"/>
        <v>0.024209084314392046</v>
      </c>
    </row>
    <row r="46" spans="1:18" ht="12.75">
      <c r="A46" s="2" t="s">
        <v>58</v>
      </c>
      <c r="B46" s="2" t="s">
        <v>82</v>
      </c>
      <c r="C46" t="s">
        <v>132</v>
      </c>
      <c r="D46" s="52">
        <f t="shared" si="1"/>
        <v>21410.85</v>
      </c>
      <c r="I46" s="52">
        <f>21410.85</f>
        <v>21410.85</v>
      </c>
      <c r="R46" s="8">
        <f t="shared" si="3"/>
        <v>0.00017749479292857522</v>
      </c>
    </row>
    <row r="47" spans="1:18" ht="12.75">
      <c r="A47" s="2" t="s">
        <v>58</v>
      </c>
      <c r="B47" s="2" t="s">
        <v>90</v>
      </c>
      <c r="C47" t="s">
        <v>96</v>
      </c>
      <c r="D47" s="52">
        <f t="shared" si="1"/>
        <v>765627.25</v>
      </c>
      <c r="I47" s="52">
        <f>765627.25</f>
        <v>765627.25</v>
      </c>
      <c r="R47" s="8">
        <f t="shared" si="3"/>
        <v>0.0063470086521191125</v>
      </c>
    </row>
    <row r="48" spans="1:18" ht="12.75">
      <c r="A48" s="2" t="s">
        <v>58</v>
      </c>
      <c r="B48" s="2" t="s">
        <v>128</v>
      </c>
      <c r="C48" t="s">
        <v>125</v>
      </c>
      <c r="D48" s="52">
        <f t="shared" si="1"/>
        <v>1803362.85</v>
      </c>
      <c r="I48" s="52">
        <f>503362.85+1300000</f>
        <v>1803362.85</v>
      </c>
      <c r="R48" s="8">
        <f t="shared" si="3"/>
        <v>0.014949780865114429</v>
      </c>
    </row>
    <row r="49" spans="1:18" ht="12.75">
      <c r="A49" s="2" t="s">
        <v>60</v>
      </c>
      <c r="B49" s="2" t="s">
        <v>86</v>
      </c>
      <c r="C49" t="s">
        <v>97</v>
      </c>
      <c r="D49" s="52">
        <f t="shared" si="1"/>
        <v>705907.11</v>
      </c>
      <c r="K49" s="52">
        <f>176757.83+529149.28</f>
        <v>705907.11</v>
      </c>
      <c r="R49" s="8">
        <f t="shared" si="3"/>
        <v>0.005851931909114256</v>
      </c>
    </row>
    <row r="50" spans="1:18" ht="12.75">
      <c r="A50" s="2" t="s">
        <v>61</v>
      </c>
      <c r="B50" s="2" t="s">
        <v>98</v>
      </c>
      <c r="C50" t="s">
        <v>99</v>
      </c>
      <c r="D50" s="52">
        <f t="shared" si="1"/>
        <v>874460.1000000001</v>
      </c>
      <c r="L50" s="52">
        <f>6707.56+867752.54</f>
        <v>874460.1000000001</v>
      </c>
      <c r="R50" s="8">
        <f t="shared" si="3"/>
        <v>0.007249227114934774</v>
      </c>
    </row>
    <row r="51" spans="1:18" ht="12.75">
      <c r="A51" s="2" t="s">
        <v>62</v>
      </c>
      <c r="B51" s="2" t="s">
        <v>90</v>
      </c>
      <c r="C51" t="s">
        <v>100</v>
      </c>
      <c r="D51" s="52">
        <f t="shared" si="1"/>
        <v>101143.5</v>
      </c>
      <c r="M51" s="52">
        <f>86225+14918.5</f>
        <v>101143.5</v>
      </c>
      <c r="R51" s="8">
        <f t="shared" si="3"/>
        <v>0.0008384741656016155</v>
      </c>
    </row>
    <row r="52" spans="1:18" ht="12.75">
      <c r="A52" s="2" t="s">
        <v>63</v>
      </c>
      <c r="B52" s="2" t="s">
        <v>88</v>
      </c>
      <c r="C52" t="s">
        <v>101</v>
      </c>
      <c r="D52" s="52">
        <f t="shared" si="1"/>
        <v>10692089.11</v>
      </c>
      <c r="N52" s="52">
        <f>2747573.98+7944515.13</f>
        <v>10692089.11</v>
      </c>
      <c r="R52" s="8">
        <f t="shared" si="3"/>
        <v>0.08863684265469722</v>
      </c>
    </row>
    <row r="53" spans="1:18" ht="12.75">
      <c r="A53" s="2" t="s">
        <v>64</v>
      </c>
      <c r="B53" s="2" t="s">
        <v>127</v>
      </c>
      <c r="C53" t="s">
        <v>102</v>
      </c>
      <c r="D53" s="52">
        <f t="shared" si="1"/>
        <v>10178862.96</v>
      </c>
      <c r="O53" s="52">
        <f>2404948.21+2329664.01+3022791.16+2300411.67+121047.91</f>
        <v>10178862.96</v>
      </c>
      <c r="R53" s="8">
        <f t="shared" si="3"/>
        <v>0.08438222552273938</v>
      </c>
    </row>
    <row r="54" spans="1:18" ht="12.75">
      <c r="A54" s="2" t="s">
        <v>64</v>
      </c>
      <c r="B54" s="2" t="s">
        <v>86</v>
      </c>
      <c r="C54" t="s">
        <v>103</v>
      </c>
      <c r="D54" s="52">
        <f t="shared" si="1"/>
        <v>241333.83000000002</v>
      </c>
      <c r="O54" s="52">
        <f>79472.42+161861.41</f>
        <v>241333.83000000002</v>
      </c>
      <c r="R54" s="8">
        <f t="shared" si="3"/>
        <v>0.0020006444481424127</v>
      </c>
    </row>
    <row r="55" spans="1:18" ht="12.75">
      <c r="A55" s="2" t="s">
        <v>64</v>
      </c>
      <c r="B55" s="2" t="s">
        <v>104</v>
      </c>
      <c r="C55" t="s">
        <v>105</v>
      </c>
      <c r="D55" s="52">
        <f t="shared" si="1"/>
        <v>17290329.12</v>
      </c>
      <c r="O55" s="52">
        <f>6751923.04+10538406.08</f>
        <v>17290329.12</v>
      </c>
      <c r="R55" s="8">
        <f t="shared" si="3"/>
        <v>0.14333589683834666</v>
      </c>
    </row>
    <row r="56" spans="1:18" ht="12.75">
      <c r="A56" s="2" t="s">
        <v>65</v>
      </c>
      <c r="B56" s="2" t="s">
        <v>106</v>
      </c>
      <c r="C56" t="s">
        <v>107</v>
      </c>
      <c r="D56" s="52">
        <f t="shared" si="1"/>
        <v>22233898.2</v>
      </c>
      <c r="P56" s="52">
        <f>5735361.06+16498537.14</f>
        <v>22233898.2</v>
      </c>
      <c r="R56" s="8">
        <f t="shared" si="3"/>
        <v>0.1843178181624747</v>
      </c>
    </row>
    <row r="57" spans="1:18" ht="12.75">
      <c r="A57" s="2" t="s">
        <v>65</v>
      </c>
      <c r="B57" s="2" t="s">
        <v>88</v>
      </c>
      <c r="C57" t="s">
        <v>95</v>
      </c>
      <c r="D57" s="52">
        <f t="shared" si="1"/>
        <v>693759.84</v>
      </c>
      <c r="P57" s="52">
        <f>154588.09+539171.75</f>
        <v>693759.84</v>
      </c>
      <c r="R57" s="8">
        <f t="shared" si="3"/>
        <v>0.005751231695283535</v>
      </c>
    </row>
    <row r="58" spans="1:18" ht="12.75">
      <c r="A58" s="2" t="s">
        <v>65</v>
      </c>
      <c r="B58" s="2" t="s">
        <v>90</v>
      </c>
      <c r="C58" t="s">
        <v>108</v>
      </c>
      <c r="D58" s="52">
        <f t="shared" si="1"/>
        <v>1902291.47</v>
      </c>
      <c r="P58" s="52">
        <f>169072.96+1733218.51</f>
        <v>1902291.47</v>
      </c>
      <c r="R58" s="8">
        <f t="shared" si="3"/>
        <v>0.015769893794849107</v>
      </c>
    </row>
    <row r="59" spans="1:18" ht="12.75">
      <c r="A59" s="2" t="s">
        <v>65</v>
      </c>
      <c r="B59" s="2" t="s">
        <v>130</v>
      </c>
      <c r="C59" t="s">
        <v>109</v>
      </c>
      <c r="D59" s="52">
        <f t="shared" si="1"/>
        <v>13427692.74</v>
      </c>
      <c r="P59" s="52">
        <f>6985220.3+45968.4+6367206.44+29297.6</f>
        <v>13427692.74</v>
      </c>
      <c r="R59" s="8">
        <f t="shared" si="3"/>
        <v>0.11131484935884531</v>
      </c>
    </row>
    <row r="60" spans="1:19" ht="12.75">
      <c r="A60" s="2" t="s">
        <v>65</v>
      </c>
      <c r="B60" s="2" t="s">
        <v>98</v>
      </c>
      <c r="C60" t="s">
        <v>110</v>
      </c>
      <c r="D60" s="52">
        <f t="shared" si="1"/>
        <v>9701678.860000001</v>
      </c>
      <c r="P60" s="52">
        <f>430704.14+9270974.72</f>
        <v>9701678.860000001</v>
      </c>
      <c r="R60" s="8">
        <f t="shared" si="3"/>
        <v>0.08042639504341191</v>
      </c>
      <c r="S60" s="8">
        <f>SUM(R34:R60)</f>
        <v>0.8566870691309932</v>
      </c>
    </row>
    <row r="61" spans="5:18" ht="12.75"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/>
    </row>
    <row r="62" spans="2:18" s="8" customFormat="1" ht="13.5" thickBot="1">
      <c r="B62" s="70"/>
      <c r="C62" s="71" t="s">
        <v>111</v>
      </c>
      <c r="D62" s="72">
        <f>SUM(E62:Q62)</f>
        <v>1.0000000000000002</v>
      </c>
      <c r="E62" s="73">
        <f>E5/D5</f>
        <v>0.11159266791915119</v>
      </c>
      <c r="F62" s="73">
        <f>F5/D5</f>
        <v>0.042656583619788656</v>
      </c>
      <c r="G62" s="73">
        <f>G5/D5</f>
        <v>0.000834059769291592</v>
      </c>
      <c r="H62" s="73">
        <f>H5/D5</f>
        <v>0.007239229274112586</v>
      </c>
      <c r="I62" s="73">
        <f>I5/D5</f>
        <v>0.05490136849497137</v>
      </c>
      <c r="J62" s="73">
        <f>J5/D5</f>
        <v>0.0002540039491814451</v>
      </c>
      <c r="K62" s="73">
        <f>K5/D5</f>
        <v>0.008883399407047377</v>
      </c>
      <c r="L62" s="73">
        <f>L5/D5</f>
        <v>0.010318349869339433</v>
      </c>
      <c r="M62" s="73">
        <f>M5/D5</f>
        <v>0.02203015338346639</v>
      </c>
      <c r="N62" s="73">
        <f>N5/D5</f>
        <v>0.08972741582276089</v>
      </c>
      <c r="O62" s="73">
        <f>O5/D5</f>
        <v>0.23420384220509552</v>
      </c>
      <c r="P62" s="73">
        <f>P5/D5</f>
        <v>0.4106501758038014</v>
      </c>
      <c r="Q62" s="73">
        <f>Q5/D5</f>
        <v>0.006708750481992183</v>
      </c>
      <c r="R62" s="73">
        <f>SUM(R6:R61)</f>
        <v>1</v>
      </c>
    </row>
    <row r="63" spans="1:18" s="8" customFormat="1" ht="13.5" thickTop="1">
      <c r="A63" s="74"/>
      <c r="C63" s="7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</sheetData>
  <sheetProtection/>
  <printOptions/>
  <pageMargins left="0" right="0" top="0.25" bottom="0.5" header="0.5" footer="0.25"/>
  <pageSetup horizontalDpi="600" verticalDpi="600" orientation="landscape" paperSize="5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0" sqref="C50"/>
    </sheetView>
  </sheetViews>
  <sheetFormatPr defaultColWidth="8.7109375" defaultRowHeight="12.75"/>
  <cols>
    <col min="1" max="1" width="8.7109375" style="0" customWidth="1"/>
    <col min="2" max="5" width="13.7109375" style="0" customWidth="1"/>
    <col min="6" max="6" width="5.28125" style="0" customWidth="1"/>
    <col min="7" max="9" width="9.28125" style="0" bestFit="1" customWidth="1"/>
    <col min="10" max="10" width="12.28125" style="0" customWidth="1"/>
    <col min="11" max="11" width="3.710937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5" spans="2:12" ht="12.75">
      <c r="B5" s="80">
        <v>1</v>
      </c>
      <c r="G5" s="80">
        <v>0.83</v>
      </c>
      <c r="L5" s="80">
        <v>0.17</v>
      </c>
    </row>
    <row r="6" spans="2:15" ht="12.75">
      <c r="B6" s="43" t="s">
        <v>138</v>
      </c>
      <c r="C6" s="14"/>
      <c r="D6" s="15"/>
      <c r="E6" s="12"/>
      <c r="G6" s="78" t="s">
        <v>158</v>
      </c>
      <c r="H6" s="14"/>
      <c r="I6" s="15"/>
      <c r="J6" s="79"/>
      <c r="L6" s="78" t="s">
        <v>159</v>
      </c>
      <c r="M6" s="14"/>
      <c r="N6" s="15"/>
      <c r="O6" s="79"/>
    </row>
    <row r="7" spans="2:15" ht="12.75">
      <c r="B7" s="48"/>
      <c r="C7" s="8">
        <v>0</v>
      </c>
      <c r="D7" s="25">
        <v>0.0008341</v>
      </c>
      <c r="E7" s="77" t="s">
        <v>156</v>
      </c>
      <c r="G7" s="48"/>
      <c r="H7" s="8"/>
      <c r="I7" s="25">
        <f>D7*G5</f>
        <v>0.000692303</v>
      </c>
      <c r="J7" s="77" t="s">
        <v>156</v>
      </c>
      <c r="L7" s="48"/>
      <c r="M7" s="8"/>
      <c r="N7" s="25">
        <f>D7-I7</f>
        <v>0.00014179700000000004</v>
      </c>
      <c r="O7" s="77" t="s">
        <v>156</v>
      </c>
    </row>
    <row r="8" spans="2:15" ht="12.75">
      <c r="B8" s="32" t="s">
        <v>29</v>
      </c>
      <c r="C8" s="32" t="s">
        <v>30</v>
      </c>
      <c r="D8" s="32" t="s">
        <v>31</v>
      </c>
      <c r="E8" s="32" t="s">
        <v>157</v>
      </c>
      <c r="G8" s="32" t="s">
        <v>29</v>
      </c>
      <c r="H8" s="32" t="s">
        <v>30</v>
      </c>
      <c r="I8" s="32" t="s">
        <v>31</v>
      </c>
      <c r="J8" s="32" t="s">
        <v>157</v>
      </c>
      <c r="L8" s="32" t="s">
        <v>29</v>
      </c>
      <c r="M8" s="32" t="s">
        <v>30</v>
      </c>
      <c r="N8" s="32" t="s">
        <v>31</v>
      </c>
      <c r="O8" s="32" t="s">
        <v>157</v>
      </c>
    </row>
    <row r="9" spans="1:15" ht="12.75">
      <c r="A9" s="35">
        <v>40452</v>
      </c>
      <c r="B9" s="39"/>
      <c r="C9" s="39">
        <v>0</v>
      </c>
      <c r="D9" s="39">
        <v>0</v>
      </c>
      <c r="E9" s="39">
        <v>59.50552810000001</v>
      </c>
      <c r="G9" s="76"/>
      <c r="H9" s="76"/>
      <c r="I9" s="76">
        <f>SUM(G9:H9)</f>
        <v>0</v>
      </c>
      <c r="J9" s="76">
        <f>$G$5*$E9</f>
        <v>49.389588323000005</v>
      </c>
      <c r="L9" s="81"/>
      <c r="M9" s="81"/>
      <c r="N9" s="81">
        <f>SUM(L9:M9)</f>
        <v>0</v>
      </c>
      <c r="O9" s="76">
        <f>E9-J9</f>
        <v>10.115939777000001</v>
      </c>
    </row>
    <row r="10" spans="1:15" ht="12.75">
      <c r="A10" s="40">
        <v>40634</v>
      </c>
      <c r="B10" s="5">
        <v>3528.2430000000004</v>
      </c>
      <c r="C10" s="5">
        <v>1671.5530820000001</v>
      </c>
      <c r="D10" s="5">
        <v>5199.796082000001</v>
      </c>
      <c r="E10" s="38">
        <v>59.50552810000001</v>
      </c>
      <c r="G10" s="76">
        <f aca="true" t="shared" si="0" ref="G10:G48">$G$5*$B10</f>
        <v>2928.44169</v>
      </c>
      <c r="H10" s="76">
        <f aca="true" t="shared" si="1" ref="H10:H48">$G$5*$C10</f>
        <v>1387.38905806</v>
      </c>
      <c r="I10" s="76">
        <f aca="true" t="shared" si="2" ref="I10:I48">SUM(G10:H10)</f>
        <v>4315.83074806</v>
      </c>
      <c r="J10" s="76">
        <f aca="true" t="shared" si="3" ref="J10:J48">$G$5*$E10</f>
        <v>49.389588323000005</v>
      </c>
      <c r="L10" s="81">
        <f aca="true" t="shared" si="4" ref="L10:L48">B10-G10</f>
        <v>599.8013100000003</v>
      </c>
      <c r="M10" s="81">
        <f aca="true" t="shared" si="5" ref="M10:M48">C10-H10</f>
        <v>284.1640239400001</v>
      </c>
      <c r="N10" s="81">
        <f aca="true" t="shared" si="6" ref="N10:N48">SUM(L10:M10)</f>
        <v>883.9653339400004</v>
      </c>
      <c r="O10" s="76">
        <f aca="true" t="shared" si="7" ref="O10:O47">E10-J10</f>
        <v>10.115939777000001</v>
      </c>
    </row>
    <row r="11" spans="1:15" ht="12.75">
      <c r="A11" s="40">
        <v>40817</v>
      </c>
      <c r="B11" s="5"/>
      <c r="C11" s="5">
        <v>1618.629437</v>
      </c>
      <c r="D11" s="5">
        <v>1618.629437</v>
      </c>
      <c r="E11" s="38">
        <v>59.50552810000001</v>
      </c>
      <c r="G11" s="76"/>
      <c r="H11" s="76">
        <f t="shared" si="1"/>
        <v>1343.46243271</v>
      </c>
      <c r="I11" s="76">
        <f t="shared" si="2"/>
        <v>1343.46243271</v>
      </c>
      <c r="J11" s="76">
        <f t="shared" si="3"/>
        <v>49.389588323000005</v>
      </c>
      <c r="L11" s="81"/>
      <c r="M11" s="81">
        <f t="shared" si="5"/>
        <v>275.16700429</v>
      </c>
      <c r="N11" s="81">
        <f t="shared" si="6"/>
        <v>275.16700429</v>
      </c>
      <c r="O11" s="76">
        <f t="shared" si="7"/>
        <v>10.115939777000001</v>
      </c>
    </row>
    <row r="12" spans="1:15" ht="12.75">
      <c r="A12" s="40">
        <v>41000</v>
      </c>
      <c r="B12" s="5">
        <v>3707.5745</v>
      </c>
      <c r="C12" s="5">
        <v>1618.629437</v>
      </c>
      <c r="D12" s="5">
        <v>5326.203937</v>
      </c>
      <c r="E12" s="38">
        <v>59.50552810000001</v>
      </c>
      <c r="G12" s="76">
        <f t="shared" si="0"/>
        <v>3077.286835</v>
      </c>
      <c r="H12" s="76">
        <f t="shared" si="1"/>
        <v>1343.46243271</v>
      </c>
      <c r="I12" s="76">
        <f t="shared" si="2"/>
        <v>4420.74926771</v>
      </c>
      <c r="J12" s="76">
        <f t="shared" si="3"/>
        <v>49.389588323000005</v>
      </c>
      <c r="L12" s="81">
        <f t="shared" si="4"/>
        <v>630.2876650000003</v>
      </c>
      <c r="M12" s="81">
        <f t="shared" si="5"/>
        <v>275.16700429</v>
      </c>
      <c r="N12" s="81">
        <f t="shared" si="6"/>
        <v>905.4546692900003</v>
      </c>
      <c r="O12" s="76">
        <f t="shared" si="7"/>
        <v>10.115939777000001</v>
      </c>
    </row>
    <row r="13" spans="1:15" ht="12.75">
      <c r="A13" s="40">
        <v>41183</v>
      </c>
      <c r="B13" s="5"/>
      <c r="C13" s="5">
        <v>1563.0158195000001</v>
      </c>
      <c r="D13" s="5">
        <v>1563.0158195000001</v>
      </c>
      <c r="E13" s="38">
        <v>59.50552810000001</v>
      </c>
      <c r="G13" s="76"/>
      <c r="H13" s="76">
        <f t="shared" si="1"/>
        <v>1297.303130185</v>
      </c>
      <c r="I13" s="76">
        <f t="shared" si="2"/>
        <v>1297.303130185</v>
      </c>
      <c r="J13" s="76">
        <f t="shared" si="3"/>
        <v>49.389588323000005</v>
      </c>
      <c r="L13" s="81"/>
      <c r="M13" s="81">
        <f t="shared" si="5"/>
        <v>265.71268931500003</v>
      </c>
      <c r="N13" s="81">
        <f t="shared" si="6"/>
        <v>265.71268931500003</v>
      </c>
      <c r="O13" s="76">
        <f t="shared" si="7"/>
        <v>10.115939777000001</v>
      </c>
    </row>
    <row r="14" spans="1:15" ht="12.75">
      <c r="A14" s="40">
        <v>41365</v>
      </c>
      <c r="B14" s="5">
        <v>3816.0075</v>
      </c>
      <c r="C14" s="5">
        <v>1563.0158195000001</v>
      </c>
      <c r="D14" s="5">
        <v>5379.0233195</v>
      </c>
      <c r="E14" s="38">
        <v>59.50552810000001</v>
      </c>
      <c r="G14" s="76">
        <f t="shared" si="0"/>
        <v>3167.286225</v>
      </c>
      <c r="H14" s="76">
        <f t="shared" si="1"/>
        <v>1297.303130185</v>
      </c>
      <c r="I14" s="76">
        <f t="shared" si="2"/>
        <v>4464.589355185</v>
      </c>
      <c r="J14" s="76">
        <f t="shared" si="3"/>
        <v>49.389588323000005</v>
      </c>
      <c r="L14" s="81">
        <f t="shared" si="4"/>
        <v>648.7212750000003</v>
      </c>
      <c r="M14" s="81">
        <f t="shared" si="5"/>
        <v>265.71268931500003</v>
      </c>
      <c r="N14" s="81">
        <f t="shared" si="6"/>
        <v>914.4339643150004</v>
      </c>
      <c r="O14" s="76">
        <f t="shared" si="7"/>
        <v>10.115939777000001</v>
      </c>
    </row>
    <row r="15" spans="1:15" ht="12.75">
      <c r="A15" s="40">
        <v>41548</v>
      </c>
      <c r="B15" s="5"/>
      <c r="C15" s="5">
        <v>1515.3153087</v>
      </c>
      <c r="D15" s="5">
        <v>1515.3153087</v>
      </c>
      <c r="E15" s="38">
        <v>59.50552810000001</v>
      </c>
      <c r="G15" s="76"/>
      <c r="H15" s="76">
        <f t="shared" si="1"/>
        <v>1257.711706221</v>
      </c>
      <c r="I15" s="76">
        <f t="shared" si="2"/>
        <v>1257.711706221</v>
      </c>
      <c r="J15" s="76">
        <f t="shared" si="3"/>
        <v>49.389588323000005</v>
      </c>
      <c r="L15" s="81"/>
      <c r="M15" s="81">
        <f t="shared" si="5"/>
        <v>257.6036024790001</v>
      </c>
      <c r="N15" s="81">
        <f t="shared" si="6"/>
        <v>257.6036024790001</v>
      </c>
      <c r="O15" s="76">
        <f t="shared" si="7"/>
        <v>10.115939777000001</v>
      </c>
    </row>
    <row r="16" spans="1:15" ht="12.75">
      <c r="A16" s="40">
        <v>41730</v>
      </c>
      <c r="B16" s="5">
        <v>3911.929</v>
      </c>
      <c r="C16" s="5">
        <v>1515.3153087</v>
      </c>
      <c r="D16" s="5">
        <v>5427.2443087</v>
      </c>
      <c r="E16" s="38">
        <v>59.50552810000001</v>
      </c>
      <c r="G16" s="76">
        <f t="shared" si="0"/>
        <v>3246.90107</v>
      </c>
      <c r="H16" s="76">
        <f t="shared" si="1"/>
        <v>1257.711706221</v>
      </c>
      <c r="I16" s="76">
        <f t="shared" si="2"/>
        <v>4504.612776221</v>
      </c>
      <c r="J16" s="76">
        <f t="shared" si="3"/>
        <v>49.389588323000005</v>
      </c>
      <c r="L16" s="81">
        <f t="shared" si="4"/>
        <v>665.0279300000002</v>
      </c>
      <c r="M16" s="81">
        <f t="shared" si="5"/>
        <v>257.6036024790001</v>
      </c>
      <c r="N16" s="81">
        <f t="shared" si="6"/>
        <v>922.6315324790003</v>
      </c>
      <c r="O16" s="76">
        <f t="shared" si="7"/>
        <v>10.115939777000001</v>
      </c>
    </row>
    <row r="17" spans="1:15" ht="12.75">
      <c r="A17" s="40">
        <v>41913</v>
      </c>
      <c r="B17" s="5"/>
      <c r="C17" s="5">
        <v>1437.0767287</v>
      </c>
      <c r="D17" s="5">
        <v>1437.0767287</v>
      </c>
      <c r="E17" s="38">
        <v>59.50552810000001</v>
      </c>
      <c r="G17" s="76"/>
      <c r="H17" s="76">
        <f t="shared" si="1"/>
        <v>1192.773684821</v>
      </c>
      <c r="I17" s="76">
        <f t="shared" si="2"/>
        <v>1192.773684821</v>
      </c>
      <c r="J17" s="76">
        <f t="shared" si="3"/>
        <v>49.389588323000005</v>
      </c>
      <c r="L17" s="81"/>
      <c r="M17" s="81">
        <f t="shared" si="5"/>
        <v>244.30304387900014</v>
      </c>
      <c r="N17" s="81">
        <f t="shared" si="6"/>
        <v>244.30304387900014</v>
      </c>
      <c r="O17" s="76">
        <f t="shared" si="7"/>
        <v>10.115939777000001</v>
      </c>
    </row>
    <row r="18" spans="1:15" ht="12.75">
      <c r="A18" s="40">
        <v>42095</v>
      </c>
      <c r="B18" s="5">
        <v>4070.4080000000004</v>
      </c>
      <c r="C18" s="5">
        <v>1437.0767287</v>
      </c>
      <c r="D18" s="5">
        <v>5507.4847287</v>
      </c>
      <c r="E18" s="38">
        <v>59.50552810000001</v>
      </c>
      <c r="G18" s="76">
        <f t="shared" si="0"/>
        <v>3378.4386400000003</v>
      </c>
      <c r="H18" s="76">
        <f t="shared" si="1"/>
        <v>1192.773684821</v>
      </c>
      <c r="I18" s="76">
        <f t="shared" si="2"/>
        <v>4571.212324821</v>
      </c>
      <c r="J18" s="76">
        <f t="shared" si="3"/>
        <v>49.389588323000005</v>
      </c>
      <c r="L18" s="81">
        <f t="shared" si="4"/>
        <v>691.96936</v>
      </c>
      <c r="M18" s="81">
        <f t="shared" si="5"/>
        <v>244.30304387900014</v>
      </c>
      <c r="N18" s="81">
        <f t="shared" si="6"/>
        <v>936.2724038790002</v>
      </c>
      <c r="O18" s="76">
        <f t="shared" si="7"/>
        <v>10.115939777000001</v>
      </c>
    </row>
    <row r="19" spans="1:15" ht="12.75">
      <c r="A19" s="40">
        <v>42278</v>
      </c>
      <c r="B19" s="5"/>
      <c r="C19" s="5">
        <v>1355.6685687000002</v>
      </c>
      <c r="D19" s="5">
        <v>1355.6685687000002</v>
      </c>
      <c r="E19" s="38">
        <v>59.50552810000001</v>
      </c>
      <c r="G19" s="76"/>
      <c r="H19" s="76">
        <f t="shared" si="1"/>
        <v>1125.2049120210002</v>
      </c>
      <c r="I19" s="76">
        <f t="shared" si="2"/>
        <v>1125.2049120210002</v>
      </c>
      <c r="J19" s="76">
        <f t="shared" si="3"/>
        <v>49.389588323000005</v>
      </c>
      <c r="L19" s="81"/>
      <c r="M19" s="81">
        <f t="shared" si="5"/>
        <v>230.463656679</v>
      </c>
      <c r="N19" s="81">
        <f t="shared" si="6"/>
        <v>230.463656679</v>
      </c>
      <c r="O19" s="76">
        <f t="shared" si="7"/>
        <v>10.115939777000001</v>
      </c>
    </row>
    <row r="20" spans="1:15" ht="12.75">
      <c r="A20" s="40">
        <v>42461</v>
      </c>
      <c r="B20" s="5">
        <v>4233.0575</v>
      </c>
      <c r="C20" s="5">
        <v>1355.6685687000002</v>
      </c>
      <c r="D20" s="5">
        <v>5588.7260687</v>
      </c>
      <c r="E20" s="38">
        <v>59.50552810000001</v>
      </c>
      <c r="G20" s="76">
        <f t="shared" si="0"/>
        <v>3513.437725</v>
      </c>
      <c r="H20" s="76">
        <f t="shared" si="1"/>
        <v>1125.2049120210002</v>
      </c>
      <c r="I20" s="76">
        <f t="shared" si="2"/>
        <v>4638.642637021</v>
      </c>
      <c r="J20" s="76">
        <f t="shared" si="3"/>
        <v>49.389588323000005</v>
      </c>
      <c r="L20" s="81">
        <f t="shared" si="4"/>
        <v>719.6197750000001</v>
      </c>
      <c r="M20" s="81">
        <f t="shared" si="5"/>
        <v>230.463656679</v>
      </c>
      <c r="N20" s="81">
        <f t="shared" si="6"/>
        <v>950.0834316790001</v>
      </c>
      <c r="O20" s="76">
        <f t="shared" si="7"/>
        <v>10.115939777000001</v>
      </c>
    </row>
    <row r="21" spans="1:15" ht="12.75">
      <c r="A21" s="40">
        <v>42644</v>
      </c>
      <c r="B21" s="5"/>
      <c r="C21" s="5">
        <v>1271.0074187</v>
      </c>
      <c r="D21" s="5">
        <v>1271.0074187</v>
      </c>
      <c r="E21" s="38">
        <v>59.50552810000001</v>
      </c>
      <c r="G21" s="76"/>
      <c r="H21" s="76">
        <f t="shared" si="1"/>
        <v>1054.936157521</v>
      </c>
      <c r="I21" s="76">
        <f t="shared" si="2"/>
        <v>1054.936157521</v>
      </c>
      <c r="J21" s="76">
        <f t="shared" si="3"/>
        <v>49.389588323000005</v>
      </c>
      <c r="L21" s="81"/>
      <c r="M21" s="81">
        <f t="shared" si="5"/>
        <v>216.07126117899998</v>
      </c>
      <c r="N21" s="81">
        <f t="shared" si="6"/>
        <v>216.07126117899998</v>
      </c>
      <c r="O21" s="76">
        <f t="shared" si="7"/>
        <v>10.115939777000001</v>
      </c>
    </row>
    <row r="22" spans="1:15" ht="12.75">
      <c r="A22" s="40">
        <v>42826</v>
      </c>
      <c r="B22" s="5">
        <v>4399.8775000000005</v>
      </c>
      <c r="C22" s="5">
        <v>1271.0074187</v>
      </c>
      <c r="D22" s="5">
        <v>5670.8849187000005</v>
      </c>
      <c r="E22" s="38">
        <v>59.50552810000001</v>
      </c>
      <c r="G22" s="76">
        <f t="shared" si="0"/>
        <v>3651.898325</v>
      </c>
      <c r="H22" s="76">
        <f t="shared" si="1"/>
        <v>1054.936157521</v>
      </c>
      <c r="I22" s="76">
        <f t="shared" si="2"/>
        <v>4706.834482521001</v>
      </c>
      <c r="J22" s="76">
        <f t="shared" si="3"/>
        <v>49.389588323000005</v>
      </c>
      <c r="L22" s="81">
        <f t="shared" si="4"/>
        <v>747.9791750000004</v>
      </c>
      <c r="M22" s="81">
        <f t="shared" si="5"/>
        <v>216.07126117899998</v>
      </c>
      <c r="N22" s="81">
        <f t="shared" si="6"/>
        <v>964.0504361790004</v>
      </c>
      <c r="O22" s="76">
        <f t="shared" si="7"/>
        <v>10.115939777000001</v>
      </c>
    </row>
    <row r="23" spans="1:15" ht="12.75">
      <c r="A23" s="40">
        <v>43009</v>
      </c>
      <c r="B23" s="5"/>
      <c r="C23" s="5">
        <v>1183.0098687</v>
      </c>
      <c r="D23" s="5">
        <v>1183.0098687</v>
      </c>
      <c r="E23" s="38">
        <v>59.50552810000001</v>
      </c>
      <c r="G23" s="76"/>
      <c r="H23" s="76">
        <f t="shared" si="1"/>
        <v>981.8981910209999</v>
      </c>
      <c r="I23" s="76">
        <f t="shared" si="2"/>
        <v>981.8981910209999</v>
      </c>
      <c r="J23" s="76">
        <f t="shared" si="3"/>
        <v>49.389588323000005</v>
      </c>
      <c r="L23" s="81"/>
      <c r="M23" s="81">
        <f t="shared" si="5"/>
        <v>201.11167767900008</v>
      </c>
      <c r="N23" s="81">
        <f t="shared" si="6"/>
        <v>201.11167767900008</v>
      </c>
      <c r="O23" s="76">
        <f t="shared" si="7"/>
        <v>10.115939777000001</v>
      </c>
    </row>
    <row r="24" spans="1:15" ht="12.75">
      <c r="A24" s="40">
        <v>43191</v>
      </c>
      <c r="B24" s="5">
        <v>4575.038500000001</v>
      </c>
      <c r="C24" s="5">
        <v>1183.0098687</v>
      </c>
      <c r="D24" s="5">
        <v>5758.0483687000005</v>
      </c>
      <c r="E24" s="38">
        <v>59.50552810000001</v>
      </c>
      <c r="G24" s="76">
        <f t="shared" si="0"/>
        <v>3797.2819550000004</v>
      </c>
      <c r="H24" s="76">
        <f t="shared" si="1"/>
        <v>981.8981910209999</v>
      </c>
      <c r="I24" s="76">
        <f t="shared" si="2"/>
        <v>4779.180146021</v>
      </c>
      <c r="J24" s="76">
        <f t="shared" si="3"/>
        <v>49.389588323000005</v>
      </c>
      <c r="L24" s="81">
        <f t="shared" si="4"/>
        <v>777.7565450000002</v>
      </c>
      <c r="M24" s="81">
        <f t="shared" si="5"/>
        <v>201.11167767900008</v>
      </c>
      <c r="N24" s="81">
        <f t="shared" si="6"/>
        <v>978.8682226790003</v>
      </c>
      <c r="O24" s="76">
        <f t="shared" si="7"/>
        <v>10.115939777000001</v>
      </c>
    </row>
    <row r="25" spans="1:15" ht="12.75">
      <c r="A25" s="40">
        <v>43374</v>
      </c>
      <c r="B25" s="5"/>
      <c r="C25" s="5">
        <v>1091.5090987</v>
      </c>
      <c r="D25" s="5">
        <v>1091.5090987</v>
      </c>
      <c r="E25" s="38">
        <v>59.50552810000001</v>
      </c>
      <c r="G25" s="76"/>
      <c r="H25" s="76">
        <f t="shared" si="1"/>
        <v>905.952551921</v>
      </c>
      <c r="I25" s="76">
        <f t="shared" si="2"/>
        <v>905.952551921</v>
      </c>
      <c r="J25" s="76">
        <f t="shared" si="3"/>
        <v>49.389588323000005</v>
      </c>
      <c r="L25" s="81"/>
      <c r="M25" s="81">
        <f t="shared" si="5"/>
        <v>185.5565467790001</v>
      </c>
      <c r="N25" s="81">
        <f t="shared" si="6"/>
        <v>185.5565467790001</v>
      </c>
      <c r="O25" s="76">
        <f t="shared" si="7"/>
        <v>10.115939777000001</v>
      </c>
    </row>
    <row r="26" spans="1:15" ht="12.75">
      <c r="A26" s="40">
        <v>43556</v>
      </c>
      <c r="B26" s="5">
        <v>4758.5405</v>
      </c>
      <c r="C26" s="5">
        <v>1091.5090987</v>
      </c>
      <c r="D26" s="5">
        <v>5850.0495987</v>
      </c>
      <c r="E26" s="38">
        <v>59.50552810000001</v>
      </c>
      <c r="G26" s="76">
        <f t="shared" si="0"/>
        <v>3949.5886149999997</v>
      </c>
      <c r="H26" s="76">
        <f t="shared" si="1"/>
        <v>905.952551921</v>
      </c>
      <c r="I26" s="76">
        <f t="shared" si="2"/>
        <v>4855.541166921</v>
      </c>
      <c r="J26" s="76">
        <f t="shared" si="3"/>
        <v>49.389588323000005</v>
      </c>
      <c r="L26" s="81">
        <f t="shared" si="4"/>
        <v>808.9518850000004</v>
      </c>
      <c r="M26" s="81">
        <f t="shared" si="5"/>
        <v>185.5565467790001</v>
      </c>
      <c r="N26" s="81">
        <f t="shared" si="6"/>
        <v>994.5084317790005</v>
      </c>
      <c r="O26" s="76">
        <f t="shared" si="7"/>
        <v>10.115939777000001</v>
      </c>
    </row>
    <row r="27" spans="1:15" ht="12.75">
      <c r="A27" s="40">
        <v>43739</v>
      </c>
      <c r="B27" s="5"/>
      <c r="C27" s="5">
        <v>1024.2355973</v>
      </c>
      <c r="D27" s="5">
        <v>1024.2355973</v>
      </c>
      <c r="E27" s="38">
        <v>59.50552810000001</v>
      </c>
      <c r="G27" s="76"/>
      <c r="H27" s="76">
        <f t="shared" si="1"/>
        <v>850.115545759</v>
      </c>
      <c r="I27" s="76">
        <f t="shared" si="2"/>
        <v>850.115545759</v>
      </c>
      <c r="J27" s="76">
        <f t="shared" si="3"/>
        <v>49.389588323000005</v>
      </c>
      <c r="L27" s="81"/>
      <c r="M27" s="81">
        <f t="shared" si="5"/>
        <v>174.12005154100007</v>
      </c>
      <c r="N27" s="81">
        <f t="shared" si="6"/>
        <v>174.12005154100007</v>
      </c>
      <c r="O27" s="76">
        <f t="shared" si="7"/>
        <v>10.115939777000001</v>
      </c>
    </row>
    <row r="28" spans="1:15" ht="12.75">
      <c r="A28" s="40">
        <v>43922</v>
      </c>
      <c r="B28" s="5">
        <v>4896.167</v>
      </c>
      <c r="C28" s="5">
        <v>1024.2355973</v>
      </c>
      <c r="D28" s="5">
        <v>5920.402597300001</v>
      </c>
      <c r="E28" s="38">
        <v>59.50552810000001</v>
      </c>
      <c r="G28" s="76">
        <f t="shared" si="0"/>
        <v>4063.8186100000003</v>
      </c>
      <c r="H28" s="76">
        <f t="shared" si="1"/>
        <v>850.115545759</v>
      </c>
      <c r="I28" s="76">
        <f t="shared" si="2"/>
        <v>4913.9341557590005</v>
      </c>
      <c r="J28" s="76">
        <f t="shared" si="3"/>
        <v>49.389588323000005</v>
      </c>
      <c r="L28" s="81">
        <f t="shared" si="4"/>
        <v>832.3483900000001</v>
      </c>
      <c r="M28" s="81">
        <f t="shared" si="5"/>
        <v>174.12005154100007</v>
      </c>
      <c r="N28" s="81">
        <f t="shared" si="6"/>
        <v>1006.4684415410002</v>
      </c>
      <c r="O28" s="76">
        <f t="shared" si="7"/>
        <v>10.115939777000001</v>
      </c>
    </row>
    <row r="29" spans="1:15" ht="12.75">
      <c r="A29" s="40">
        <v>44105</v>
      </c>
      <c r="B29" s="5"/>
      <c r="C29" s="5">
        <v>952.6289464</v>
      </c>
      <c r="D29" s="5">
        <v>952.6289464</v>
      </c>
      <c r="E29" s="38">
        <v>59.50552810000001</v>
      </c>
      <c r="G29" s="76"/>
      <c r="H29" s="76">
        <f t="shared" si="1"/>
        <v>790.682025512</v>
      </c>
      <c r="I29" s="76">
        <f t="shared" si="2"/>
        <v>790.682025512</v>
      </c>
      <c r="J29" s="76">
        <f t="shared" si="3"/>
        <v>49.389588323000005</v>
      </c>
      <c r="L29" s="81"/>
      <c r="M29" s="81">
        <f t="shared" si="5"/>
        <v>161.94692088800002</v>
      </c>
      <c r="N29" s="81">
        <f t="shared" si="6"/>
        <v>161.94692088800002</v>
      </c>
      <c r="O29" s="76">
        <f t="shared" si="7"/>
        <v>10.115939777000001</v>
      </c>
    </row>
    <row r="30" spans="1:15" ht="12.75">
      <c r="A30" s="40">
        <v>44287</v>
      </c>
      <c r="B30" s="5">
        <v>5037.964</v>
      </c>
      <c r="C30" s="5">
        <v>952.6289464</v>
      </c>
      <c r="D30" s="5">
        <v>5990.5929464</v>
      </c>
      <c r="E30" s="38">
        <v>59.50552810000001</v>
      </c>
      <c r="G30" s="76">
        <f t="shared" si="0"/>
        <v>4181.51012</v>
      </c>
      <c r="H30" s="76">
        <f t="shared" si="1"/>
        <v>790.682025512</v>
      </c>
      <c r="I30" s="76">
        <f t="shared" si="2"/>
        <v>4972.192145512</v>
      </c>
      <c r="J30" s="76">
        <f t="shared" si="3"/>
        <v>49.389588323000005</v>
      </c>
      <c r="L30" s="81">
        <f t="shared" si="4"/>
        <v>856.45388</v>
      </c>
      <c r="M30" s="81">
        <f t="shared" si="5"/>
        <v>161.94692088800002</v>
      </c>
      <c r="N30" s="81">
        <f t="shared" si="6"/>
        <v>1018.400800888</v>
      </c>
      <c r="O30" s="76">
        <f t="shared" si="7"/>
        <v>10.115939777000001</v>
      </c>
    </row>
    <row r="31" spans="1:15" ht="12.75">
      <c r="A31" s="40">
        <v>44470</v>
      </c>
      <c r="B31" s="5"/>
      <c r="C31" s="5">
        <v>878.9487229</v>
      </c>
      <c r="D31" s="5">
        <v>878.9487229</v>
      </c>
      <c r="E31" s="38">
        <v>59.50552810000001</v>
      </c>
      <c r="G31" s="76"/>
      <c r="H31" s="76">
        <f t="shared" si="1"/>
        <v>729.527440007</v>
      </c>
      <c r="I31" s="76">
        <f t="shared" si="2"/>
        <v>729.527440007</v>
      </c>
      <c r="J31" s="76">
        <f t="shared" si="3"/>
        <v>49.389588323000005</v>
      </c>
      <c r="L31" s="81"/>
      <c r="M31" s="81">
        <f t="shared" si="5"/>
        <v>149.421282893</v>
      </c>
      <c r="N31" s="81">
        <f t="shared" si="6"/>
        <v>149.421282893</v>
      </c>
      <c r="O31" s="76">
        <f t="shared" si="7"/>
        <v>10.115939777000001</v>
      </c>
    </row>
    <row r="32" spans="1:15" ht="12.75">
      <c r="A32" s="40">
        <v>44652</v>
      </c>
      <c r="B32" s="5">
        <v>5183.931500000001</v>
      </c>
      <c r="C32" s="5">
        <v>878.9487229</v>
      </c>
      <c r="D32" s="5">
        <v>6062.8802229</v>
      </c>
      <c r="E32" s="38">
        <v>59.50552810000001</v>
      </c>
      <c r="G32" s="76">
        <f t="shared" si="0"/>
        <v>4302.663145</v>
      </c>
      <c r="H32" s="76">
        <f t="shared" si="1"/>
        <v>729.527440007</v>
      </c>
      <c r="I32" s="76">
        <f t="shared" si="2"/>
        <v>5032.190585007001</v>
      </c>
      <c r="J32" s="76">
        <f t="shared" si="3"/>
        <v>49.389588323000005</v>
      </c>
      <c r="L32" s="81">
        <f t="shared" si="4"/>
        <v>881.2683550000002</v>
      </c>
      <c r="M32" s="81">
        <f t="shared" si="5"/>
        <v>149.421282893</v>
      </c>
      <c r="N32" s="81">
        <f t="shared" si="6"/>
        <v>1030.689637893</v>
      </c>
      <c r="O32" s="76">
        <f t="shared" si="7"/>
        <v>10.115939777000001</v>
      </c>
    </row>
    <row r="33" spans="1:15" ht="12.75">
      <c r="A33" s="40">
        <v>44835</v>
      </c>
      <c r="B33" s="5"/>
      <c r="C33" s="5">
        <v>798.0793915</v>
      </c>
      <c r="D33" s="5">
        <v>798.0793915</v>
      </c>
      <c r="E33" s="38">
        <v>59.50552810000001</v>
      </c>
      <c r="G33" s="76"/>
      <c r="H33" s="76">
        <f t="shared" si="1"/>
        <v>662.405894945</v>
      </c>
      <c r="I33" s="76">
        <f t="shared" si="2"/>
        <v>662.405894945</v>
      </c>
      <c r="J33" s="76">
        <f t="shared" si="3"/>
        <v>49.389588323000005</v>
      </c>
      <c r="L33" s="81"/>
      <c r="M33" s="81">
        <f t="shared" si="5"/>
        <v>135.67349655500004</v>
      </c>
      <c r="N33" s="81">
        <f t="shared" si="6"/>
        <v>135.67349655500004</v>
      </c>
      <c r="O33" s="76">
        <f t="shared" si="7"/>
        <v>10.115939777000001</v>
      </c>
    </row>
    <row r="34" spans="1:15" ht="12.75">
      <c r="A34" s="40">
        <v>45017</v>
      </c>
      <c r="B34" s="5">
        <v>5346.581</v>
      </c>
      <c r="C34" s="5">
        <v>798.0793915</v>
      </c>
      <c r="D34" s="5">
        <v>6144.6603915000005</v>
      </c>
      <c r="E34" s="38">
        <v>59.50552810000001</v>
      </c>
      <c r="G34" s="76">
        <f t="shared" si="0"/>
        <v>4437.66223</v>
      </c>
      <c r="H34" s="76">
        <f t="shared" si="1"/>
        <v>662.405894945</v>
      </c>
      <c r="I34" s="76">
        <f t="shared" si="2"/>
        <v>5100.068124945</v>
      </c>
      <c r="J34" s="76">
        <f t="shared" si="3"/>
        <v>49.389588323000005</v>
      </c>
      <c r="L34" s="81">
        <f t="shared" si="4"/>
        <v>908.9187700000002</v>
      </c>
      <c r="M34" s="81">
        <f t="shared" si="5"/>
        <v>135.67349655500004</v>
      </c>
      <c r="N34" s="81">
        <f t="shared" si="6"/>
        <v>1044.5922665550002</v>
      </c>
      <c r="O34" s="76">
        <f t="shared" si="7"/>
        <v>10.115939777000001</v>
      </c>
    </row>
    <row r="35" spans="1:15" ht="12.75">
      <c r="A35" s="40">
        <v>45200</v>
      </c>
      <c r="B35" s="5"/>
      <c r="C35" s="5">
        <v>713.8035957000001</v>
      </c>
      <c r="D35" s="5">
        <v>713.8035957000001</v>
      </c>
      <c r="E35" s="38">
        <v>59.50552810000001</v>
      </c>
      <c r="G35" s="76"/>
      <c r="H35" s="76">
        <f t="shared" si="1"/>
        <v>592.456984431</v>
      </c>
      <c r="I35" s="76">
        <f t="shared" si="2"/>
        <v>592.456984431</v>
      </c>
      <c r="J35" s="76">
        <f t="shared" si="3"/>
        <v>49.389588323000005</v>
      </c>
      <c r="L35" s="81"/>
      <c r="M35" s="81">
        <f t="shared" si="5"/>
        <v>121.34661126900005</v>
      </c>
      <c r="N35" s="81">
        <f t="shared" si="6"/>
        <v>121.34661126900005</v>
      </c>
      <c r="O35" s="76">
        <f t="shared" si="7"/>
        <v>10.115939777000001</v>
      </c>
    </row>
    <row r="36" spans="1:15" ht="12.75">
      <c r="A36" s="40">
        <v>45383</v>
      </c>
      <c r="B36" s="5">
        <v>5517.5715</v>
      </c>
      <c r="C36" s="5">
        <v>713.8035957000001</v>
      </c>
      <c r="D36" s="5">
        <v>6231.3750957</v>
      </c>
      <c r="E36" s="38">
        <v>59.50552810000001</v>
      </c>
      <c r="G36" s="76">
        <f t="shared" si="0"/>
        <v>4579.584345</v>
      </c>
      <c r="H36" s="76">
        <f t="shared" si="1"/>
        <v>592.456984431</v>
      </c>
      <c r="I36" s="76">
        <f t="shared" si="2"/>
        <v>5172.041329431</v>
      </c>
      <c r="J36" s="76">
        <f t="shared" si="3"/>
        <v>49.389588323000005</v>
      </c>
      <c r="L36" s="81">
        <f t="shared" si="4"/>
        <v>937.9871549999998</v>
      </c>
      <c r="M36" s="81">
        <f t="shared" si="5"/>
        <v>121.34661126900005</v>
      </c>
      <c r="N36" s="81">
        <f t="shared" si="6"/>
        <v>1059.3337662689999</v>
      </c>
      <c r="O36" s="76">
        <f t="shared" si="7"/>
        <v>10.115939777000001</v>
      </c>
    </row>
    <row r="37" spans="1:15" ht="12.75">
      <c r="A37" s="40">
        <v>45566</v>
      </c>
      <c r="B37" s="5"/>
      <c r="C37" s="5">
        <v>625.0395078</v>
      </c>
      <c r="D37" s="5">
        <v>625.0395078</v>
      </c>
      <c r="E37" s="38">
        <v>59.50552810000001</v>
      </c>
      <c r="G37" s="76"/>
      <c r="H37" s="76">
        <f t="shared" si="1"/>
        <v>518.782791474</v>
      </c>
      <c r="I37" s="76">
        <f t="shared" si="2"/>
        <v>518.782791474</v>
      </c>
      <c r="J37" s="76">
        <f t="shared" si="3"/>
        <v>49.389588323000005</v>
      </c>
      <c r="L37" s="81"/>
      <c r="M37" s="81">
        <f t="shared" si="5"/>
        <v>106.25671632600006</v>
      </c>
      <c r="N37" s="81">
        <f t="shared" si="6"/>
        <v>106.25671632600006</v>
      </c>
      <c r="O37" s="76">
        <f t="shared" si="7"/>
        <v>10.115939777000001</v>
      </c>
    </row>
    <row r="38" spans="1:15" ht="12.75">
      <c r="A38" s="40">
        <v>45748</v>
      </c>
      <c r="B38" s="5">
        <v>5692.7325</v>
      </c>
      <c r="C38" s="5">
        <v>625.0395078</v>
      </c>
      <c r="D38" s="5">
        <v>6317.7720078</v>
      </c>
      <c r="E38" s="38">
        <v>59.50552810000001</v>
      </c>
      <c r="G38" s="76">
        <f t="shared" si="0"/>
        <v>4724.967975</v>
      </c>
      <c r="H38" s="76">
        <f t="shared" si="1"/>
        <v>518.782791474</v>
      </c>
      <c r="I38" s="76">
        <f t="shared" si="2"/>
        <v>5243.750766474</v>
      </c>
      <c r="J38" s="76">
        <f t="shared" si="3"/>
        <v>49.389588323000005</v>
      </c>
      <c r="L38" s="81">
        <f t="shared" si="4"/>
        <v>967.7645250000005</v>
      </c>
      <c r="M38" s="81">
        <f t="shared" si="5"/>
        <v>106.25671632600006</v>
      </c>
      <c r="N38" s="81">
        <f t="shared" si="6"/>
        <v>1074.0212413260006</v>
      </c>
      <c r="O38" s="76">
        <f t="shared" si="7"/>
        <v>10.115939777000001</v>
      </c>
    </row>
    <row r="39" spans="1:15" ht="12.75">
      <c r="A39" s="40">
        <v>45931</v>
      </c>
      <c r="B39" s="5"/>
      <c r="C39" s="5">
        <v>531.6077963</v>
      </c>
      <c r="D39" s="5">
        <v>531.6077963</v>
      </c>
      <c r="E39" s="38">
        <v>59.50552810000001</v>
      </c>
      <c r="G39" s="76"/>
      <c r="H39" s="76">
        <f t="shared" si="1"/>
        <v>441.234470929</v>
      </c>
      <c r="I39" s="76">
        <f t="shared" si="2"/>
        <v>441.234470929</v>
      </c>
      <c r="J39" s="76">
        <f t="shared" si="3"/>
        <v>49.389588323000005</v>
      </c>
      <c r="L39" s="81"/>
      <c r="M39" s="81">
        <f t="shared" si="5"/>
        <v>90.37332537100002</v>
      </c>
      <c r="N39" s="81">
        <f t="shared" si="6"/>
        <v>90.37332537100002</v>
      </c>
      <c r="O39" s="76">
        <f t="shared" si="7"/>
        <v>10.115939777000001</v>
      </c>
    </row>
    <row r="40" spans="1:15" ht="12.75">
      <c r="A40" s="40">
        <v>46113</v>
      </c>
      <c r="B40" s="5">
        <v>5880.405000000001</v>
      </c>
      <c r="C40" s="5">
        <v>531.6077963</v>
      </c>
      <c r="D40" s="5">
        <v>6412.0127963</v>
      </c>
      <c r="E40" s="38">
        <v>59.50552810000001</v>
      </c>
      <c r="G40" s="76">
        <f t="shared" si="0"/>
        <v>4880.736150000001</v>
      </c>
      <c r="H40" s="76">
        <f t="shared" si="1"/>
        <v>441.234470929</v>
      </c>
      <c r="I40" s="76">
        <f t="shared" si="2"/>
        <v>5321.970620929001</v>
      </c>
      <c r="J40" s="76">
        <f t="shared" si="3"/>
        <v>49.389588323000005</v>
      </c>
      <c r="L40" s="81">
        <f t="shared" si="4"/>
        <v>999.66885</v>
      </c>
      <c r="M40" s="81">
        <f t="shared" si="5"/>
        <v>90.37332537100002</v>
      </c>
      <c r="N40" s="81">
        <f t="shared" si="6"/>
        <v>1090.042175371</v>
      </c>
      <c r="O40" s="76">
        <f t="shared" si="7"/>
        <v>10.115939777000001</v>
      </c>
    </row>
    <row r="41" spans="1:15" ht="12.75">
      <c r="A41" s="40">
        <v>46296</v>
      </c>
      <c r="B41" s="5"/>
      <c r="C41" s="5">
        <v>436.0516321</v>
      </c>
      <c r="D41" s="5">
        <v>436.0516321</v>
      </c>
      <c r="E41" s="38">
        <v>59.50552810000001</v>
      </c>
      <c r="G41" s="76"/>
      <c r="H41" s="76">
        <f t="shared" si="1"/>
        <v>361.922854643</v>
      </c>
      <c r="I41" s="76">
        <f t="shared" si="2"/>
        <v>361.922854643</v>
      </c>
      <c r="J41" s="76">
        <f t="shared" si="3"/>
        <v>49.389588323000005</v>
      </c>
      <c r="L41" s="81"/>
      <c r="M41" s="81">
        <f t="shared" si="5"/>
        <v>74.12877745700001</v>
      </c>
      <c r="N41" s="81">
        <f t="shared" si="6"/>
        <v>74.12877745700001</v>
      </c>
      <c r="O41" s="76">
        <f t="shared" si="7"/>
        <v>10.115939777000001</v>
      </c>
    </row>
    <row r="42" spans="1:15" ht="12.75">
      <c r="A42" s="40">
        <v>46478</v>
      </c>
      <c r="B42" s="5">
        <v>6072.2480000000005</v>
      </c>
      <c r="C42" s="5">
        <v>436.0516321</v>
      </c>
      <c r="D42" s="5">
        <v>6508.299632100001</v>
      </c>
      <c r="E42" s="38">
        <v>59.50552810000001</v>
      </c>
      <c r="G42" s="76">
        <f t="shared" si="0"/>
        <v>5039.96584</v>
      </c>
      <c r="H42" s="76">
        <f t="shared" si="1"/>
        <v>361.922854643</v>
      </c>
      <c r="I42" s="76">
        <f t="shared" si="2"/>
        <v>5401.888694643</v>
      </c>
      <c r="J42" s="76">
        <f t="shared" si="3"/>
        <v>49.389588323000005</v>
      </c>
      <c r="L42" s="81">
        <f t="shared" si="4"/>
        <v>1032.2821600000007</v>
      </c>
      <c r="M42" s="81">
        <f t="shared" si="5"/>
        <v>74.12877745700001</v>
      </c>
      <c r="N42" s="81">
        <f t="shared" si="6"/>
        <v>1106.4109374570007</v>
      </c>
      <c r="O42" s="76">
        <f t="shared" si="7"/>
        <v>10.115939777000001</v>
      </c>
    </row>
    <row r="43" spans="1:15" ht="12.75">
      <c r="A43" s="40">
        <v>46661</v>
      </c>
      <c r="B43" s="5"/>
      <c r="C43" s="5">
        <v>335.40412150000003</v>
      </c>
      <c r="D43" s="5">
        <v>335.40412150000003</v>
      </c>
      <c r="E43" s="38">
        <v>59.50552810000001</v>
      </c>
      <c r="G43" s="76"/>
      <c r="H43" s="76">
        <f t="shared" si="1"/>
        <v>278.385420845</v>
      </c>
      <c r="I43" s="76">
        <f t="shared" si="2"/>
        <v>278.385420845</v>
      </c>
      <c r="J43" s="76">
        <f t="shared" si="3"/>
        <v>49.389588323000005</v>
      </c>
      <c r="L43" s="81"/>
      <c r="M43" s="81">
        <f t="shared" si="5"/>
        <v>57.01870065500003</v>
      </c>
      <c r="N43" s="81">
        <f t="shared" si="6"/>
        <v>57.01870065500003</v>
      </c>
      <c r="O43" s="76">
        <f t="shared" si="7"/>
        <v>10.115939777000001</v>
      </c>
    </row>
    <row r="44" spans="1:15" ht="12.75">
      <c r="A44" s="40">
        <v>46844</v>
      </c>
      <c r="B44" s="5">
        <v>6272.432000000001</v>
      </c>
      <c r="C44" s="5">
        <v>335.40412150000003</v>
      </c>
      <c r="D44" s="5">
        <v>6607.8361215</v>
      </c>
      <c r="E44" s="38">
        <v>59.50552810000001</v>
      </c>
      <c r="G44" s="76">
        <f t="shared" si="0"/>
        <v>5206.11856</v>
      </c>
      <c r="H44" s="76">
        <f t="shared" si="1"/>
        <v>278.385420845</v>
      </c>
      <c r="I44" s="76">
        <f t="shared" si="2"/>
        <v>5484.503980845</v>
      </c>
      <c r="J44" s="76">
        <f t="shared" si="3"/>
        <v>49.389588323000005</v>
      </c>
      <c r="L44" s="81">
        <f t="shared" si="4"/>
        <v>1066.3134400000008</v>
      </c>
      <c r="M44" s="81">
        <f t="shared" si="5"/>
        <v>57.01870065500003</v>
      </c>
      <c r="N44" s="81">
        <f t="shared" si="6"/>
        <v>1123.3321406550008</v>
      </c>
      <c r="O44" s="76">
        <f t="shared" si="7"/>
        <v>10.115939777000001</v>
      </c>
    </row>
    <row r="45" spans="1:15" ht="12.75">
      <c r="A45" s="40">
        <v>47027</v>
      </c>
      <c r="B45" s="5"/>
      <c r="C45" s="5">
        <v>229.40002070000003</v>
      </c>
      <c r="D45" s="5">
        <v>229.40002070000003</v>
      </c>
      <c r="E45" s="38">
        <v>59.50552810000001</v>
      </c>
      <c r="G45" s="76"/>
      <c r="H45" s="76">
        <f t="shared" si="1"/>
        <v>190.40201718100002</v>
      </c>
      <c r="I45" s="76">
        <f t="shared" si="2"/>
        <v>190.40201718100002</v>
      </c>
      <c r="J45" s="76">
        <f t="shared" si="3"/>
        <v>49.389588323000005</v>
      </c>
      <c r="L45" s="81"/>
      <c r="M45" s="81">
        <f t="shared" si="5"/>
        <v>38.99800351900001</v>
      </c>
      <c r="N45" s="81">
        <f t="shared" si="6"/>
        <v>38.99800351900001</v>
      </c>
      <c r="O45" s="76">
        <f t="shared" si="7"/>
        <v>10.115939777000001</v>
      </c>
    </row>
    <row r="46" spans="1:15" ht="12.75">
      <c r="A46" s="40">
        <v>47209</v>
      </c>
      <c r="B46" s="5">
        <v>6485.1275000000005</v>
      </c>
      <c r="C46" s="5">
        <v>229.40002070000003</v>
      </c>
      <c r="D46" s="5">
        <v>6714.5275207</v>
      </c>
      <c r="E46" s="38">
        <v>59.50552810000001</v>
      </c>
      <c r="G46" s="76">
        <f t="shared" si="0"/>
        <v>5382.655825</v>
      </c>
      <c r="H46" s="76">
        <f t="shared" si="1"/>
        <v>190.40201718100002</v>
      </c>
      <c r="I46" s="76">
        <f t="shared" si="2"/>
        <v>5573.057842181</v>
      </c>
      <c r="J46" s="76">
        <f t="shared" si="3"/>
        <v>49.389588323000005</v>
      </c>
      <c r="L46" s="81">
        <f t="shared" si="4"/>
        <v>1102.4716750000007</v>
      </c>
      <c r="M46" s="81">
        <f t="shared" si="5"/>
        <v>38.99800351900001</v>
      </c>
      <c r="N46" s="81">
        <f t="shared" si="6"/>
        <v>1141.4696785190008</v>
      </c>
      <c r="O46" s="76">
        <f t="shared" si="7"/>
        <v>10.115939777000001</v>
      </c>
    </row>
    <row r="47" spans="1:15" ht="12.75">
      <c r="A47" s="40">
        <v>47392</v>
      </c>
      <c r="B47" s="5"/>
      <c r="C47" s="5">
        <v>117.6931782</v>
      </c>
      <c r="D47" s="5">
        <v>117.6931782</v>
      </c>
      <c r="E47" s="38">
        <v>59.50552810000001</v>
      </c>
      <c r="G47" s="76"/>
      <c r="H47" s="76">
        <f t="shared" si="1"/>
        <v>97.685337906</v>
      </c>
      <c r="I47" s="76">
        <f t="shared" si="2"/>
        <v>97.685337906</v>
      </c>
      <c r="J47" s="76">
        <f t="shared" si="3"/>
        <v>49.389588323000005</v>
      </c>
      <c r="L47" s="81"/>
      <c r="M47" s="81">
        <f t="shared" si="5"/>
        <v>20.007840294000005</v>
      </c>
      <c r="N47" s="81">
        <f t="shared" si="6"/>
        <v>20.007840294000005</v>
      </c>
      <c r="O47" s="76">
        <f t="shared" si="7"/>
        <v>10.115939777000001</v>
      </c>
    </row>
    <row r="48" spans="1:15" ht="12.75">
      <c r="A48" s="40">
        <v>11049</v>
      </c>
      <c r="B48" s="5">
        <v>6706.164000000001</v>
      </c>
      <c r="C48" s="5">
        <v>117.6931782</v>
      </c>
      <c r="D48" s="5">
        <v>6823.857178200001</v>
      </c>
      <c r="E48" s="38">
        <v>59.5180396</v>
      </c>
      <c r="G48" s="76">
        <f t="shared" si="0"/>
        <v>5566.116120000001</v>
      </c>
      <c r="H48" s="76">
        <f t="shared" si="1"/>
        <v>97.685337906</v>
      </c>
      <c r="I48" s="76">
        <f t="shared" si="2"/>
        <v>5663.801457906001</v>
      </c>
      <c r="J48" s="76">
        <f t="shared" si="3"/>
        <v>49.399972868</v>
      </c>
      <c r="L48" s="81">
        <f t="shared" si="4"/>
        <v>1140.04788</v>
      </c>
      <c r="M48" s="81">
        <f t="shared" si="5"/>
        <v>20.007840294000005</v>
      </c>
      <c r="N48" s="81">
        <f t="shared" si="6"/>
        <v>1160.0557202940001</v>
      </c>
      <c r="O48" s="76">
        <v>9</v>
      </c>
    </row>
    <row r="49" ht="12.75">
      <c r="A49" s="40"/>
    </row>
    <row r="50" spans="1:15" ht="13.5" thickBot="1">
      <c r="A50" s="41" t="s">
        <v>31</v>
      </c>
      <c r="B50" s="42">
        <f>SUM(B9:B49)</f>
        <v>100092.00000000001</v>
      </c>
      <c r="C50" s="42">
        <f>SUM(C9:C49)</f>
        <v>37027.80260020001</v>
      </c>
      <c r="D50" s="42">
        <f>SUM(D9:D49)</f>
        <v>137119.8026002</v>
      </c>
      <c r="E50" s="42">
        <f>SUM(E9:E49)</f>
        <v>2380.2336355</v>
      </c>
      <c r="G50" s="42">
        <f>SUM(G9:G49)</f>
        <v>83076.36000000002</v>
      </c>
      <c r="H50" s="42">
        <f>SUM(H9:H49)</f>
        <v>30733.076158166004</v>
      </c>
      <c r="I50" s="42">
        <f>SUM(I9:I49)</f>
        <v>113809.436158166</v>
      </c>
      <c r="J50" s="42">
        <f>SUM(J9:J49)</f>
        <v>1975.5939174650002</v>
      </c>
      <c r="L50" s="42">
        <f>SUM(L9:L49)</f>
        <v>17015.640000000007</v>
      </c>
      <c r="M50" s="42">
        <f>SUM(M9:M49)</f>
        <v>6294.726442034003</v>
      </c>
      <c r="N50" s="42">
        <f>SUM(N9:N49)</f>
        <v>23310.366442034014</v>
      </c>
      <c r="O50" s="42">
        <f>SUM(O9:O49)</f>
        <v>403.5216513029998</v>
      </c>
    </row>
    <row r="51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2020-03-26T18:18:08Z</cp:lastPrinted>
  <dcterms:created xsi:type="dcterms:W3CDTF">2011-02-21T16:49:07Z</dcterms:created>
  <dcterms:modified xsi:type="dcterms:W3CDTF">2021-04-05T15:21:38Z</dcterms:modified>
  <cp:category/>
  <cp:version/>
  <cp:contentType/>
  <cp:contentStatus/>
</cp:coreProperties>
</file>