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926" activeTab="0"/>
  </bookViews>
  <sheets>
    <sheet name="2016A" sheetId="1" r:id="rId1"/>
    <sheet name="Academic Project " sheetId="2" r:id="rId2"/>
    <sheet name="Percentage-090116" sheetId="3" r:id="rId3"/>
    <sheet name="Percentage-030117" sheetId="4" r:id="rId4"/>
    <sheet name="Percentage-Final" sheetId="5" r:id="rId5"/>
  </sheets>
  <definedNames>
    <definedName name="_xlnm.Print_Area" localSheetId="2">'Percentage-090116'!$A$1:$R$55</definedName>
    <definedName name="_xlnm.Print_Titles" localSheetId="0">'2016A'!$A:$A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<sst xmlns="http://schemas.openxmlformats.org/spreadsheetml/2006/main" count="752" uniqueCount="152">
  <si>
    <t>Payment</t>
  </si>
  <si>
    <t xml:space="preserve">   UMCP Fraternity/Sorority Houses (Auxiliary)</t>
  </si>
  <si>
    <t xml:space="preserve">       SU Dormitory Renovations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</si>
  <si>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</si>
  <si>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</si>
  <si>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</si>
  <si>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</si>
  <si>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</si>
  <si>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 UMB Facilities Renewal (Academic) 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</si>
  <si>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</si>
  <si>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</si>
  <si>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</si>
  <si>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    BSU Facilities Renewal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</si>
  <si>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</si>
  <si>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</si>
  <si>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</si>
  <si>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</si>
  <si>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</si>
  <si>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</si>
  <si>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</si>
  <si>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</si>
  <si>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</si>
  <si>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</si>
  <si>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</si>
  <si>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</si>
  <si>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</si>
  <si>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</si>
  <si>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</si>
  <si>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</si>
  <si>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</si>
  <si>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</si>
  <si>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</si>
  <si>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</si>
  <si>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</si>
  <si>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</si>
  <si>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</si>
  <si>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</si>
  <si>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</si>
  <si>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</si>
  <si>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Emergency Project</t>
  </si>
  <si>
    <t xml:space="preserve">Fine and Performing Arts Center </t>
  </si>
  <si>
    <t>Fraternity/Sorority Houses Renovation</t>
  </si>
  <si>
    <t>27th Aux</t>
  </si>
  <si>
    <t>High Rise Residence Hall A/C</t>
  </si>
  <si>
    <t>Resident Hall Renovations</t>
  </si>
  <si>
    <t>28th Aux</t>
  </si>
  <si>
    <t>New Student Center</t>
  </si>
  <si>
    <t>Dormitory Renovations, Campus-Wide</t>
  </si>
  <si>
    <t>Towson Center Arena Improvement</t>
  </si>
  <si>
    <t>West Village Parking Structure</t>
  </si>
  <si>
    <t>Percent by Institution:</t>
  </si>
  <si>
    <t xml:space="preserve">          Distribution of Debt Services</t>
  </si>
  <si>
    <t xml:space="preserve">       University System of Maryland</t>
  </si>
  <si>
    <t>33rd Aux</t>
  </si>
  <si>
    <t>Replace Carroll, Caroline, Wicomico &amp; Sci</t>
  </si>
  <si>
    <t>Balance</t>
  </si>
  <si>
    <t>BSU Fine and performing Arts Center (Acad)</t>
  </si>
  <si>
    <t>Pratt Street Garage Renovation</t>
  </si>
  <si>
    <t xml:space="preserve">          CSU Emergency Funds (Academic)</t>
  </si>
  <si>
    <t>Burdick PH 2 &amp; 3 Air Conditioning</t>
  </si>
  <si>
    <t xml:space="preserve">   TU Burdick PH 2&amp;3 Air Conditioning (Auxiliary)</t>
  </si>
  <si>
    <t>26th Acad</t>
  </si>
  <si>
    <t>CSS and Residence Halls SCUB Expansion</t>
  </si>
  <si>
    <t>UMBI/BC</t>
  </si>
  <si>
    <t>35th Aux</t>
  </si>
  <si>
    <t>Replacement of Communication Tower</t>
  </si>
  <si>
    <t>Surface Lots</t>
  </si>
  <si>
    <t xml:space="preserve">  UMB Elevator &amp; Fire Alarm Improvement (Aux)</t>
  </si>
  <si>
    <t>Campus-Wide Building System and Infrastriction</t>
  </si>
  <si>
    <t>34th Acad</t>
  </si>
  <si>
    <t>New Science and Technology Center</t>
  </si>
  <si>
    <t>33rd Acad</t>
  </si>
  <si>
    <t>New Performing Arts &amp; Humanities Facility</t>
  </si>
  <si>
    <t>35th Acad</t>
  </si>
  <si>
    <t>32,34th Acad</t>
  </si>
  <si>
    <t>33th Acad</t>
  </si>
  <si>
    <t>Elevator &amp; Fire Alarm Impr. Parking Garage</t>
  </si>
  <si>
    <t>Recreation Building PH 2</t>
  </si>
  <si>
    <t>34th Aux</t>
  </si>
  <si>
    <t>33rd</t>
  </si>
  <si>
    <t>33th Aux</t>
  </si>
  <si>
    <t>32th Aux</t>
  </si>
  <si>
    <t>West Village Student Housing</t>
  </si>
  <si>
    <t>26th</t>
  </si>
  <si>
    <t>UMBC New Performing Arts &amp; Humanities (Acad)</t>
  </si>
  <si>
    <t xml:space="preserve">  CSU New Sci &amp; Technology Center (Acad)</t>
  </si>
  <si>
    <t xml:space="preserve">           TU Recreation Building PH 2 (Aux)</t>
  </si>
  <si>
    <t xml:space="preserve">   UMBC Renovation, Electrical Upgrade (Acad)</t>
  </si>
  <si>
    <t xml:space="preserve"> UMCP High Rise Residence - 36th Resol (Aux)</t>
  </si>
  <si>
    <t xml:space="preserve"> UMCP High Rise Residence - 35th Resol (Aux)</t>
  </si>
  <si>
    <t xml:space="preserve">          Total Debt Services - 2016 Series A</t>
  </si>
  <si>
    <t xml:space="preserve">                         2016 A Bonds</t>
  </si>
  <si>
    <t xml:space="preserve">    2016 Series A Bond Funded Projects</t>
  </si>
  <si>
    <t xml:space="preserve">        Total Academic Projects - 2016A</t>
  </si>
  <si>
    <t xml:space="preserve">         Total Academic Projects - 2016A</t>
  </si>
  <si>
    <t>2016 Series A Bonds</t>
  </si>
  <si>
    <t>2016A</t>
  </si>
  <si>
    <t>2016A Balance</t>
  </si>
  <si>
    <t>New Bioengineering Building</t>
  </si>
  <si>
    <t>37th Acad</t>
  </si>
  <si>
    <t>New Academic Commons</t>
  </si>
  <si>
    <t>34,35,37th Acad</t>
  </si>
  <si>
    <t>36th Acad</t>
  </si>
  <si>
    <t>H.J. Patterson Hall - Wing 1 Renovation</t>
  </si>
  <si>
    <t>26,28,29,32,35,36,37th Acad</t>
  </si>
  <si>
    <t>34,35th Acad</t>
  </si>
  <si>
    <t>28,29,32,33,34,35,37 Acad</t>
  </si>
  <si>
    <t>Renovation, Electrical Upgrade, HVAC</t>
  </si>
  <si>
    <t>24,28,33th Acad</t>
  </si>
  <si>
    <t>29,32,33,34,35,36th Acad</t>
  </si>
  <si>
    <t>32,33th Acad</t>
  </si>
  <si>
    <t>34,35,36,37th Acad</t>
  </si>
  <si>
    <t>32,33,35,36th Acad</t>
  </si>
  <si>
    <t>22,33,37th Acad</t>
  </si>
  <si>
    <t>35,36th Acad</t>
  </si>
  <si>
    <t>35,36,37th Academic</t>
  </si>
  <si>
    <t>27,28,29,32,33,34,35,36,37th Acad</t>
  </si>
  <si>
    <t>37th Aux</t>
  </si>
  <si>
    <t>Event Center and Arena</t>
  </si>
  <si>
    <t>36,37th Aux</t>
  </si>
  <si>
    <t>35,37th Aux</t>
  </si>
  <si>
    <t>35,36,37th Aux</t>
  </si>
  <si>
    <t>31,35,36,37th Aux</t>
  </si>
  <si>
    <t xml:space="preserve">  UMCP Campus-Wide Bldg System (Acad)</t>
  </si>
  <si>
    <t xml:space="preserve">   UMCP H.J. Patterson Hall - Wing 1 (Acad)</t>
  </si>
  <si>
    <t xml:space="preserve"> UMCP New Bioengineering Building (Academic)</t>
  </si>
  <si>
    <t xml:space="preserve">      SU New Academic Commons (Academic)</t>
  </si>
  <si>
    <t>36th Aux</t>
  </si>
  <si>
    <t xml:space="preserve">        UMBC Event Center and Arena (Aux)</t>
  </si>
  <si>
    <t xml:space="preserve">    UMBC Resident Hall Renovations (Aux)</t>
  </si>
  <si>
    <t xml:space="preserve">UMBC Replace of Communication Tower (Aux)  </t>
  </si>
  <si>
    <t xml:space="preserve">  TU Student Housing - West Village (Auxiliary)</t>
  </si>
  <si>
    <t>28,29,32,33,34,35,37,38th Acad</t>
  </si>
  <si>
    <t>26,28,29,32,35,36,37,38th Acad</t>
  </si>
  <si>
    <t>29,32,33,34,35,36,37th Acad</t>
  </si>
  <si>
    <t>24,28,32nd Acad</t>
  </si>
  <si>
    <t>32nd Acad</t>
  </si>
  <si>
    <t>38th Aux</t>
  </si>
  <si>
    <t>Dorchester Residence Hall Renovation</t>
  </si>
  <si>
    <t>33,34,35th Aux</t>
  </si>
  <si>
    <t xml:space="preserve">     UMCES Emergency Projects (Academic)</t>
  </si>
  <si>
    <t xml:space="preserve">   UMCP Dorchester Residence Hall (Auxiliary)</t>
  </si>
  <si>
    <t>32nd Aux</t>
  </si>
  <si>
    <t xml:space="preserve"> UMCP CSS and Residence Halls SCUB (Aux)</t>
  </si>
  <si>
    <t>37,38th Acad</t>
  </si>
  <si>
    <t>32,36th Acad</t>
  </si>
  <si>
    <t>Resident Tower Renovation</t>
  </si>
  <si>
    <t>36,37,38th Aux</t>
  </si>
  <si>
    <t xml:space="preserve">    TU Resident Tower Renovations (Auxiliary)</t>
  </si>
  <si>
    <t>Amort of</t>
  </si>
  <si>
    <t>Premium</t>
  </si>
  <si>
    <t xml:space="preserve">           Total Auxiliary Projects - 2016A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</si>
</sst>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%"/>
    <numFmt numFmtId="171" formatCode="#,##0.000_);[Red]\(#,##0.000\)"/>
  </numFmts>
  <fonts count="36">
    <font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3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0" fillId="0" borderId="11" xfId="0" applyNumberFormat="1" applyBorder="1" applyAlignment="1" quotePrefix="1">
      <alignment horizontal="right"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38" fontId="0" fillId="0" borderId="21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40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0" fontId="0" fillId="0" borderId="22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3" xfId="0" applyNumberFormat="1" applyBorder="1" applyAlignment="1">
      <alignment horizontal="right"/>
    </xf>
    <xf numFmtId="165" fontId="0" fillId="0" borderId="2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4" xfId="0" applyNumberFormat="1" applyBorder="1" applyAlignment="1">
      <alignment/>
    </xf>
    <xf numFmtId="165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 quotePrefix="1">
      <alignment horizontal="right"/>
    </xf>
    <xf numFmtId="165" fontId="0" fillId="0" borderId="19" xfId="0" applyNumberFormat="1" applyBorder="1" applyAlignment="1">
      <alignment/>
    </xf>
    <xf numFmtId="165" fontId="0" fillId="0" borderId="23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65" fontId="0" fillId="0" borderId="0" xfId="0" applyNumberFormat="1" applyBorder="1" applyAlignment="1">
      <alignment horizontal="right"/>
    </xf>
    <xf numFmtId="38" fontId="0" fillId="0" borderId="21" xfId="0" applyNumberFormat="1" applyBorder="1" applyAlignment="1">
      <alignment horizontal="center"/>
    </xf>
    <xf numFmtId="40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8" fontId="0" fillId="0" borderId="14" xfId="0" applyNumberFormat="1" applyFill="1" applyBorder="1" applyAlignment="1">
      <alignment horizontal="right"/>
    </xf>
    <xf numFmtId="38" fontId="0" fillId="0" borderId="13" xfId="0" applyNumberFormat="1" applyFill="1" applyBorder="1" applyAlignment="1">
      <alignment horizontal="right"/>
    </xf>
    <xf numFmtId="38" fontId="0" fillId="0" borderId="11" xfId="0" applyNumberFormat="1" applyFont="1" applyFill="1" applyBorder="1" applyAlignment="1">
      <alignment horizontal="left"/>
    </xf>
    <xf numFmtId="38" fontId="0" fillId="34" borderId="11" xfId="0" applyNumberFormat="1" applyFont="1" applyFill="1" applyBorder="1" applyAlignment="1" quotePrefix="1">
      <alignment horizontal="left"/>
    </xf>
    <xf numFmtId="38" fontId="0" fillId="0" borderId="11" xfId="0" applyNumberFormat="1" applyFont="1" applyBorder="1" applyAlignment="1">
      <alignment horizontal="left"/>
    </xf>
    <xf numFmtId="38" fontId="0" fillId="0" borderId="11" xfId="0" applyNumberFormat="1" applyFont="1" applyBorder="1" applyAlignment="1" quotePrefix="1">
      <alignment horizontal="left"/>
    </xf>
    <xf numFmtId="38" fontId="0" fillId="0" borderId="18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 quotePrefix="1">
      <alignment horizontal="left"/>
    </xf>
    <xf numFmtId="38" fontId="0" fillId="0" borderId="0" xfId="0" applyNumberFormat="1" applyFill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165" fontId="0" fillId="0" borderId="13" xfId="0" applyNumberFormat="1" applyFont="1" applyBorder="1" applyAlignment="1">
      <alignment horizontal="right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W572"/>
  <sheetViews>
    <sheetView tabSelected="1" zoomScale="150" zoomScaleNormal="15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2" sqref="E12"/>
    </sheetView>
  </sheetViews>
  <sheetFormatPr defaultColWidth="16.28125" defaultRowHeight="12.75"/>
  <cols>
    <col min="1" max="1" width="11.7109375" style="37" customWidth="1"/>
    <col min="2" max="2" width="4.28125" style="0" customWidth="1"/>
    <col min="3" max="6" width="16.28125" style="3" customWidth="1"/>
    <col min="7" max="7" width="4.28125" style="5" customWidth="1"/>
    <col min="8" max="11" width="16.28125" style="5" customWidth="1"/>
    <col min="12" max="12" width="4.28125" style="5" customWidth="1"/>
    <col min="13" max="16" width="16.28125" style="0" customWidth="1"/>
    <col min="17" max="17" width="4.28125" style="0" customWidth="1"/>
    <col min="18" max="21" width="16.28125" style="0" customWidth="1"/>
    <col min="22" max="22" width="4.28125" style="5" customWidth="1"/>
    <col min="23" max="26" width="16.28125" style="0" customWidth="1"/>
    <col min="27" max="27" width="4.28125" style="5" customWidth="1"/>
    <col min="28" max="31" width="16.28125" style="5" customWidth="1"/>
    <col min="32" max="32" width="4.28125" style="5" customWidth="1"/>
    <col min="33" max="36" width="16.28125" style="5" customWidth="1"/>
    <col min="37" max="37" width="4.28125" style="5" customWidth="1"/>
    <col min="38" max="41" width="16.28125" style="5" customWidth="1"/>
    <col min="42" max="42" width="4.28125" style="5" customWidth="1"/>
    <col min="43" max="46" width="16.28125" style="5" customWidth="1"/>
    <col min="47" max="47" width="4.28125" style="5" customWidth="1"/>
    <col min="48" max="51" width="16.28125" style="5" customWidth="1"/>
    <col min="52" max="52" width="4.28125" style="5" customWidth="1"/>
    <col min="53" max="56" width="16.28125" style="5" customWidth="1"/>
    <col min="57" max="57" width="4.28125" style="5" customWidth="1"/>
    <col min="58" max="61" width="16.28125" style="5" customWidth="1"/>
    <col min="62" max="62" width="4.28125" style="5" customWidth="1"/>
    <col min="63" max="66" width="16.28125" style="0" customWidth="1"/>
    <col min="67" max="67" width="4.28125" style="5" customWidth="1"/>
    <col min="68" max="71" width="16.28125" style="0" customWidth="1"/>
    <col min="72" max="72" width="4.28125" style="5" customWidth="1"/>
    <col min="73" max="76" width="16.28125" style="0" customWidth="1"/>
    <col min="77" max="77" width="4.28125" style="5" customWidth="1"/>
    <col min="78" max="81" width="16.28125" style="0" customWidth="1"/>
    <col min="82" max="82" width="4.28125" style="6" customWidth="1"/>
    <col min="83" max="86" width="16.28125" style="0" customWidth="1"/>
    <col min="87" max="87" width="4.28125" style="0" customWidth="1"/>
    <col min="88" max="91" width="16.28125" style="6" customWidth="1"/>
    <col min="92" max="92" width="4.28125" style="6" customWidth="1"/>
  </cols>
  <sheetData>
    <row r="1" spans="1:93" ht="12.75">
      <c r="A1" s="1"/>
      <c r="B1" s="2"/>
      <c r="D1" s="4"/>
      <c r="H1" s="4" t="s">
        <v>52</v>
      </c>
      <c r="M1" s="4"/>
      <c r="W1" s="4" t="s">
        <v>52</v>
      </c>
      <c r="AL1" s="4" t="s">
        <v>52</v>
      </c>
      <c r="BA1" s="4" t="s">
        <v>52</v>
      </c>
      <c r="BP1" s="4" t="s">
        <v>52</v>
      </c>
      <c r="CE1" s="4" t="s">
        <v>52</v>
      </c>
      <c r="CO1" s="4"/>
    </row>
    <row r="2" spans="1:93" ht="12.75">
      <c r="A2" s="1"/>
      <c r="B2" s="2"/>
      <c r="D2" s="4"/>
      <c r="H2" s="4" t="s">
        <v>51</v>
      </c>
      <c r="M2" s="4"/>
      <c r="W2" s="4" t="s">
        <v>51</v>
      </c>
      <c r="AL2" s="4" t="s">
        <v>51</v>
      </c>
      <c r="BA2" s="4" t="s">
        <v>51</v>
      </c>
      <c r="BP2" s="4" t="s">
        <v>51</v>
      </c>
      <c r="CE2" s="4" t="s">
        <v>51</v>
      </c>
      <c r="CO2" s="4"/>
    </row>
    <row r="3" spans="1:93" ht="12.75">
      <c r="A3" s="1"/>
      <c r="B3" s="2"/>
      <c r="D3" s="7"/>
      <c r="H3" s="4" t="s">
        <v>92</v>
      </c>
      <c r="M3" s="4"/>
      <c r="N3" s="8"/>
      <c r="W3" s="4" t="s">
        <v>92</v>
      </c>
      <c r="AL3" s="4" t="s">
        <v>92</v>
      </c>
      <c r="BA3" s="4" t="s">
        <v>92</v>
      </c>
      <c r="BP3" s="4" t="s">
        <v>92</v>
      </c>
      <c r="CE3" s="4" t="s">
        <v>92</v>
      </c>
      <c r="CO3" s="4"/>
    </row>
    <row r="4" spans="1:13" ht="12.75">
      <c r="A4" s="1"/>
      <c r="B4" s="2"/>
      <c r="C4" s="7"/>
      <c r="D4" s="4"/>
      <c r="M4" s="8"/>
    </row>
    <row r="5" spans="1:91" ht="12.75">
      <c r="A5" s="9" t="s">
        <v>0</v>
      </c>
      <c r="C5" s="10" t="s">
        <v>90</v>
      </c>
      <c r="D5" s="11"/>
      <c r="E5" s="12"/>
      <c r="F5" s="12"/>
      <c r="H5" s="13" t="s">
        <v>93</v>
      </c>
      <c r="I5" s="14"/>
      <c r="J5" s="15"/>
      <c r="K5" s="15"/>
      <c r="M5" s="13" t="s">
        <v>151</v>
      </c>
      <c r="N5" s="16"/>
      <c r="O5" s="15"/>
      <c r="P5" s="15"/>
      <c r="Q5" s="35"/>
      <c r="R5" s="17" t="s">
        <v>141</v>
      </c>
      <c r="S5" s="18"/>
      <c r="T5" s="19"/>
      <c r="U5" s="19"/>
      <c r="W5" s="17" t="s">
        <v>1</v>
      </c>
      <c r="X5" s="18"/>
      <c r="Y5" s="19"/>
      <c r="Z5" s="19"/>
      <c r="AB5" s="84" t="s">
        <v>89</v>
      </c>
      <c r="AC5" s="18"/>
      <c r="AD5" s="19"/>
      <c r="AE5" s="19"/>
      <c r="AG5" s="20" t="s">
        <v>88</v>
      </c>
      <c r="AH5" s="18"/>
      <c r="AI5" s="19"/>
      <c r="AJ5" s="19"/>
      <c r="AK5" s="21"/>
      <c r="AL5" s="20" t="s">
        <v>143</v>
      </c>
      <c r="AM5" s="18"/>
      <c r="AN5" s="19"/>
      <c r="AO5" s="19"/>
      <c r="AQ5" s="17" t="s">
        <v>67</v>
      </c>
      <c r="AR5" s="18"/>
      <c r="AS5" s="19"/>
      <c r="AT5" s="19"/>
      <c r="AV5" s="84" t="s">
        <v>128</v>
      </c>
      <c r="AW5" s="18"/>
      <c r="AX5" s="19"/>
      <c r="AY5" s="19"/>
      <c r="BA5" s="85" t="s">
        <v>129</v>
      </c>
      <c r="BB5" s="18"/>
      <c r="BC5" s="19"/>
      <c r="BD5" s="19"/>
      <c r="BF5" s="84" t="s">
        <v>130</v>
      </c>
      <c r="BG5" s="18"/>
      <c r="BH5" s="19"/>
      <c r="BI5" s="19"/>
      <c r="BK5" s="17" t="s">
        <v>2</v>
      </c>
      <c r="BL5" s="18"/>
      <c r="BM5" s="19"/>
      <c r="BN5" s="19"/>
      <c r="BP5" s="17" t="s">
        <v>60</v>
      </c>
      <c r="BQ5" s="18"/>
      <c r="BR5" s="19"/>
      <c r="BS5" s="19"/>
      <c r="BU5" s="84" t="s">
        <v>148</v>
      </c>
      <c r="BV5" s="18"/>
      <c r="BW5" s="19"/>
      <c r="BX5" s="19"/>
      <c r="BZ5" s="17" t="s">
        <v>86</v>
      </c>
      <c r="CA5" s="18"/>
      <c r="CB5" s="19"/>
      <c r="CC5" s="19"/>
      <c r="CE5" s="84" t="s">
        <v>131</v>
      </c>
      <c r="CF5" s="18"/>
      <c r="CG5" s="19"/>
      <c r="CH5" s="19"/>
      <c r="CI5" s="21"/>
      <c r="CJ5" s="20" t="s">
        <v>3</v>
      </c>
      <c r="CK5" s="18"/>
      <c r="CL5" s="19"/>
      <c r="CM5" s="19"/>
    </row>
    <row r="6" spans="1:91" s="8" customFormat="1" ht="12.75">
      <c r="A6" s="22" t="s">
        <v>4</v>
      </c>
      <c r="C6" s="42" t="s">
        <v>91</v>
      </c>
      <c r="D6" s="14"/>
      <c r="E6" s="41"/>
      <c r="F6" s="31" t="s">
        <v>149</v>
      </c>
      <c r="G6" s="5"/>
      <c r="H6" s="23">
        <v>0.2583457</v>
      </c>
      <c r="I6" s="24">
        <v>0.3439967</v>
      </c>
      <c r="J6" s="25">
        <v>0.368526</v>
      </c>
      <c r="K6" s="90" t="s">
        <v>149</v>
      </c>
      <c r="L6" s="5"/>
      <c r="M6" s="23">
        <f>W6+AB6+AG6+AQ6+AV6+BA6+BF6+BK6+BP6+BU6+BZ6+CE6+CJ6</f>
        <v>0.7416545</v>
      </c>
      <c r="N6" s="26">
        <f>S6+X6+AC6+AH6+AM6+AR6+AW6+BB6+BG6+BL6+BQ6+BV6+CA6+CF6+CK6</f>
        <v>0.6560033</v>
      </c>
      <c r="O6" s="26">
        <f>T6+Y6+AD6+AI6+AN6+AS6+AX6+BC6+BH6+BM6+BR6+BW6+CB6+CG6</f>
        <v>0.6314740000000001</v>
      </c>
      <c r="P6" s="90" t="s">
        <v>149</v>
      </c>
      <c r="Q6" s="70"/>
      <c r="R6" s="27">
        <v>0</v>
      </c>
      <c r="S6" s="28">
        <v>7.75E-05</v>
      </c>
      <c r="T6" s="25">
        <v>0.0008038</v>
      </c>
      <c r="U6" s="89" t="s">
        <v>149</v>
      </c>
      <c r="V6" s="5"/>
      <c r="W6" s="27">
        <v>0.0008419</v>
      </c>
      <c r="X6" s="28">
        <v>0.0001909</v>
      </c>
      <c r="Y6" s="25">
        <v>0.0001907</v>
      </c>
      <c r="Z6" s="89" t="s">
        <v>149</v>
      </c>
      <c r="AA6" s="5"/>
      <c r="AB6" s="27">
        <v>0.0217334</v>
      </c>
      <c r="AC6" s="28">
        <v>0.0217618</v>
      </c>
      <c r="AD6" s="25">
        <v>0.0217465</v>
      </c>
      <c r="AE6" s="89" t="s">
        <v>149</v>
      </c>
      <c r="AF6" s="5"/>
      <c r="AG6" s="27">
        <v>0.047116</v>
      </c>
      <c r="AH6" s="28">
        <v>0.0544197</v>
      </c>
      <c r="AI6" s="25">
        <v>0.0548351</v>
      </c>
      <c r="AJ6" s="89" t="s">
        <v>149</v>
      </c>
      <c r="AK6" s="70"/>
      <c r="AL6" s="27">
        <v>0</v>
      </c>
      <c r="AM6" s="28">
        <v>2.49E-05</v>
      </c>
      <c r="AN6" s="25">
        <v>4.93E-05</v>
      </c>
      <c r="AO6" s="89" t="s">
        <v>149</v>
      </c>
      <c r="AP6" s="5"/>
      <c r="AQ6" s="27">
        <v>0.0024358</v>
      </c>
      <c r="AR6" s="28">
        <v>0.0030837</v>
      </c>
      <c r="AS6" s="88">
        <v>0.0033842</v>
      </c>
      <c r="AT6" s="89" t="s">
        <v>149</v>
      </c>
      <c r="AU6" s="5"/>
      <c r="AV6" s="27">
        <v>0.0152225</v>
      </c>
      <c r="AW6" s="28">
        <v>0.0152297</v>
      </c>
      <c r="AX6" s="25">
        <v>0.0294086</v>
      </c>
      <c r="AY6" s="89" t="s">
        <v>149</v>
      </c>
      <c r="AZ6" s="5"/>
      <c r="BA6" s="27">
        <v>0.039866</v>
      </c>
      <c r="BB6" s="28">
        <v>0.0451477</v>
      </c>
      <c r="BC6" s="25">
        <v>0.045745</v>
      </c>
      <c r="BD6" s="89" t="s">
        <v>149</v>
      </c>
      <c r="BE6" s="5"/>
      <c r="BF6" s="27">
        <v>0.0023184</v>
      </c>
      <c r="BG6" s="28">
        <v>0.0040507</v>
      </c>
      <c r="BH6" s="25">
        <v>0.0040478</v>
      </c>
      <c r="BI6" s="89" t="s">
        <v>149</v>
      </c>
      <c r="BJ6" s="5"/>
      <c r="BK6" s="27">
        <v>1.49E-05</v>
      </c>
      <c r="BL6" s="28">
        <v>0.0017676</v>
      </c>
      <c r="BM6" s="25">
        <v>0.0018814</v>
      </c>
      <c r="BN6" s="89" t="s">
        <v>149</v>
      </c>
      <c r="BO6" s="5"/>
      <c r="BP6" s="27">
        <v>0.0012217</v>
      </c>
      <c r="BQ6" s="28">
        <v>0.0012222</v>
      </c>
      <c r="BR6" s="25">
        <v>0.0012643</v>
      </c>
      <c r="BS6" s="89" t="s">
        <v>149</v>
      </c>
      <c r="BT6" s="5"/>
      <c r="BU6" s="27">
        <v>0.0118423</v>
      </c>
      <c r="BV6" s="28">
        <v>0.012678</v>
      </c>
      <c r="BW6" s="25">
        <v>0.0158802</v>
      </c>
      <c r="BX6" s="89" t="s">
        <v>149</v>
      </c>
      <c r="BY6" s="5"/>
      <c r="BZ6" s="27">
        <v>0.0668961</v>
      </c>
      <c r="CA6" s="28">
        <v>0.0776782</v>
      </c>
      <c r="CB6" s="25">
        <v>0.0857154</v>
      </c>
      <c r="CC6" s="89" t="s">
        <v>149</v>
      </c>
      <c r="CE6" s="27">
        <v>0.3635299</v>
      </c>
      <c r="CF6" s="28">
        <v>0.366779</v>
      </c>
      <c r="CG6" s="25">
        <v>0.3665217</v>
      </c>
      <c r="CH6" s="89" t="s">
        <v>149</v>
      </c>
      <c r="CI6" s="70"/>
      <c r="CJ6" s="27">
        <v>0.1686156</v>
      </c>
      <c r="CK6" s="28">
        <v>0.0518917</v>
      </c>
      <c r="CL6" s="25"/>
      <c r="CM6" s="89" t="s">
        <v>149</v>
      </c>
    </row>
    <row r="7" spans="1:91" s="8" customFormat="1" ht="12.75">
      <c r="A7" s="22"/>
      <c r="C7" s="42"/>
      <c r="D7" s="14"/>
      <c r="E7" s="41"/>
      <c r="F7" s="31" t="s">
        <v>150</v>
      </c>
      <c r="G7" s="5"/>
      <c r="H7" s="23"/>
      <c r="I7" s="24"/>
      <c r="J7" s="25"/>
      <c r="K7" s="90" t="s">
        <v>150</v>
      </c>
      <c r="L7" s="5"/>
      <c r="M7" s="23"/>
      <c r="N7" s="26"/>
      <c r="O7" s="26"/>
      <c r="P7" s="90" t="s">
        <v>150</v>
      </c>
      <c r="Q7" s="70"/>
      <c r="R7" s="27"/>
      <c r="S7" s="28"/>
      <c r="T7" s="25"/>
      <c r="U7" s="89" t="s">
        <v>150</v>
      </c>
      <c r="V7" s="5"/>
      <c r="W7" s="27"/>
      <c r="X7" s="28"/>
      <c r="Y7" s="25"/>
      <c r="Z7" s="89" t="s">
        <v>150</v>
      </c>
      <c r="AA7" s="5"/>
      <c r="AB7" s="27"/>
      <c r="AC7" s="28"/>
      <c r="AD7" s="25"/>
      <c r="AE7" s="89" t="s">
        <v>150</v>
      </c>
      <c r="AF7" s="5"/>
      <c r="AG7" s="27"/>
      <c r="AH7" s="28"/>
      <c r="AI7" s="25"/>
      <c r="AJ7" s="89" t="s">
        <v>150</v>
      </c>
      <c r="AK7" s="70"/>
      <c r="AL7" s="27"/>
      <c r="AM7" s="28"/>
      <c r="AN7" s="25"/>
      <c r="AO7" s="89" t="s">
        <v>150</v>
      </c>
      <c r="AP7" s="5"/>
      <c r="AQ7" s="27"/>
      <c r="AR7" s="28"/>
      <c r="AS7" s="25"/>
      <c r="AT7" s="89" t="s">
        <v>150</v>
      </c>
      <c r="AU7" s="5"/>
      <c r="AV7" s="27"/>
      <c r="AW7" s="28"/>
      <c r="AX7" s="25"/>
      <c r="AY7" s="89" t="s">
        <v>150</v>
      </c>
      <c r="AZ7" s="5"/>
      <c r="BA7" s="27"/>
      <c r="BB7" s="28"/>
      <c r="BC7" s="25"/>
      <c r="BD7" s="89" t="s">
        <v>150</v>
      </c>
      <c r="BE7" s="5"/>
      <c r="BF7" s="27"/>
      <c r="BG7" s="28"/>
      <c r="BH7" s="25"/>
      <c r="BI7" s="89" t="s">
        <v>150</v>
      </c>
      <c r="BJ7" s="5"/>
      <c r="BK7" s="27"/>
      <c r="BL7" s="28"/>
      <c r="BM7" s="25"/>
      <c r="BN7" s="89" t="s">
        <v>150</v>
      </c>
      <c r="BO7" s="5"/>
      <c r="BP7" s="27"/>
      <c r="BQ7" s="28"/>
      <c r="BR7" s="25"/>
      <c r="BS7" s="89" t="s">
        <v>150</v>
      </c>
      <c r="BT7" s="5"/>
      <c r="BU7" s="27"/>
      <c r="BV7" s="28"/>
      <c r="BW7" s="25"/>
      <c r="BX7" s="89" t="s">
        <v>150</v>
      </c>
      <c r="BY7" s="5"/>
      <c r="BZ7" s="27"/>
      <c r="CA7" s="28"/>
      <c r="CB7" s="25"/>
      <c r="CC7" s="89" t="s">
        <v>150</v>
      </c>
      <c r="CE7" s="27"/>
      <c r="CF7" s="28"/>
      <c r="CG7" s="25"/>
      <c r="CH7" s="89" t="s">
        <v>150</v>
      </c>
      <c r="CI7" s="70"/>
      <c r="CJ7" s="27"/>
      <c r="CK7" s="28"/>
      <c r="CL7" s="25"/>
      <c r="CM7" s="89" t="s">
        <v>150</v>
      </c>
    </row>
    <row r="8" spans="1:91" ht="12.75">
      <c r="A8" s="30"/>
      <c r="C8" s="31" t="s">
        <v>5</v>
      </c>
      <c r="D8" s="31" t="s">
        <v>6</v>
      </c>
      <c r="E8" s="31" t="s">
        <v>7</v>
      </c>
      <c r="F8" s="87"/>
      <c r="H8" s="31" t="s">
        <v>5</v>
      </c>
      <c r="I8" s="83" t="s">
        <v>6</v>
      </c>
      <c r="J8" s="31" t="s">
        <v>7</v>
      </c>
      <c r="K8" s="31"/>
      <c r="M8" s="31" t="s">
        <v>5</v>
      </c>
      <c r="N8" s="31" t="s">
        <v>6</v>
      </c>
      <c r="O8" s="31" t="s">
        <v>7</v>
      </c>
      <c r="P8" s="31"/>
      <c r="Q8" s="87"/>
      <c r="R8" s="32" t="s">
        <v>5</v>
      </c>
      <c r="S8" s="32" t="s">
        <v>6</v>
      </c>
      <c r="T8" s="32" t="s">
        <v>7</v>
      </c>
      <c r="U8" s="32"/>
      <c r="W8" s="32" t="s">
        <v>5</v>
      </c>
      <c r="X8" s="32" t="s">
        <v>6</v>
      </c>
      <c r="Y8" s="32" t="s">
        <v>7</v>
      </c>
      <c r="Z8" s="32"/>
      <c r="AB8" s="32" t="s">
        <v>5</v>
      </c>
      <c r="AC8" s="32" t="s">
        <v>6</v>
      </c>
      <c r="AD8" s="32" t="s">
        <v>7</v>
      </c>
      <c r="AE8" s="32"/>
      <c r="AG8" s="32" t="s">
        <v>5</v>
      </c>
      <c r="AH8" s="32" t="s">
        <v>6</v>
      </c>
      <c r="AI8" s="32" t="s">
        <v>7</v>
      </c>
      <c r="AJ8" s="32"/>
      <c r="AK8" s="33"/>
      <c r="AL8" s="32" t="s">
        <v>5</v>
      </c>
      <c r="AM8" s="32" t="s">
        <v>6</v>
      </c>
      <c r="AN8" s="32" t="s">
        <v>7</v>
      </c>
      <c r="AO8" s="32"/>
      <c r="AQ8" s="32" t="s">
        <v>5</v>
      </c>
      <c r="AR8" s="32" t="s">
        <v>6</v>
      </c>
      <c r="AS8" s="32" t="s">
        <v>7</v>
      </c>
      <c r="AT8" s="32"/>
      <c r="AV8" s="32" t="s">
        <v>5</v>
      </c>
      <c r="AW8" s="32" t="s">
        <v>6</v>
      </c>
      <c r="AX8" s="32" t="s">
        <v>7</v>
      </c>
      <c r="AY8" s="32"/>
      <c r="BA8" s="32" t="s">
        <v>5</v>
      </c>
      <c r="BB8" s="32" t="s">
        <v>6</v>
      </c>
      <c r="BC8" s="32" t="s">
        <v>7</v>
      </c>
      <c r="BD8" s="32"/>
      <c r="BF8" s="32" t="s">
        <v>5</v>
      </c>
      <c r="BG8" s="32" t="s">
        <v>6</v>
      </c>
      <c r="BH8" s="32" t="s">
        <v>7</v>
      </c>
      <c r="BI8" s="32"/>
      <c r="BK8" s="32" t="s">
        <v>5</v>
      </c>
      <c r="BL8" s="32" t="s">
        <v>6</v>
      </c>
      <c r="BM8" s="32" t="s">
        <v>7</v>
      </c>
      <c r="BN8" s="32"/>
      <c r="BP8" s="32" t="s">
        <v>5</v>
      </c>
      <c r="BQ8" s="32" t="s">
        <v>6</v>
      </c>
      <c r="BR8" s="32" t="s">
        <v>7</v>
      </c>
      <c r="BS8" s="32"/>
      <c r="BU8" s="32" t="s">
        <v>5</v>
      </c>
      <c r="BV8" s="32" t="s">
        <v>6</v>
      </c>
      <c r="BW8" s="32" t="s">
        <v>7</v>
      </c>
      <c r="BX8" s="32"/>
      <c r="BZ8" s="32" t="s">
        <v>5</v>
      </c>
      <c r="CA8" s="32" t="s">
        <v>6</v>
      </c>
      <c r="CB8" s="32" t="s">
        <v>7</v>
      </c>
      <c r="CC8" s="32"/>
      <c r="CE8" s="32" t="s">
        <v>5</v>
      </c>
      <c r="CF8" s="32" t="s">
        <v>6</v>
      </c>
      <c r="CG8" s="32" t="s">
        <v>7</v>
      </c>
      <c r="CH8" s="32"/>
      <c r="CI8" s="33"/>
      <c r="CJ8" s="32" t="s">
        <v>5</v>
      </c>
      <c r="CK8" s="32" t="s">
        <v>6</v>
      </c>
      <c r="CL8" s="32" t="s">
        <v>7</v>
      </c>
      <c r="CM8" s="32"/>
    </row>
    <row r="9" spans="1:101" ht="12.75">
      <c r="A9" s="37">
        <v>44105</v>
      </c>
      <c r="D9" s="3">
        <v>2551838</v>
      </c>
      <c r="E9" s="35">
        <f aca="true" t="shared" si="0" ref="E9:E40">C9+D9</f>
        <v>2551838</v>
      </c>
      <c r="F9" s="35">
        <v>535049</v>
      </c>
      <c r="H9" s="36"/>
      <c r="I9" s="36">
        <v>940419</v>
      </c>
      <c r="J9" s="36">
        <f aca="true" t="shared" si="1" ref="J9:J40">H9+I9</f>
        <v>940419</v>
      </c>
      <c r="K9" s="36">
        <f>'Academic Project '!K9</f>
        <v>197179.46777399993</v>
      </c>
      <c r="M9" s="36"/>
      <c r="N9" s="35">
        <f aca="true" t="shared" si="2" ref="N9:P40">S9+X9+AC9+AH9+AM9+AR9+AW9+BB9+BG9+BL9+BQ9+BV9+CA9+CF9+CK9</f>
        <v>1611419.3492120001</v>
      </c>
      <c r="O9" s="36">
        <f aca="true" t="shared" si="3" ref="O9:O40">M9+N9</f>
        <v>1611419.3492120001</v>
      </c>
      <c r="P9" s="35">
        <f t="shared" si="2"/>
        <v>337869.532226</v>
      </c>
      <c r="Q9" s="36"/>
      <c r="R9" s="36"/>
      <c r="S9" s="36">
        <f aca="true" t="shared" si="4" ref="S9:S40">D9*$T$6</f>
        <v>2051.1673844</v>
      </c>
      <c r="T9" s="36">
        <f aca="true" t="shared" si="5" ref="T9:T40">R9+S9</f>
        <v>2051.1673844</v>
      </c>
      <c r="U9" s="36">
        <f aca="true" t="shared" si="6" ref="U9:U40">T$6*$F9</f>
        <v>430.07238620000004</v>
      </c>
      <c r="W9" s="36"/>
      <c r="X9" s="36">
        <f aca="true" t="shared" si="7" ref="X9:X40">D9*$Y$6</f>
        <v>486.6355066</v>
      </c>
      <c r="Y9" s="36">
        <f aca="true" t="shared" si="8" ref="Y9:Y40">W9+X9</f>
        <v>486.6355066</v>
      </c>
      <c r="Z9" s="36">
        <f aca="true" t="shared" si="9" ref="Z9:Z40">Y$6*$F9</f>
        <v>102.0338443</v>
      </c>
      <c r="AB9" s="36"/>
      <c r="AC9" s="36">
        <f aca="true" t="shared" si="10" ref="AC9:AC40">D9*$AD$6</f>
        <v>55493.545067</v>
      </c>
      <c r="AD9" s="36">
        <f aca="true" t="shared" si="11" ref="AD9:AD40">AB9+AC9</f>
        <v>55493.545067</v>
      </c>
      <c r="AE9" s="36">
        <f aca="true" t="shared" si="12" ref="AE9:AE40">AD$6*$F9</f>
        <v>11635.443078499999</v>
      </c>
      <c r="AG9" s="36"/>
      <c r="AH9" s="36">
        <f aca="true" t="shared" si="13" ref="AH9:AH40">D9*$AI$6</f>
        <v>139930.2919138</v>
      </c>
      <c r="AI9" s="36">
        <f aca="true" t="shared" si="14" ref="AI9:AI40">AG9+AH9</f>
        <v>139930.2919138</v>
      </c>
      <c r="AJ9" s="36">
        <f aca="true" t="shared" si="15" ref="AJ9:AJ40">AI$6*$F9</f>
        <v>29339.4654199</v>
      </c>
      <c r="AK9" s="36"/>
      <c r="AL9" s="36"/>
      <c r="AM9" s="36">
        <f aca="true" t="shared" si="16" ref="AM9:AM40">D9*$AN$6</f>
        <v>125.8056134</v>
      </c>
      <c r="AN9" s="36">
        <f aca="true" t="shared" si="17" ref="AN9:AN40">AL9+AM9</f>
        <v>125.8056134</v>
      </c>
      <c r="AO9" s="36">
        <f aca="true" t="shared" si="18" ref="AO9:AO40">AN$6*$F9</f>
        <v>26.3779157</v>
      </c>
      <c r="AQ9" s="36"/>
      <c r="AR9" s="36">
        <f aca="true" t="shared" si="19" ref="AR9:AR40">D9*$AS$6</f>
        <v>8635.9301596</v>
      </c>
      <c r="AS9" s="36">
        <f aca="true" t="shared" si="20" ref="AS9:AS40">AQ9+AR9</f>
        <v>8635.9301596</v>
      </c>
      <c r="AT9" s="36">
        <f aca="true" t="shared" si="21" ref="AT9:AT40">AS$6*$F9</f>
        <v>1810.7128258</v>
      </c>
      <c r="AV9" s="36"/>
      <c r="AW9" s="36">
        <f aca="true" t="shared" si="22" ref="AW9:AW40">D9*$AX$6</f>
        <v>75045.9830068</v>
      </c>
      <c r="AX9" s="36">
        <f aca="true" t="shared" si="23" ref="AX9:AX40">AV9+AW9</f>
        <v>75045.9830068</v>
      </c>
      <c r="AY9" s="36">
        <f aca="true" t="shared" si="24" ref="AY9:AY40">AX$6*$F9</f>
        <v>15735.0420214</v>
      </c>
      <c r="BA9" s="36"/>
      <c r="BB9" s="36">
        <f aca="true" t="shared" si="25" ref="BB9:BB40">D9*$BC$6</f>
        <v>116733.82931</v>
      </c>
      <c r="BC9" s="36">
        <f aca="true" t="shared" si="26" ref="BC9:BC40">BA9+BB9</f>
        <v>116733.82931</v>
      </c>
      <c r="BD9" s="36">
        <f aca="true" t="shared" si="27" ref="BD9:BD40">BC$6*$F9</f>
        <v>24475.816505</v>
      </c>
      <c r="BF9" s="36"/>
      <c r="BG9" s="36">
        <f aca="true" t="shared" si="28" ref="BG9:BG40">D9*$BH$6</f>
        <v>10329.3298564</v>
      </c>
      <c r="BH9" s="36">
        <f aca="true" t="shared" si="29" ref="BH9:BH40">BF9+BG9</f>
        <v>10329.3298564</v>
      </c>
      <c r="BI9" s="36">
        <f aca="true" t="shared" si="30" ref="BI9:BI40">BH$6*$F9</f>
        <v>2165.7713421999997</v>
      </c>
      <c r="BK9" s="36"/>
      <c r="BL9" s="36">
        <f aca="true" t="shared" si="31" ref="BL9:BL40">D9*$BM$6</f>
        <v>4801.0280132</v>
      </c>
      <c r="BM9" s="36">
        <f aca="true" t="shared" si="32" ref="BM9:BM40">BK9+BL9</f>
        <v>4801.0280132</v>
      </c>
      <c r="BN9" s="36">
        <f aca="true" t="shared" si="33" ref="BN9:BN40">BM$6*$F9</f>
        <v>1006.6411886000001</v>
      </c>
      <c r="BP9" s="36"/>
      <c r="BQ9" s="36">
        <f aca="true" t="shared" si="34" ref="BQ9:BQ40">D9*$BR$6</f>
        <v>3226.2887834000003</v>
      </c>
      <c r="BR9" s="36">
        <f aca="true" t="shared" si="35" ref="BR9:BR40">BP9+BQ9</f>
        <v>3226.2887834000003</v>
      </c>
      <c r="BS9" s="36">
        <f aca="true" t="shared" si="36" ref="BS9:BS40">BR$6*$F9</f>
        <v>676.4624507000001</v>
      </c>
      <c r="BU9" s="36"/>
      <c r="BV9" s="36">
        <f aca="true" t="shared" si="37" ref="BV9:BV40">D9*$BW$6</f>
        <v>40523.6978076</v>
      </c>
      <c r="BW9" s="5">
        <f aca="true" t="shared" si="38" ref="BW9:BW40">BU9+BV9</f>
        <v>40523.6978076</v>
      </c>
      <c r="BX9" s="36">
        <f aca="true" t="shared" si="39" ref="BX9:BX40">BW$6*$F9</f>
        <v>8496.6851298</v>
      </c>
      <c r="BZ9" s="36"/>
      <c r="CA9" s="36">
        <f aca="true" t="shared" si="40" ref="CA9:CA40">D9*$CB$6</f>
        <v>218731.81490519998</v>
      </c>
      <c r="CB9" s="5">
        <f aca="true" t="shared" si="41" ref="CB9:CB40">BZ9+CA9</f>
        <v>218731.81490519998</v>
      </c>
      <c r="CC9" s="36">
        <f aca="true" t="shared" si="42" ref="CC9:CC40">CB$6*$F9</f>
        <v>45861.9390546</v>
      </c>
      <c r="CD9" s="5"/>
      <c r="CE9" s="36"/>
      <c r="CF9" s="36">
        <f aca="true" t="shared" si="43" ref="CF9:CF40">D9*$CG$6</f>
        <v>935304.0018846</v>
      </c>
      <c r="CG9" s="5">
        <f aca="true" t="shared" si="44" ref="CG9:CG40">CE9+CF9</f>
        <v>935304.0018846</v>
      </c>
      <c r="CH9" s="36">
        <f aca="true" t="shared" si="45" ref="CH9:CH40">CG$6*$F9</f>
        <v>196107.0690633</v>
      </c>
      <c r="CI9" s="5"/>
      <c r="CJ9" s="5"/>
      <c r="CK9" s="36"/>
      <c r="CL9" s="36">
        <f aca="true" t="shared" si="46" ref="CL9:CL40">CJ9+CK9</f>
        <v>0</v>
      </c>
      <c r="CM9" s="36">
        <f aca="true" t="shared" si="47" ref="CM9:CM40">CL$6*$F9</f>
        <v>0</v>
      </c>
      <c r="CN9" s="5"/>
      <c r="CO9" s="5"/>
      <c r="CP9" s="5"/>
      <c r="CQ9" s="5"/>
      <c r="CR9" s="5"/>
      <c r="CS9" s="5"/>
      <c r="CT9" s="5"/>
      <c r="CU9" s="5"/>
      <c r="CV9" s="5"/>
      <c r="CW9" s="5"/>
    </row>
    <row r="10" spans="1:101" ht="12.75">
      <c r="A10" s="37">
        <v>44287</v>
      </c>
      <c r="B10" s="38"/>
      <c r="C10" s="3">
        <v>5295000</v>
      </c>
      <c r="D10" s="3">
        <v>2551838</v>
      </c>
      <c r="E10" s="35">
        <f t="shared" si="0"/>
        <v>7846838</v>
      </c>
      <c r="F10" s="35">
        <v>535049</v>
      </c>
      <c r="H10" s="36">
        <v>1951345</v>
      </c>
      <c r="I10" s="36">
        <v>940419</v>
      </c>
      <c r="J10" s="36">
        <f t="shared" si="1"/>
        <v>2891764</v>
      </c>
      <c r="K10" s="36">
        <f>'Academic Project '!K10</f>
        <v>197179.46777399993</v>
      </c>
      <c r="M10" s="36">
        <f aca="true" t="shared" si="48" ref="M10:M40">R10+W10+AB10+AG10+AL10+AQ10+AV10+BA10+BF10+BK10+BP10+BU10+BZ10+CE10+CJ10</f>
        <v>3343654.83</v>
      </c>
      <c r="N10" s="35">
        <f t="shared" si="2"/>
        <v>1611419.3492120001</v>
      </c>
      <c r="O10" s="36">
        <f t="shared" si="3"/>
        <v>4955074.179212</v>
      </c>
      <c r="P10" s="35">
        <f t="shared" si="2"/>
        <v>337869.532226</v>
      </c>
      <c r="Q10" s="36"/>
      <c r="R10" s="36">
        <f aca="true" t="shared" si="49" ref="R10:R40">C10*$T$6</f>
        <v>4256.121</v>
      </c>
      <c r="S10" s="36">
        <f t="shared" si="4"/>
        <v>2051.1673844</v>
      </c>
      <c r="T10" s="36">
        <f t="shared" si="5"/>
        <v>6307.288384400001</v>
      </c>
      <c r="U10" s="36">
        <f t="shared" si="6"/>
        <v>430.07238620000004</v>
      </c>
      <c r="W10" s="36">
        <f aca="true" t="shared" si="50" ref="W10:W40">C10*$Y$6</f>
        <v>1009.7565</v>
      </c>
      <c r="X10" s="36">
        <f t="shared" si="7"/>
        <v>486.6355066</v>
      </c>
      <c r="Y10" s="36">
        <f t="shared" si="8"/>
        <v>1496.3920066</v>
      </c>
      <c r="Z10" s="36">
        <f t="shared" si="9"/>
        <v>102.0338443</v>
      </c>
      <c r="AB10" s="36">
        <f aca="true" t="shared" si="51" ref="AB10:AB40">C10*$AD$6</f>
        <v>115147.7175</v>
      </c>
      <c r="AC10" s="36">
        <f t="shared" si="10"/>
        <v>55493.545067</v>
      </c>
      <c r="AD10" s="36">
        <f t="shared" si="11"/>
        <v>170641.262567</v>
      </c>
      <c r="AE10" s="36">
        <f t="shared" si="12"/>
        <v>11635.443078499999</v>
      </c>
      <c r="AG10" s="36">
        <f aca="true" t="shared" si="52" ref="AG10:AG40">C10*$AI$6</f>
        <v>290351.8545</v>
      </c>
      <c r="AH10" s="36">
        <f t="shared" si="13"/>
        <v>139930.2919138</v>
      </c>
      <c r="AI10" s="36">
        <f t="shared" si="14"/>
        <v>430282.1464138</v>
      </c>
      <c r="AJ10" s="36">
        <f t="shared" si="15"/>
        <v>29339.4654199</v>
      </c>
      <c r="AK10" s="36"/>
      <c r="AL10" s="36">
        <f aca="true" t="shared" si="53" ref="AL10:AL40">C10*$AN$6</f>
        <v>261.0435</v>
      </c>
      <c r="AM10" s="36">
        <f t="shared" si="16"/>
        <v>125.8056134</v>
      </c>
      <c r="AN10" s="36">
        <f t="shared" si="17"/>
        <v>386.84911339999996</v>
      </c>
      <c r="AO10" s="36">
        <f t="shared" si="18"/>
        <v>26.3779157</v>
      </c>
      <c r="AQ10" s="36">
        <f aca="true" t="shared" si="54" ref="AQ10:AQ40">C10*$AS$6</f>
        <v>17919.339</v>
      </c>
      <c r="AR10" s="36">
        <f t="shared" si="19"/>
        <v>8635.9301596</v>
      </c>
      <c r="AS10" s="36">
        <f t="shared" si="20"/>
        <v>26555.2691596</v>
      </c>
      <c r="AT10" s="36">
        <f t="shared" si="21"/>
        <v>1810.7128258</v>
      </c>
      <c r="AV10" s="36">
        <f aca="true" t="shared" si="55" ref="AV10:AV40">C10*$AX$6</f>
        <v>155718.537</v>
      </c>
      <c r="AW10" s="36">
        <f t="shared" si="22"/>
        <v>75045.9830068</v>
      </c>
      <c r="AX10" s="36">
        <f t="shared" si="23"/>
        <v>230764.5200068</v>
      </c>
      <c r="AY10" s="36">
        <f t="shared" si="24"/>
        <v>15735.0420214</v>
      </c>
      <c r="BA10" s="36">
        <f aca="true" t="shared" si="56" ref="BA10:BA40">C10*$BC$6</f>
        <v>242219.775</v>
      </c>
      <c r="BB10" s="36">
        <f t="shared" si="25"/>
        <v>116733.82931</v>
      </c>
      <c r="BC10" s="36">
        <f t="shared" si="26"/>
        <v>358953.60430999997</v>
      </c>
      <c r="BD10" s="36">
        <f t="shared" si="27"/>
        <v>24475.816505</v>
      </c>
      <c r="BF10" s="36">
        <f aca="true" t="shared" si="57" ref="BF10:BF40">C10*$BH$6</f>
        <v>21433.101</v>
      </c>
      <c r="BG10" s="36">
        <f t="shared" si="28"/>
        <v>10329.3298564</v>
      </c>
      <c r="BH10" s="36">
        <f t="shared" si="29"/>
        <v>31762.4308564</v>
      </c>
      <c r="BI10" s="36">
        <f t="shared" si="30"/>
        <v>2165.7713421999997</v>
      </c>
      <c r="BK10" s="36">
        <f aca="true" t="shared" si="58" ref="BK10:BK40">C10*$BM$6</f>
        <v>9962.013</v>
      </c>
      <c r="BL10" s="36">
        <f t="shared" si="31"/>
        <v>4801.0280132</v>
      </c>
      <c r="BM10" s="36">
        <f t="shared" si="32"/>
        <v>14763.0410132</v>
      </c>
      <c r="BN10" s="36">
        <f t="shared" si="33"/>
        <v>1006.6411886000001</v>
      </c>
      <c r="BP10" s="36">
        <f aca="true" t="shared" si="59" ref="BP10:BP40">C10*$BR$6</f>
        <v>6694.468500000001</v>
      </c>
      <c r="BQ10" s="36">
        <f t="shared" si="34"/>
        <v>3226.2887834000003</v>
      </c>
      <c r="BR10" s="36">
        <f t="shared" si="35"/>
        <v>9920.757283400002</v>
      </c>
      <c r="BS10" s="36">
        <f t="shared" si="36"/>
        <v>676.4624507000001</v>
      </c>
      <c r="BU10" s="36">
        <f aca="true" t="shared" si="60" ref="BU10:BU40">C10*$BW$6</f>
        <v>84085.659</v>
      </c>
      <c r="BV10" s="36">
        <f t="shared" si="37"/>
        <v>40523.6978076</v>
      </c>
      <c r="BW10" s="5">
        <f t="shared" si="38"/>
        <v>124609.35680760001</v>
      </c>
      <c r="BX10" s="36">
        <f t="shared" si="39"/>
        <v>8496.6851298</v>
      </c>
      <c r="BZ10" s="36">
        <f aca="true" t="shared" si="61" ref="BZ10:BZ40">C10*$CB$6</f>
        <v>453863.043</v>
      </c>
      <c r="CA10" s="36">
        <f t="shared" si="40"/>
        <v>218731.81490519998</v>
      </c>
      <c r="CB10" s="5">
        <f t="shared" si="41"/>
        <v>672594.8579052</v>
      </c>
      <c r="CC10" s="36">
        <f t="shared" si="42"/>
        <v>45861.9390546</v>
      </c>
      <c r="CD10" s="5"/>
      <c r="CE10" s="36">
        <f aca="true" t="shared" si="62" ref="CE10:CE40">C10*$CG$6</f>
        <v>1940732.4015</v>
      </c>
      <c r="CF10" s="36">
        <f t="shared" si="43"/>
        <v>935304.0018846</v>
      </c>
      <c r="CG10" s="5">
        <f t="shared" si="44"/>
        <v>2876036.4033846</v>
      </c>
      <c r="CH10" s="36">
        <f t="shared" si="45"/>
        <v>196107.0690633</v>
      </c>
      <c r="CI10" s="5"/>
      <c r="CJ10" s="5"/>
      <c r="CK10" s="36"/>
      <c r="CL10" s="36">
        <f t="shared" si="46"/>
        <v>0</v>
      </c>
      <c r="CM10" s="36">
        <f t="shared" si="47"/>
        <v>0</v>
      </c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1" ht="12.75">
      <c r="A11" s="37">
        <v>44470</v>
      </c>
      <c r="D11" s="3">
        <v>2419463</v>
      </c>
      <c r="E11" s="35">
        <f t="shared" si="0"/>
        <v>2419463</v>
      </c>
      <c r="F11" s="35">
        <v>535049</v>
      </c>
      <c r="H11" s="36"/>
      <c r="I11" s="36">
        <v>891635</v>
      </c>
      <c r="J11" s="36">
        <f t="shared" si="1"/>
        <v>891635</v>
      </c>
      <c r="K11" s="36">
        <f>'Academic Project '!K11</f>
        <v>197179.46777399993</v>
      </c>
      <c r="M11" s="36"/>
      <c r="N11" s="35">
        <f t="shared" si="2"/>
        <v>1527827.978462</v>
      </c>
      <c r="O11" s="36">
        <f t="shared" si="3"/>
        <v>1527827.978462</v>
      </c>
      <c r="P11" s="35">
        <f t="shared" si="2"/>
        <v>337869.532226</v>
      </c>
      <c r="Q11" s="36"/>
      <c r="R11" s="36"/>
      <c r="S11" s="36">
        <f t="shared" si="4"/>
        <v>1944.7643594</v>
      </c>
      <c r="T11" s="36">
        <f t="shared" si="5"/>
        <v>1944.7643594</v>
      </c>
      <c r="U11" s="36">
        <f t="shared" si="6"/>
        <v>430.07238620000004</v>
      </c>
      <c r="W11" s="36"/>
      <c r="X11" s="36">
        <f t="shared" si="7"/>
        <v>461.3915941</v>
      </c>
      <c r="Y11" s="36">
        <f t="shared" si="8"/>
        <v>461.3915941</v>
      </c>
      <c r="Z11" s="36">
        <f t="shared" si="9"/>
        <v>102.0338443</v>
      </c>
      <c r="AB11" s="36"/>
      <c r="AC11" s="36">
        <f t="shared" si="10"/>
        <v>52614.852129499995</v>
      </c>
      <c r="AD11" s="36">
        <f t="shared" si="11"/>
        <v>52614.852129499995</v>
      </c>
      <c r="AE11" s="36">
        <f t="shared" si="12"/>
        <v>11635.443078499999</v>
      </c>
      <c r="AG11" s="36"/>
      <c r="AH11" s="36">
        <f t="shared" si="13"/>
        <v>132671.4955513</v>
      </c>
      <c r="AI11" s="36">
        <f t="shared" si="14"/>
        <v>132671.4955513</v>
      </c>
      <c r="AJ11" s="36">
        <f t="shared" si="15"/>
        <v>29339.4654199</v>
      </c>
      <c r="AK11" s="36"/>
      <c r="AL11" s="36"/>
      <c r="AM11" s="36">
        <f t="shared" si="16"/>
        <v>119.2795259</v>
      </c>
      <c r="AN11" s="36">
        <f t="shared" si="17"/>
        <v>119.2795259</v>
      </c>
      <c r="AO11" s="36">
        <f t="shared" si="18"/>
        <v>26.3779157</v>
      </c>
      <c r="AQ11" s="36"/>
      <c r="AR11" s="36">
        <f t="shared" si="19"/>
        <v>8187.9466846</v>
      </c>
      <c r="AS11" s="36">
        <f t="shared" si="20"/>
        <v>8187.9466846</v>
      </c>
      <c r="AT11" s="36">
        <f t="shared" si="21"/>
        <v>1810.7128258</v>
      </c>
      <c r="AV11" s="36"/>
      <c r="AW11" s="36">
        <f t="shared" si="22"/>
        <v>71153.0195818</v>
      </c>
      <c r="AX11" s="36">
        <f t="shared" si="23"/>
        <v>71153.0195818</v>
      </c>
      <c r="AY11" s="36">
        <f t="shared" si="24"/>
        <v>15735.0420214</v>
      </c>
      <c r="BA11" s="36"/>
      <c r="BB11" s="36">
        <f t="shared" si="25"/>
        <v>110678.334935</v>
      </c>
      <c r="BC11" s="36">
        <f t="shared" si="26"/>
        <v>110678.334935</v>
      </c>
      <c r="BD11" s="36">
        <f t="shared" si="27"/>
        <v>24475.816505</v>
      </c>
      <c r="BF11" s="36"/>
      <c r="BG11" s="36">
        <f t="shared" si="28"/>
        <v>9793.5023314</v>
      </c>
      <c r="BH11" s="36">
        <f t="shared" si="29"/>
        <v>9793.5023314</v>
      </c>
      <c r="BI11" s="36">
        <f t="shared" si="30"/>
        <v>2165.7713421999997</v>
      </c>
      <c r="BK11" s="36"/>
      <c r="BL11" s="36">
        <f t="shared" si="31"/>
        <v>4551.977688200001</v>
      </c>
      <c r="BM11" s="36">
        <f t="shared" si="32"/>
        <v>4551.977688200001</v>
      </c>
      <c r="BN11" s="36">
        <f t="shared" si="33"/>
        <v>1006.6411886000001</v>
      </c>
      <c r="BP11" s="36"/>
      <c r="BQ11" s="36">
        <f t="shared" si="34"/>
        <v>3058.9270709</v>
      </c>
      <c r="BR11" s="36">
        <f t="shared" si="35"/>
        <v>3058.9270709</v>
      </c>
      <c r="BS11" s="36">
        <f t="shared" si="36"/>
        <v>676.4624507000001</v>
      </c>
      <c r="BU11" s="36"/>
      <c r="BV11" s="36">
        <f t="shared" si="37"/>
        <v>38421.556332600005</v>
      </c>
      <c r="BW11" s="5">
        <f t="shared" si="38"/>
        <v>38421.556332600005</v>
      </c>
      <c r="BX11" s="36">
        <f t="shared" si="39"/>
        <v>8496.6851298</v>
      </c>
      <c r="BZ11" s="36"/>
      <c r="CA11" s="36">
        <f t="shared" si="40"/>
        <v>207385.2388302</v>
      </c>
      <c r="CB11" s="5">
        <f t="shared" si="41"/>
        <v>207385.2388302</v>
      </c>
      <c r="CC11" s="36">
        <f t="shared" si="42"/>
        <v>45861.9390546</v>
      </c>
      <c r="CD11" s="5"/>
      <c r="CE11" s="36"/>
      <c r="CF11" s="36">
        <f t="shared" si="43"/>
        <v>886785.6918471</v>
      </c>
      <c r="CG11" s="5">
        <f t="shared" si="44"/>
        <v>886785.6918471</v>
      </c>
      <c r="CH11" s="36">
        <f t="shared" si="45"/>
        <v>196107.0690633</v>
      </c>
      <c r="CI11" s="5"/>
      <c r="CJ11" s="5"/>
      <c r="CK11" s="36"/>
      <c r="CL11" s="36">
        <f t="shared" si="46"/>
        <v>0</v>
      </c>
      <c r="CM11" s="36">
        <f t="shared" si="47"/>
        <v>0</v>
      </c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 spans="1:101" ht="12.75">
      <c r="A12" s="37">
        <v>44652</v>
      </c>
      <c r="C12" s="3">
        <v>5555000</v>
      </c>
      <c r="D12" s="3">
        <v>2419463</v>
      </c>
      <c r="E12" s="35">
        <f t="shared" si="0"/>
        <v>7974463</v>
      </c>
      <c r="F12" s="35">
        <v>535049</v>
      </c>
      <c r="H12" s="36">
        <v>2047162</v>
      </c>
      <c r="I12" s="36">
        <v>891635</v>
      </c>
      <c r="J12" s="36">
        <f t="shared" si="1"/>
        <v>2938797</v>
      </c>
      <c r="K12" s="36">
        <f>'Academic Project '!K12</f>
        <v>197179.46777399993</v>
      </c>
      <c r="M12" s="36">
        <f t="shared" si="48"/>
        <v>3507838.0700000003</v>
      </c>
      <c r="N12" s="35">
        <f t="shared" si="2"/>
        <v>1527827.978462</v>
      </c>
      <c r="O12" s="36">
        <f t="shared" si="3"/>
        <v>5035666.048462</v>
      </c>
      <c r="P12" s="35">
        <f t="shared" si="2"/>
        <v>337869.532226</v>
      </c>
      <c r="Q12" s="36"/>
      <c r="R12" s="36">
        <f t="shared" si="49"/>
        <v>4465.109</v>
      </c>
      <c r="S12" s="36">
        <f t="shared" si="4"/>
        <v>1944.7643594</v>
      </c>
      <c r="T12" s="36">
        <f t="shared" si="5"/>
        <v>6409.8733594000005</v>
      </c>
      <c r="U12" s="36">
        <f t="shared" si="6"/>
        <v>430.07238620000004</v>
      </c>
      <c r="W12" s="36">
        <f t="shared" si="50"/>
        <v>1059.3385</v>
      </c>
      <c r="X12" s="36">
        <f t="shared" si="7"/>
        <v>461.3915941</v>
      </c>
      <c r="Y12" s="36">
        <f t="shared" si="8"/>
        <v>1520.7300941</v>
      </c>
      <c r="Z12" s="36">
        <f t="shared" si="9"/>
        <v>102.0338443</v>
      </c>
      <c r="AB12" s="36">
        <f t="shared" si="51"/>
        <v>120801.8075</v>
      </c>
      <c r="AC12" s="36">
        <f t="shared" si="10"/>
        <v>52614.852129499995</v>
      </c>
      <c r="AD12" s="36">
        <f t="shared" si="11"/>
        <v>173416.6596295</v>
      </c>
      <c r="AE12" s="36">
        <f t="shared" si="12"/>
        <v>11635.443078499999</v>
      </c>
      <c r="AG12" s="36">
        <f t="shared" si="52"/>
        <v>304608.9805</v>
      </c>
      <c r="AH12" s="36">
        <f t="shared" si="13"/>
        <v>132671.4955513</v>
      </c>
      <c r="AI12" s="36">
        <f t="shared" si="14"/>
        <v>437280.4760513</v>
      </c>
      <c r="AJ12" s="36">
        <f t="shared" si="15"/>
        <v>29339.4654199</v>
      </c>
      <c r="AK12" s="36"/>
      <c r="AL12" s="36">
        <f t="shared" si="53"/>
        <v>273.8615</v>
      </c>
      <c r="AM12" s="36">
        <f t="shared" si="16"/>
        <v>119.2795259</v>
      </c>
      <c r="AN12" s="36">
        <f t="shared" si="17"/>
        <v>393.1410259</v>
      </c>
      <c r="AO12" s="36">
        <f t="shared" si="18"/>
        <v>26.3779157</v>
      </c>
      <c r="AQ12" s="36">
        <f t="shared" si="54"/>
        <v>18799.231</v>
      </c>
      <c r="AR12" s="36">
        <f t="shared" si="19"/>
        <v>8187.9466846</v>
      </c>
      <c r="AS12" s="36">
        <f t="shared" si="20"/>
        <v>26987.1776846</v>
      </c>
      <c r="AT12" s="36">
        <f t="shared" si="21"/>
        <v>1810.7128258</v>
      </c>
      <c r="AV12" s="36">
        <f t="shared" si="55"/>
        <v>163364.773</v>
      </c>
      <c r="AW12" s="36">
        <f t="shared" si="22"/>
        <v>71153.0195818</v>
      </c>
      <c r="AX12" s="36">
        <f t="shared" si="23"/>
        <v>234517.7925818</v>
      </c>
      <c r="AY12" s="36">
        <f t="shared" si="24"/>
        <v>15735.0420214</v>
      </c>
      <c r="BA12" s="36">
        <f t="shared" si="56"/>
        <v>254113.475</v>
      </c>
      <c r="BB12" s="36">
        <f t="shared" si="25"/>
        <v>110678.334935</v>
      </c>
      <c r="BC12" s="36">
        <f t="shared" si="26"/>
        <v>364791.809935</v>
      </c>
      <c r="BD12" s="36">
        <f t="shared" si="27"/>
        <v>24475.816505</v>
      </c>
      <c r="BF12" s="36">
        <f t="shared" si="57"/>
        <v>22485.529</v>
      </c>
      <c r="BG12" s="36">
        <f t="shared" si="28"/>
        <v>9793.5023314</v>
      </c>
      <c r="BH12" s="36">
        <f t="shared" si="29"/>
        <v>32279.031331399998</v>
      </c>
      <c r="BI12" s="36">
        <f t="shared" si="30"/>
        <v>2165.7713421999997</v>
      </c>
      <c r="BK12" s="36">
        <f t="shared" si="58"/>
        <v>10451.177</v>
      </c>
      <c r="BL12" s="36">
        <f t="shared" si="31"/>
        <v>4551.977688200001</v>
      </c>
      <c r="BM12" s="36">
        <f t="shared" si="32"/>
        <v>15003.1546882</v>
      </c>
      <c r="BN12" s="36">
        <f t="shared" si="33"/>
        <v>1006.6411886000001</v>
      </c>
      <c r="BP12" s="36">
        <f t="shared" si="59"/>
        <v>7023.186500000001</v>
      </c>
      <c r="BQ12" s="36">
        <f t="shared" si="34"/>
        <v>3058.9270709</v>
      </c>
      <c r="BR12" s="36">
        <f t="shared" si="35"/>
        <v>10082.113570900001</v>
      </c>
      <c r="BS12" s="36">
        <f t="shared" si="36"/>
        <v>676.4624507000001</v>
      </c>
      <c r="BU12" s="36">
        <f t="shared" si="60"/>
        <v>88214.511</v>
      </c>
      <c r="BV12" s="36">
        <f t="shared" si="37"/>
        <v>38421.556332600005</v>
      </c>
      <c r="BW12" s="5">
        <f t="shared" si="38"/>
        <v>126636.06733260001</v>
      </c>
      <c r="BX12" s="36">
        <f t="shared" si="39"/>
        <v>8496.6851298</v>
      </c>
      <c r="BZ12" s="36">
        <f t="shared" si="61"/>
        <v>476149.04699999996</v>
      </c>
      <c r="CA12" s="36">
        <f t="shared" si="40"/>
        <v>207385.2388302</v>
      </c>
      <c r="CB12" s="5">
        <f t="shared" si="41"/>
        <v>683534.2858302</v>
      </c>
      <c r="CC12" s="36">
        <f t="shared" si="42"/>
        <v>45861.9390546</v>
      </c>
      <c r="CD12" s="5"/>
      <c r="CE12" s="36">
        <f t="shared" si="62"/>
        <v>2036028.0435000001</v>
      </c>
      <c r="CF12" s="36">
        <f t="shared" si="43"/>
        <v>886785.6918471</v>
      </c>
      <c r="CG12" s="5">
        <f t="shared" si="44"/>
        <v>2922813.7353471</v>
      </c>
      <c r="CH12" s="36">
        <f t="shared" si="45"/>
        <v>196107.0690633</v>
      </c>
      <c r="CI12" s="5"/>
      <c r="CJ12" s="5"/>
      <c r="CK12" s="36"/>
      <c r="CL12" s="36">
        <f t="shared" si="46"/>
        <v>0</v>
      </c>
      <c r="CM12" s="36">
        <f t="shared" si="47"/>
        <v>0</v>
      </c>
      <c r="CN12" s="5"/>
      <c r="CO12" s="5"/>
      <c r="CP12" s="5"/>
      <c r="CQ12" s="5"/>
      <c r="CR12" s="5"/>
      <c r="CS12" s="5"/>
      <c r="CT12" s="5"/>
      <c r="CU12" s="5"/>
      <c r="CV12" s="5"/>
      <c r="CW12" s="5"/>
    </row>
    <row r="13" spans="1:101" ht="12.75">
      <c r="A13" s="37">
        <v>44835</v>
      </c>
      <c r="D13" s="3">
        <v>2280588</v>
      </c>
      <c r="E13" s="35">
        <f t="shared" si="0"/>
        <v>2280588</v>
      </c>
      <c r="F13" s="35">
        <v>535049</v>
      </c>
      <c r="H13" s="36"/>
      <c r="I13" s="36">
        <v>840456</v>
      </c>
      <c r="J13" s="36">
        <f t="shared" si="1"/>
        <v>840456</v>
      </c>
      <c r="K13" s="36">
        <f>'Academic Project '!K13</f>
        <v>197179.46777399993</v>
      </c>
      <c r="M13" s="36"/>
      <c r="N13" s="35">
        <f t="shared" si="2"/>
        <v>1440132.026712</v>
      </c>
      <c r="O13" s="36">
        <f t="shared" si="3"/>
        <v>1440132.026712</v>
      </c>
      <c r="P13" s="35">
        <f t="shared" si="2"/>
        <v>337869.532226</v>
      </c>
      <c r="Q13" s="36"/>
      <c r="R13" s="36"/>
      <c r="S13" s="36">
        <f t="shared" si="4"/>
        <v>1833.1366344</v>
      </c>
      <c r="T13" s="36">
        <f t="shared" si="5"/>
        <v>1833.1366344</v>
      </c>
      <c r="U13" s="36">
        <f t="shared" si="6"/>
        <v>430.07238620000004</v>
      </c>
      <c r="W13" s="36"/>
      <c r="X13" s="36">
        <f t="shared" si="7"/>
        <v>434.9081316</v>
      </c>
      <c r="Y13" s="36">
        <f t="shared" si="8"/>
        <v>434.9081316</v>
      </c>
      <c r="Z13" s="36">
        <f t="shared" si="9"/>
        <v>102.0338443</v>
      </c>
      <c r="AB13" s="36"/>
      <c r="AC13" s="36">
        <f t="shared" si="10"/>
        <v>49594.806941999996</v>
      </c>
      <c r="AD13" s="36">
        <f t="shared" si="11"/>
        <v>49594.806941999996</v>
      </c>
      <c r="AE13" s="36">
        <f t="shared" si="12"/>
        <v>11635.443078499999</v>
      </c>
      <c r="AG13" s="36"/>
      <c r="AH13" s="36">
        <f t="shared" si="13"/>
        <v>125056.2710388</v>
      </c>
      <c r="AI13" s="36">
        <f t="shared" si="14"/>
        <v>125056.2710388</v>
      </c>
      <c r="AJ13" s="36">
        <f t="shared" si="15"/>
        <v>29339.4654199</v>
      </c>
      <c r="AK13" s="36"/>
      <c r="AL13" s="36"/>
      <c r="AM13" s="36">
        <f t="shared" si="16"/>
        <v>112.4329884</v>
      </c>
      <c r="AN13" s="36">
        <f t="shared" si="17"/>
        <v>112.4329884</v>
      </c>
      <c r="AO13" s="36">
        <f t="shared" si="18"/>
        <v>26.3779157</v>
      </c>
      <c r="AQ13" s="36"/>
      <c r="AR13" s="36">
        <f t="shared" si="19"/>
        <v>7717.9659096</v>
      </c>
      <c r="AS13" s="36">
        <f t="shared" si="20"/>
        <v>7717.9659096</v>
      </c>
      <c r="AT13" s="36">
        <f t="shared" si="21"/>
        <v>1810.7128258</v>
      </c>
      <c r="AV13" s="36"/>
      <c r="AW13" s="36">
        <f t="shared" si="22"/>
        <v>67068.9002568</v>
      </c>
      <c r="AX13" s="36">
        <f t="shared" si="23"/>
        <v>67068.9002568</v>
      </c>
      <c r="AY13" s="36">
        <f t="shared" si="24"/>
        <v>15735.0420214</v>
      </c>
      <c r="BA13" s="36"/>
      <c r="BB13" s="36">
        <f t="shared" si="25"/>
        <v>104325.49806</v>
      </c>
      <c r="BC13" s="36">
        <f t="shared" si="26"/>
        <v>104325.49806</v>
      </c>
      <c r="BD13" s="36">
        <f t="shared" si="27"/>
        <v>24475.816505</v>
      </c>
      <c r="BF13" s="36"/>
      <c r="BG13" s="36">
        <f t="shared" si="28"/>
        <v>9231.3641064</v>
      </c>
      <c r="BH13" s="36">
        <f t="shared" si="29"/>
        <v>9231.3641064</v>
      </c>
      <c r="BI13" s="36">
        <f t="shared" si="30"/>
        <v>2165.7713421999997</v>
      </c>
      <c r="BK13" s="36"/>
      <c r="BL13" s="36">
        <f t="shared" si="31"/>
        <v>4290.6982632</v>
      </c>
      <c r="BM13" s="36">
        <f t="shared" si="32"/>
        <v>4290.6982632</v>
      </c>
      <c r="BN13" s="36">
        <f t="shared" si="33"/>
        <v>1006.6411886000001</v>
      </c>
      <c r="BP13" s="36"/>
      <c r="BQ13" s="36">
        <f t="shared" si="34"/>
        <v>2883.3474084000004</v>
      </c>
      <c r="BR13" s="36">
        <f t="shared" si="35"/>
        <v>2883.3474084000004</v>
      </c>
      <c r="BS13" s="36">
        <f t="shared" si="36"/>
        <v>676.4624507000001</v>
      </c>
      <c r="BU13" s="36"/>
      <c r="BV13" s="36">
        <f t="shared" si="37"/>
        <v>36216.1935576</v>
      </c>
      <c r="BW13" s="5">
        <f t="shared" si="38"/>
        <v>36216.1935576</v>
      </c>
      <c r="BX13" s="36">
        <f t="shared" si="39"/>
        <v>8496.6851298</v>
      </c>
      <c r="BZ13" s="36"/>
      <c r="CA13" s="36">
        <f t="shared" si="40"/>
        <v>195481.5126552</v>
      </c>
      <c r="CB13" s="5">
        <f t="shared" si="41"/>
        <v>195481.5126552</v>
      </c>
      <c r="CC13" s="36">
        <f t="shared" si="42"/>
        <v>45861.9390546</v>
      </c>
      <c r="CD13" s="5"/>
      <c r="CE13" s="36"/>
      <c r="CF13" s="36">
        <f t="shared" si="43"/>
        <v>835884.9907596001</v>
      </c>
      <c r="CG13" s="5">
        <f t="shared" si="44"/>
        <v>835884.9907596001</v>
      </c>
      <c r="CH13" s="36">
        <f t="shared" si="45"/>
        <v>196107.0690633</v>
      </c>
      <c r="CI13" s="5"/>
      <c r="CJ13" s="5"/>
      <c r="CK13" s="36"/>
      <c r="CL13" s="36">
        <f t="shared" si="46"/>
        <v>0</v>
      </c>
      <c r="CM13" s="36">
        <f t="shared" si="47"/>
        <v>0</v>
      </c>
      <c r="CN13" s="5"/>
      <c r="CO13" s="5"/>
      <c r="CP13" s="5"/>
      <c r="CQ13" s="5"/>
      <c r="CR13" s="5"/>
      <c r="CS13" s="5"/>
      <c r="CT13" s="5"/>
      <c r="CU13" s="5"/>
      <c r="CV13" s="5"/>
      <c r="CW13" s="5"/>
    </row>
    <row r="14" spans="1:101" ht="12.75">
      <c r="A14" s="37">
        <v>45017</v>
      </c>
      <c r="C14" s="3">
        <v>5835000</v>
      </c>
      <c r="D14" s="3">
        <v>2280588</v>
      </c>
      <c r="E14" s="35">
        <f t="shared" si="0"/>
        <v>8115588</v>
      </c>
      <c r="F14" s="35">
        <v>535049</v>
      </c>
      <c r="H14" s="36">
        <v>2150349</v>
      </c>
      <c r="I14" s="36">
        <v>840456</v>
      </c>
      <c r="J14" s="36">
        <f t="shared" si="1"/>
        <v>2990805</v>
      </c>
      <c r="K14" s="36">
        <f>'Academic Project '!K14</f>
        <v>197179.46777399993</v>
      </c>
      <c r="M14" s="36">
        <f t="shared" si="48"/>
        <v>3684650.79</v>
      </c>
      <c r="N14" s="35">
        <f t="shared" si="2"/>
        <v>1440132.026712</v>
      </c>
      <c r="O14" s="36">
        <f t="shared" si="3"/>
        <v>5124782.8167119995</v>
      </c>
      <c r="P14" s="35">
        <f t="shared" si="2"/>
        <v>337869.532226</v>
      </c>
      <c r="Q14" s="36"/>
      <c r="R14" s="36">
        <f t="shared" si="49"/>
        <v>4690.173</v>
      </c>
      <c r="S14" s="36">
        <f t="shared" si="4"/>
        <v>1833.1366344</v>
      </c>
      <c r="T14" s="36">
        <f t="shared" si="5"/>
        <v>6523.3096344</v>
      </c>
      <c r="U14" s="36">
        <f t="shared" si="6"/>
        <v>430.07238620000004</v>
      </c>
      <c r="W14" s="36">
        <f t="shared" si="50"/>
        <v>1112.7345</v>
      </c>
      <c r="X14" s="36">
        <f t="shared" si="7"/>
        <v>434.9081316</v>
      </c>
      <c r="Y14" s="36">
        <f t="shared" si="8"/>
        <v>1547.6426316</v>
      </c>
      <c r="Z14" s="36">
        <f t="shared" si="9"/>
        <v>102.0338443</v>
      </c>
      <c r="AB14" s="36">
        <f t="shared" si="51"/>
        <v>126890.82749999998</v>
      </c>
      <c r="AC14" s="36">
        <f t="shared" si="10"/>
        <v>49594.806941999996</v>
      </c>
      <c r="AD14" s="36">
        <f t="shared" si="11"/>
        <v>176485.63444199998</v>
      </c>
      <c r="AE14" s="36">
        <f t="shared" si="12"/>
        <v>11635.443078499999</v>
      </c>
      <c r="AG14" s="36">
        <f t="shared" si="52"/>
        <v>319962.8085</v>
      </c>
      <c r="AH14" s="36">
        <f t="shared" si="13"/>
        <v>125056.2710388</v>
      </c>
      <c r="AI14" s="36">
        <f t="shared" si="14"/>
        <v>445019.0795388</v>
      </c>
      <c r="AJ14" s="36">
        <f t="shared" si="15"/>
        <v>29339.4654199</v>
      </c>
      <c r="AK14" s="36"/>
      <c r="AL14" s="36">
        <f t="shared" si="53"/>
        <v>287.6655</v>
      </c>
      <c r="AM14" s="36">
        <f t="shared" si="16"/>
        <v>112.4329884</v>
      </c>
      <c r="AN14" s="36">
        <f t="shared" si="17"/>
        <v>400.0984884</v>
      </c>
      <c r="AO14" s="36">
        <f t="shared" si="18"/>
        <v>26.3779157</v>
      </c>
      <c r="AQ14" s="36">
        <f t="shared" si="54"/>
        <v>19746.807</v>
      </c>
      <c r="AR14" s="36">
        <f t="shared" si="19"/>
        <v>7717.9659096</v>
      </c>
      <c r="AS14" s="36">
        <f t="shared" si="20"/>
        <v>27464.7729096</v>
      </c>
      <c r="AT14" s="36">
        <f t="shared" si="21"/>
        <v>1810.7128258</v>
      </c>
      <c r="AV14" s="36">
        <f t="shared" si="55"/>
        <v>171599.181</v>
      </c>
      <c r="AW14" s="36">
        <f t="shared" si="22"/>
        <v>67068.9002568</v>
      </c>
      <c r="AX14" s="36">
        <f t="shared" si="23"/>
        <v>238668.0812568</v>
      </c>
      <c r="AY14" s="36">
        <f t="shared" si="24"/>
        <v>15735.0420214</v>
      </c>
      <c r="BA14" s="36">
        <f t="shared" si="56"/>
        <v>266922.075</v>
      </c>
      <c r="BB14" s="36">
        <f t="shared" si="25"/>
        <v>104325.49806</v>
      </c>
      <c r="BC14" s="36">
        <f t="shared" si="26"/>
        <v>371247.57306</v>
      </c>
      <c r="BD14" s="36">
        <f t="shared" si="27"/>
        <v>24475.816505</v>
      </c>
      <c r="BF14" s="36">
        <f t="shared" si="57"/>
        <v>23618.913</v>
      </c>
      <c r="BG14" s="36">
        <f t="shared" si="28"/>
        <v>9231.3641064</v>
      </c>
      <c r="BH14" s="36">
        <f t="shared" si="29"/>
        <v>32850.2771064</v>
      </c>
      <c r="BI14" s="36">
        <f t="shared" si="30"/>
        <v>2165.7713421999997</v>
      </c>
      <c r="BK14" s="36">
        <f t="shared" si="58"/>
        <v>10977.969000000001</v>
      </c>
      <c r="BL14" s="36">
        <f t="shared" si="31"/>
        <v>4290.6982632</v>
      </c>
      <c r="BM14" s="36">
        <f t="shared" si="32"/>
        <v>15268.6672632</v>
      </c>
      <c r="BN14" s="36">
        <f t="shared" si="33"/>
        <v>1006.6411886000001</v>
      </c>
      <c r="BP14" s="36">
        <f t="shared" si="59"/>
        <v>7377.190500000001</v>
      </c>
      <c r="BQ14" s="36">
        <f t="shared" si="34"/>
        <v>2883.3474084000004</v>
      </c>
      <c r="BR14" s="36">
        <f t="shared" si="35"/>
        <v>10260.537908400001</v>
      </c>
      <c r="BS14" s="36">
        <f t="shared" si="36"/>
        <v>676.4624507000001</v>
      </c>
      <c r="BU14" s="36">
        <f t="shared" si="60"/>
        <v>92660.967</v>
      </c>
      <c r="BV14" s="36">
        <f t="shared" si="37"/>
        <v>36216.1935576</v>
      </c>
      <c r="BW14" s="5">
        <f t="shared" si="38"/>
        <v>128877.1605576</v>
      </c>
      <c r="BX14" s="36">
        <f t="shared" si="39"/>
        <v>8496.6851298</v>
      </c>
      <c r="BZ14" s="36">
        <f t="shared" si="61"/>
        <v>500149.359</v>
      </c>
      <c r="CA14" s="36">
        <f t="shared" si="40"/>
        <v>195481.5126552</v>
      </c>
      <c r="CB14" s="5">
        <f t="shared" si="41"/>
        <v>695630.8716552</v>
      </c>
      <c r="CC14" s="36">
        <f t="shared" si="42"/>
        <v>45861.9390546</v>
      </c>
      <c r="CD14" s="5"/>
      <c r="CE14" s="36">
        <f t="shared" si="62"/>
        <v>2138654.1195</v>
      </c>
      <c r="CF14" s="36">
        <f t="shared" si="43"/>
        <v>835884.9907596001</v>
      </c>
      <c r="CG14" s="5">
        <f t="shared" si="44"/>
        <v>2974539.1102596</v>
      </c>
      <c r="CH14" s="36">
        <f t="shared" si="45"/>
        <v>196107.0690633</v>
      </c>
      <c r="CI14" s="5"/>
      <c r="CJ14" s="5"/>
      <c r="CK14" s="36"/>
      <c r="CL14" s="36">
        <f t="shared" si="46"/>
        <v>0</v>
      </c>
      <c r="CM14" s="36">
        <f t="shared" si="47"/>
        <v>0</v>
      </c>
      <c r="CN14" s="5"/>
      <c r="CO14" s="5"/>
      <c r="CP14" s="5"/>
      <c r="CQ14" s="5"/>
      <c r="CR14" s="5"/>
      <c r="CS14" s="5"/>
      <c r="CT14" s="5"/>
      <c r="CU14" s="5"/>
      <c r="CV14" s="5"/>
      <c r="CW14" s="5"/>
    </row>
    <row r="15" spans="1:101" ht="12.75">
      <c r="A15" s="37">
        <v>45200</v>
      </c>
      <c r="D15" s="3">
        <v>2134713</v>
      </c>
      <c r="E15" s="35">
        <f t="shared" si="0"/>
        <v>2134713</v>
      </c>
      <c r="F15" s="35">
        <v>535049</v>
      </c>
      <c r="H15" s="36"/>
      <c r="I15" s="36">
        <v>786697</v>
      </c>
      <c r="J15" s="36">
        <f t="shared" si="1"/>
        <v>786697</v>
      </c>
      <c r="K15" s="36">
        <f>'Academic Project '!K15</f>
        <v>197179.46777399993</v>
      </c>
      <c r="M15" s="36"/>
      <c r="N15" s="35">
        <f t="shared" si="2"/>
        <v>1348015.756962</v>
      </c>
      <c r="O15" s="36">
        <f t="shared" si="3"/>
        <v>1348015.756962</v>
      </c>
      <c r="P15" s="35">
        <f t="shared" si="2"/>
        <v>337869.532226</v>
      </c>
      <c r="Q15" s="36"/>
      <c r="R15" s="36"/>
      <c r="S15" s="36">
        <f t="shared" si="4"/>
        <v>1715.8823094</v>
      </c>
      <c r="T15" s="36">
        <f t="shared" si="5"/>
        <v>1715.8823094</v>
      </c>
      <c r="U15" s="36">
        <f t="shared" si="6"/>
        <v>430.07238620000004</v>
      </c>
      <c r="W15" s="36"/>
      <c r="X15" s="36">
        <f t="shared" si="7"/>
        <v>407.0897691</v>
      </c>
      <c r="Y15" s="36">
        <f t="shared" si="8"/>
        <v>407.0897691</v>
      </c>
      <c r="Z15" s="36">
        <f t="shared" si="9"/>
        <v>102.0338443</v>
      </c>
      <c r="AB15" s="36"/>
      <c r="AC15" s="36">
        <f t="shared" si="10"/>
        <v>46422.536254499995</v>
      </c>
      <c r="AD15" s="36">
        <f t="shared" si="11"/>
        <v>46422.536254499995</v>
      </c>
      <c r="AE15" s="36">
        <f t="shared" si="12"/>
        <v>11635.443078499999</v>
      </c>
      <c r="AG15" s="36"/>
      <c r="AH15" s="36">
        <f t="shared" si="13"/>
        <v>117057.20082629999</v>
      </c>
      <c r="AI15" s="36">
        <f t="shared" si="14"/>
        <v>117057.20082629999</v>
      </c>
      <c r="AJ15" s="36">
        <f t="shared" si="15"/>
        <v>29339.4654199</v>
      </c>
      <c r="AK15" s="36"/>
      <c r="AL15" s="36"/>
      <c r="AM15" s="36">
        <f t="shared" si="16"/>
        <v>105.2413509</v>
      </c>
      <c r="AN15" s="36">
        <f t="shared" si="17"/>
        <v>105.2413509</v>
      </c>
      <c r="AO15" s="36">
        <f t="shared" si="18"/>
        <v>26.3779157</v>
      </c>
      <c r="AQ15" s="36"/>
      <c r="AR15" s="36">
        <f t="shared" si="19"/>
        <v>7224.2957346</v>
      </c>
      <c r="AS15" s="36">
        <f t="shared" si="20"/>
        <v>7224.2957346</v>
      </c>
      <c r="AT15" s="36">
        <f t="shared" si="21"/>
        <v>1810.7128258</v>
      </c>
      <c r="AV15" s="36"/>
      <c r="AW15" s="36">
        <f t="shared" si="22"/>
        <v>62778.9207318</v>
      </c>
      <c r="AX15" s="36">
        <f t="shared" si="23"/>
        <v>62778.9207318</v>
      </c>
      <c r="AY15" s="36">
        <f t="shared" si="24"/>
        <v>15735.0420214</v>
      </c>
      <c r="BA15" s="36"/>
      <c r="BB15" s="36">
        <f t="shared" si="25"/>
        <v>97652.44618500001</v>
      </c>
      <c r="BC15" s="36">
        <f t="shared" si="26"/>
        <v>97652.44618500001</v>
      </c>
      <c r="BD15" s="36">
        <f t="shared" si="27"/>
        <v>24475.816505</v>
      </c>
      <c r="BF15" s="36"/>
      <c r="BG15" s="36">
        <f t="shared" si="28"/>
        <v>8640.8912814</v>
      </c>
      <c r="BH15" s="36">
        <f t="shared" si="29"/>
        <v>8640.8912814</v>
      </c>
      <c r="BI15" s="36">
        <f t="shared" si="30"/>
        <v>2165.7713421999997</v>
      </c>
      <c r="BK15" s="36"/>
      <c r="BL15" s="36">
        <f t="shared" si="31"/>
        <v>4016.2490382</v>
      </c>
      <c r="BM15" s="36">
        <f t="shared" si="32"/>
        <v>4016.2490382</v>
      </c>
      <c r="BN15" s="36">
        <f t="shared" si="33"/>
        <v>1006.6411886000001</v>
      </c>
      <c r="BP15" s="36"/>
      <c r="BQ15" s="36">
        <f t="shared" si="34"/>
        <v>2698.9176459</v>
      </c>
      <c r="BR15" s="36">
        <f t="shared" si="35"/>
        <v>2698.9176459</v>
      </c>
      <c r="BS15" s="36">
        <f t="shared" si="36"/>
        <v>676.4624507000001</v>
      </c>
      <c r="BU15" s="36"/>
      <c r="BV15" s="36">
        <f t="shared" si="37"/>
        <v>33899.669382600005</v>
      </c>
      <c r="BW15" s="5">
        <f t="shared" si="38"/>
        <v>33899.669382600005</v>
      </c>
      <c r="BX15" s="36">
        <f t="shared" si="39"/>
        <v>8496.6851298</v>
      </c>
      <c r="BZ15" s="36"/>
      <c r="CA15" s="36">
        <f t="shared" si="40"/>
        <v>182977.7786802</v>
      </c>
      <c r="CB15" s="5">
        <f t="shared" si="41"/>
        <v>182977.7786802</v>
      </c>
      <c r="CC15" s="36">
        <f t="shared" si="42"/>
        <v>45861.9390546</v>
      </c>
      <c r="CD15" s="5"/>
      <c r="CE15" s="36"/>
      <c r="CF15" s="36">
        <f t="shared" si="43"/>
        <v>782418.6377721</v>
      </c>
      <c r="CG15" s="5">
        <f t="shared" si="44"/>
        <v>782418.6377721</v>
      </c>
      <c r="CH15" s="36">
        <f t="shared" si="45"/>
        <v>196107.0690633</v>
      </c>
      <c r="CI15" s="5"/>
      <c r="CJ15" s="5"/>
      <c r="CK15" s="36"/>
      <c r="CL15" s="36">
        <f t="shared" si="46"/>
        <v>0</v>
      </c>
      <c r="CM15" s="36">
        <f t="shared" si="47"/>
        <v>0</v>
      </c>
      <c r="CN15" s="5"/>
      <c r="CO15" s="5"/>
      <c r="CP15" s="5"/>
      <c r="CQ15" s="5"/>
      <c r="CR15" s="5"/>
      <c r="CS15" s="5"/>
      <c r="CT15" s="5"/>
      <c r="CU15" s="5"/>
      <c r="CV15" s="5"/>
      <c r="CW15" s="5"/>
    </row>
    <row r="16" spans="1:101" ht="12.75">
      <c r="A16" s="37">
        <v>45383</v>
      </c>
      <c r="C16" s="3">
        <v>6125000</v>
      </c>
      <c r="D16" s="3">
        <v>2134713</v>
      </c>
      <c r="E16" s="35">
        <f t="shared" si="0"/>
        <v>8259713</v>
      </c>
      <c r="F16" s="35">
        <v>535049</v>
      </c>
      <c r="H16" s="36">
        <v>2257222</v>
      </c>
      <c r="I16" s="36">
        <v>786697</v>
      </c>
      <c r="J16" s="36">
        <f t="shared" si="1"/>
        <v>3043919</v>
      </c>
      <c r="K16" s="36">
        <f>'Academic Project '!K16</f>
        <v>197179.46777399993</v>
      </c>
      <c r="M16" s="36">
        <f t="shared" si="48"/>
        <v>3867778.25</v>
      </c>
      <c r="N16" s="35">
        <f t="shared" si="2"/>
        <v>1348015.756962</v>
      </c>
      <c r="O16" s="36">
        <f t="shared" si="3"/>
        <v>5215794.006961999</v>
      </c>
      <c r="P16" s="35">
        <f t="shared" si="2"/>
        <v>337869.532226</v>
      </c>
      <c r="Q16" s="36"/>
      <c r="R16" s="36">
        <f t="shared" si="49"/>
        <v>4923.275000000001</v>
      </c>
      <c r="S16" s="36">
        <f t="shared" si="4"/>
        <v>1715.8823094</v>
      </c>
      <c r="T16" s="36">
        <f t="shared" si="5"/>
        <v>6639.1573094000005</v>
      </c>
      <c r="U16" s="36">
        <f t="shared" si="6"/>
        <v>430.07238620000004</v>
      </c>
      <c r="W16" s="36">
        <f t="shared" si="50"/>
        <v>1168.0375</v>
      </c>
      <c r="X16" s="36">
        <f t="shared" si="7"/>
        <v>407.0897691</v>
      </c>
      <c r="Y16" s="36">
        <f t="shared" si="8"/>
        <v>1575.1272691</v>
      </c>
      <c r="Z16" s="36">
        <f t="shared" si="9"/>
        <v>102.0338443</v>
      </c>
      <c r="AB16" s="36">
        <f t="shared" si="51"/>
        <v>133197.3125</v>
      </c>
      <c r="AC16" s="36">
        <f t="shared" si="10"/>
        <v>46422.536254499995</v>
      </c>
      <c r="AD16" s="36">
        <f t="shared" si="11"/>
        <v>179619.84875449998</v>
      </c>
      <c r="AE16" s="36">
        <f t="shared" si="12"/>
        <v>11635.443078499999</v>
      </c>
      <c r="AG16" s="36">
        <f t="shared" si="52"/>
        <v>335864.9875</v>
      </c>
      <c r="AH16" s="36">
        <f t="shared" si="13"/>
        <v>117057.20082629999</v>
      </c>
      <c r="AI16" s="36">
        <f t="shared" si="14"/>
        <v>452922.1883263</v>
      </c>
      <c r="AJ16" s="36">
        <f t="shared" si="15"/>
        <v>29339.4654199</v>
      </c>
      <c r="AK16" s="36"/>
      <c r="AL16" s="36">
        <f t="shared" si="53"/>
        <v>301.9625</v>
      </c>
      <c r="AM16" s="36">
        <f t="shared" si="16"/>
        <v>105.2413509</v>
      </c>
      <c r="AN16" s="36">
        <f t="shared" si="17"/>
        <v>407.20385089999996</v>
      </c>
      <c r="AO16" s="36">
        <f t="shared" si="18"/>
        <v>26.3779157</v>
      </c>
      <c r="AQ16" s="36">
        <f t="shared" si="54"/>
        <v>20728.225</v>
      </c>
      <c r="AR16" s="36">
        <f t="shared" si="19"/>
        <v>7224.2957346</v>
      </c>
      <c r="AS16" s="36">
        <f t="shared" si="20"/>
        <v>27952.5207346</v>
      </c>
      <c r="AT16" s="36">
        <f t="shared" si="21"/>
        <v>1810.7128258</v>
      </c>
      <c r="AV16" s="36">
        <f t="shared" si="55"/>
        <v>180127.675</v>
      </c>
      <c r="AW16" s="36">
        <f t="shared" si="22"/>
        <v>62778.9207318</v>
      </c>
      <c r="AX16" s="36">
        <f t="shared" si="23"/>
        <v>242906.5957318</v>
      </c>
      <c r="AY16" s="36">
        <f t="shared" si="24"/>
        <v>15735.0420214</v>
      </c>
      <c r="BA16" s="36">
        <f t="shared" si="56"/>
        <v>280188.125</v>
      </c>
      <c r="BB16" s="36">
        <f t="shared" si="25"/>
        <v>97652.44618500001</v>
      </c>
      <c r="BC16" s="36">
        <f t="shared" si="26"/>
        <v>377840.571185</v>
      </c>
      <c r="BD16" s="36">
        <f t="shared" si="27"/>
        <v>24475.816505</v>
      </c>
      <c r="BF16" s="36">
        <f t="shared" si="57"/>
        <v>24792.774999999998</v>
      </c>
      <c r="BG16" s="36">
        <f t="shared" si="28"/>
        <v>8640.8912814</v>
      </c>
      <c r="BH16" s="36">
        <f t="shared" si="29"/>
        <v>33433.6662814</v>
      </c>
      <c r="BI16" s="36">
        <f t="shared" si="30"/>
        <v>2165.7713421999997</v>
      </c>
      <c r="BK16" s="36">
        <f t="shared" si="58"/>
        <v>11523.575</v>
      </c>
      <c r="BL16" s="36">
        <f t="shared" si="31"/>
        <v>4016.2490382</v>
      </c>
      <c r="BM16" s="36">
        <f t="shared" si="32"/>
        <v>15539.8240382</v>
      </c>
      <c r="BN16" s="36">
        <f t="shared" si="33"/>
        <v>1006.6411886000001</v>
      </c>
      <c r="BP16" s="36">
        <f t="shared" si="59"/>
        <v>7743.837500000001</v>
      </c>
      <c r="BQ16" s="36">
        <f t="shared" si="34"/>
        <v>2698.9176459</v>
      </c>
      <c r="BR16" s="36">
        <f t="shared" si="35"/>
        <v>10442.7551459</v>
      </c>
      <c r="BS16" s="36">
        <f t="shared" si="36"/>
        <v>676.4624507000001</v>
      </c>
      <c r="BU16" s="36">
        <f t="shared" si="60"/>
        <v>97266.225</v>
      </c>
      <c r="BV16" s="36">
        <f t="shared" si="37"/>
        <v>33899.669382600005</v>
      </c>
      <c r="BW16" s="5">
        <f t="shared" si="38"/>
        <v>131165.8943826</v>
      </c>
      <c r="BX16" s="36">
        <f t="shared" si="39"/>
        <v>8496.6851298</v>
      </c>
      <c r="BZ16" s="36">
        <f t="shared" si="61"/>
        <v>525006.825</v>
      </c>
      <c r="CA16" s="36">
        <f t="shared" si="40"/>
        <v>182977.7786802</v>
      </c>
      <c r="CB16" s="5">
        <f t="shared" si="41"/>
        <v>707984.6036802</v>
      </c>
      <c r="CC16" s="36">
        <f t="shared" si="42"/>
        <v>45861.9390546</v>
      </c>
      <c r="CD16" s="5"/>
      <c r="CE16" s="36">
        <f t="shared" si="62"/>
        <v>2244945.4125</v>
      </c>
      <c r="CF16" s="36">
        <f t="shared" si="43"/>
        <v>782418.6377721</v>
      </c>
      <c r="CG16" s="5">
        <f t="shared" si="44"/>
        <v>3027364.0502721</v>
      </c>
      <c r="CH16" s="36">
        <f t="shared" si="45"/>
        <v>196107.0690633</v>
      </c>
      <c r="CI16" s="5"/>
      <c r="CJ16" s="5"/>
      <c r="CK16" s="36"/>
      <c r="CL16" s="36">
        <f t="shared" si="46"/>
        <v>0</v>
      </c>
      <c r="CM16" s="36">
        <f t="shared" si="47"/>
        <v>0</v>
      </c>
      <c r="CN16" s="5"/>
      <c r="CO16" s="5"/>
      <c r="CP16" s="5"/>
      <c r="CQ16" s="5"/>
      <c r="CR16" s="5"/>
      <c r="CS16" s="5"/>
      <c r="CT16" s="5"/>
      <c r="CU16" s="5"/>
      <c r="CV16" s="5"/>
      <c r="CW16" s="5"/>
    </row>
    <row r="17" spans="1:101" ht="12.75">
      <c r="A17" s="37">
        <v>45566</v>
      </c>
      <c r="D17" s="3">
        <v>1981588</v>
      </c>
      <c r="E17" s="35">
        <f t="shared" si="0"/>
        <v>1981588</v>
      </c>
      <c r="F17" s="35">
        <v>535049</v>
      </c>
      <c r="H17" s="36"/>
      <c r="I17" s="36">
        <v>730267</v>
      </c>
      <c r="J17" s="36">
        <f t="shared" si="1"/>
        <v>730267</v>
      </c>
      <c r="K17" s="36">
        <f>'Academic Project '!K17</f>
        <v>197179.46777399993</v>
      </c>
      <c r="M17" s="36"/>
      <c r="N17" s="35">
        <f t="shared" si="2"/>
        <v>1251321.3007119999</v>
      </c>
      <c r="O17" s="36">
        <f t="shared" si="3"/>
        <v>1251321.3007119999</v>
      </c>
      <c r="P17" s="35">
        <f t="shared" si="2"/>
        <v>337869.532226</v>
      </c>
      <c r="Q17" s="36"/>
      <c r="R17" s="36"/>
      <c r="S17" s="36">
        <f t="shared" si="4"/>
        <v>1592.8004344</v>
      </c>
      <c r="T17" s="36">
        <f t="shared" si="5"/>
        <v>1592.8004344</v>
      </c>
      <c r="U17" s="36">
        <f t="shared" si="6"/>
        <v>430.07238620000004</v>
      </c>
      <c r="W17" s="36"/>
      <c r="X17" s="36">
        <f t="shared" si="7"/>
        <v>377.8888316</v>
      </c>
      <c r="Y17" s="36">
        <f t="shared" si="8"/>
        <v>377.8888316</v>
      </c>
      <c r="Z17" s="36">
        <f t="shared" si="9"/>
        <v>102.0338443</v>
      </c>
      <c r="AB17" s="36"/>
      <c r="AC17" s="36">
        <f t="shared" si="10"/>
        <v>43092.603442</v>
      </c>
      <c r="AD17" s="36">
        <f t="shared" si="11"/>
        <v>43092.603442</v>
      </c>
      <c r="AE17" s="36">
        <f t="shared" si="12"/>
        <v>11635.443078499999</v>
      </c>
      <c r="AG17" s="36"/>
      <c r="AH17" s="36">
        <f t="shared" si="13"/>
        <v>108660.5761388</v>
      </c>
      <c r="AI17" s="36">
        <f t="shared" si="14"/>
        <v>108660.5761388</v>
      </c>
      <c r="AJ17" s="36">
        <f t="shared" si="15"/>
        <v>29339.4654199</v>
      </c>
      <c r="AK17" s="36"/>
      <c r="AL17" s="36"/>
      <c r="AM17" s="36">
        <f t="shared" si="16"/>
        <v>97.6922884</v>
      </c>
      <c r="AN17" s="36">
        <f t="shared" si="17"/>
        <v>97.6922884</v>
      </c>
      <c r="AO17" s="36">
        <f t="shared" si="18"/>
        <v>26.3779157</v>
      </c>
      <c r="AQ17" s="36"/>
      <c r="AR17" s="36">
        <f t="shared" si="19"/>
        <v>6706.0901096</v>
      </c>
      <c r="AS17" s="36">
        <f t="shared" si="20"/>
        <v>6706.0901096</v>
      </c>
      <c r="AT17" s="36">
        <f t="shared" si="21"/>
        <v>1810.7128258</v>
      </c>
      <c r="AV17" s="36"/>
      <c r="AW17" s="36">
        <f t="shared" si="22"/>
        <v>58275.7288568</v>
      </c>
      <c r="AX17" s="36">
        <f t="shared" si="23"/>
        <v>58275.7288568</v>
      </c>
      <c r="AY17" s="36">
        <f t="shared" si="24"/>
        <v>15735.0420214</v>
      </c>
      <c r="BA17" s="36"/>
      <c r="BB17" s="36">
        <f t="shared" si="25"/>
        <v>90647.74306000001</v>
      </c>
      <c r="BC17" s="36">
        <f t="shared" si="26"/>
        <v>90647.74306000001</v>
      </c>
      <c r="BD17" s="36">
        <f t="shared" si="27"/>
        <v>24475.816505</v>
      </c>
      <c r="BF17" s="36"/>
      <c r="BG17" s="36">
        <f t="shared" si="28"/>
        <v>8021.0719063999995</v>
      </c>
      <c r="BH17" s="36">
        <f t="shared" si="29"/>
        <v>8021.0719063999995</v>
      </c>
      <c r="BI17" s="36">
        <f t="shared" si="30"/>
        <v>2165.7713421999997</v>
      </c>
      <c r="BK17" s="36"/>
      <c r="BL17" s="36">
        <f t="shared" si="31"/>
        <v>3728.1596632</v>
      </c>
      <c r="BM17" s="36">
        <f t="shared" si="32"/>
        <v>3728.1596632</v>
      </c>
      <c r="BN17" s="36">
        <f t="shared" si="33"/>
        <v>1006.6411886000001</v>
      </c>
      <c r="BP17" s="36"/>
      <c r="BQ17" s="36">
        <f t="shared" si="34"/>
        <v>2505.3217084000003</v>
      </c>
      <c r="BR17" s="36">
        <f t="shared" si="35"/>
        <v>2505.3217084000003</v>
      </c>
      <c r="BS17" s="36">
        <f t="shared" si="36"/>
        <v>676.4624507000001</v>
      </c>
      <c r="BU17" s="36"/>
      <c r="BV17" s="36">
        <f t="shared" si="37"/>
        <v>31468.0137576</v>
      </c>
      <c r="BW17" s="5">
        <f t="shared" si="38"/>
        <v>31468.0137576</v>
      </c>
      <c r="BX17" s="36">
        <f t="shared" si="39"/>
        <v>8496.6851298</v>
      </c>
      <c r="BZ17" s="36"/>
      <c r="CA17" s="36">
        <f t="shared" si="40"/>
        <v>169852.6080552</v>
      </c>
      <c r="CB17" s="5">
        <f t="shared" si="41"/>
        <v>169852.6080552</v>
      </c>
      <c r="CC17" s="36">
        <f t="shared" si="42"/>
        <v>45861.9390546</v>
      </c>
      <c r="CD17" s="5"/>
      <c r="CE17" s="36"/>
      <c r="CF17" s="36">
        <f t="shared" si="43"/>
        <v>726295.0024596</v>
      </c>
      <c r="CG17" s="5">
        <f t="shared" si="44"/>
        <v>726295.0024596</v>
      </c>
      <c r="CH17" s="36">
        <f t="shared" si="45"/>
        <v>196107.0690633</v>
      </c>
      <c r="CI17" s="5"/>
      <c r="CJ17" s="5"/>
      <c r="CK17" s="36"/>
      <c r="CL17" s="36">
        <f t="shared" si="46"/>
        <v>0</v>
      </c>
      <c r="CM17" s="36">
        <f t="shared" si="47"/>
        <v>0</v>
      </c>
      <c r="CN17" s="5"/>
      <c r="CO17" s="5"/>
      <c r="CP17" s="5"/>
      <c r="CQ17" s="5"/>
      <c r="CR17" s="5"/>
      <c r="CS17" s="5"/>
      <c r="CT17" s="5"/>
      <c r="CU17" s="5"/>
      <c r="CV17" s="5"/>
      <c r="CW17" s="5"/>
    </row>
    <row r="18" spans="1:101" ht="12.75">
      <c r="A18" s="37">
        <v>45748</v>
      </c>
      <c r="C18" s="3">
        <v>6435000</v>
      </c>
      <c r="D18" s="3">
        <v>1981588</v>
      </c>
      <c r="E18" s="35">
        <f t="shared" si="0"/>
        <v>8416588</v>
      </c>
      <c r="F18" s="35">
        <v>535049</v>
      </c>
      <c r="H18" s="36">
        <v>2371465</v>
      </c>
      <c r="I18" s="36">
        <v>730267</v>
      </c>
      <c r="J18" s="36">
        <f t="shared" si="1"/>
        <v>3101732</v>
      </c>
      <c r="K18" s="36">
        <f>'Academic Project '!K18</f>
        <v>197179.46777399993</v>
      </c>
      <c r="M18" s="36">
        <f t="shared" si="48"/>
        <v>4063535.1900000004</v>
      </c>
      <c r="N18" s="35">
        <f t="shared" si="2"/>
        <v>1251321.3007119999</v>
      </c>
      <c r="O18" s="36">
        <f t="shared" si="3"/>
        <v>5314856.490712</v>
      </c>
      <c r="P18" s="35">
        <f t="shared" si="2"/>
        <v>337869.532226</v>
      </c>
      <c r="Q18" s="36"/>
      <c r="R18" s="36">
        <f t="shared" si="49"/>
        <v>5172.453</v>
      </c>
      <c r="S18" s="36">
        <f t="shared" si="4"/>
        <v>1592.8004344</v>
      </c>
      <c r="T18" s="36">
        <f t="shared" si="5"/>
        <v>6765.2534344000005</v>
      </c>
      <c r="U18" s="36">
        <f t="shared" si="6"/>
        <v>430.07238620000004</v>
      </c>
      <c r="W18" s="36">
        <f t="shared" si="50"/>
        <v>1227.1545</v>
      </c>
      <c r="X18" s="36">
        <f t="shared" si="7"/>
        <v>377.8888316</v>
      </c>
      <c r="Y18" s="36">
        <f t="shared" si="8"/>
        <v>1605.0433316</v>
      </c>
      <c r="Z18" s="36">
        <f t="shared" si="9"/>
        <v>102.0338443</v>
      </c>
      <c r="AB18" s="36">
        <f t="shared" si="51"/>
        <v>139938.72749999998</v>
      </c>
      <c r="AC18" s="36">
        <f t="shared" si="10"/>
        <v>43092.603442</v>
      </c>
      <c r="AD18" s="36">
        <f t="shared" si="11"/>
        <v>183031.33094199997</v>
      </c>
      <c r="AE18" s="36">
        <f t="shared" si="12"/>
        <v>11635.443078499999</v>
      </c>
      <c r="AG18" s="36">
        <f t="shared" si="52"/>
        <v>352863.8685</v>
      </c>
      <c r="AH18" s="36">
        <f t="shared" si="13"/>
        <v>108660.5761388</v>
      </c>
      <c r="AI18" s="36">
        <f t="shared" si="14"/>
        <v>461524.4446388</v>
      </c>
      <c r="AJ18" s="36">
        <f t="shared" si="15"/>
        <v>29339.4654199</v>
      </c>
      <c r="AK18" s="36"/>
      <c r="AL18" s="36">
        <f t="shared" si="53"/>
        <v>317.2455</v>
      </c>
      <c r="AM18" s="36">
        <f t="shared" si="16"/>
        <v>97.6922884</v>
      </c>
      <c r="AN18" s="36">
        <f t="shared" si="17"/>
        <v>414.9377884</v>
      </c>
      <c r="AO18" s="36">
        <f t="shared" si="18"/>
        <v>26.3779157</v>
      </c>
      <c r="AQ18" s="36">
        <f t="shared" si="54"/>
        <v>21777.327</v>
      </c>
      <c r="AR18" s="36">
        <f t="shared" si="19"/>
        <v>6706.0901096</v>
      </c>
      <c r="AS18" s="36">
        <f t="shared" si="20"/>
        <v>28483.4171096</v>
      </c>
      <c r="AT18" s="36">
        <f t="shared" si="21"/>
        <v>1810.7128258</v>
      </c>
      <c r="AV18" s="36">
        <f t="shared" si="55"/>
        <v>189244.341</v>
      </c>
      <c r="AW18" s="36">
        <f t="shared" si="22"/>
        <v>58275.7288568</v>
      </c>
      <c r="AX18" s="36">
        <f t="shared" si="23"/>
        <v>247520.0698568</v>
      </c>
      <c r="AY18" s="36">
        <f t="shared" si="24"/>
        <v>15735.0420214</v>
      </c>
      <c r="BA18" s="36">
        <f t="shared" si="56"/>
        <v>294369.075</v>
      </c>
      <c r="BB18" s="36">
        <f t="shared" si="25"/>
        <v>90647.74306000001</v>
      </c>
      <c r="BC18" s="36">
        <f t="shared" si="26"/>
        <v>385016.81806</v>
      </c>
      <c r="BD18" s="36">
        <f t="shared" si="27"/>
        <v>24475.816505</v>
      </c>
      <c r="BF18" s="36">
        <f t="shared" si="57"/>
        <v>26047.593</v>
      </c>
      <c r="BG18" s="36">
        <f t="shared" si="28"/>
        <v>8021.0719063999995</v>
      </c>
      <c r="BH18" s="36">
        <f t="shared" si="29"/>
        <v>34068.6649064</v>
      </c>
      <c r="BI18" s="36">
        <f t="shared" si="30"/>
        <v>2165.7713421999997</v>
      </c>
      <c r="BK18" s="36">
        <f t="shared" si="58"/>
        <v>12106.809000000001</v>
      </c>
      <c r="BL18" s="36">
        <f t="shared" si="31"/>
        <v>3728.1596632</v>
      </c>
      <c r="BM18" s="36">
        <f t="shared" si="32"/>
        <v>15834.968663200001</v>
      </c>
      <c r="BN18" s="36">
        <f t="shared" si="33"/>
        <v>1006.6411886000001</v>
      </c>
      <c r="BP18" s="36">
        <f t="shared" si="59"/>
        <v>8135.7705000000005</v>
      </c>
      <c r="BQ18" s="36">
        <f t="shared" si="34"/>
        <v>2505.3217084000003</v>
      </c>
      <c r="BR18" s="36">
        <f t="shared" si="35"/>
        <v>10641.092208400001</v>
      </c>
      <c r="BS18" s="36">
        <f t="shared" si="36"/>
        <v>676.4624507000001</v>
      </c>
      <c r="BU18" s="36">
        <f t="shared" si="60"/>
        <v>102189.087</v>
      </c>
      <c r="BV18" s="36">
        <f t="shared" si="37"/>
        <v>31468.0137576</v>
      </c>
      <c r="BW18" s="5">
        <f t="shared" si="38"/>
        <v>133657.1007576</v>
      </c>
      <c r="BX18" s="36">
        <f t="shared" si="39"/>
        <v>8496.6851298</v>
      </c>
      <c r="BZ18" s="36">
        <f t="shared" si="61"/>
        <v>551578.5989999999</v>
      </c>
      <c r="CA18" s="36">
        <f t="shared" si="40"/>
        <v>169852.6080552</v>
      </c>
      <c r="CB18" s="5">
        <f t="shared" si="41"/>
        <v>721431.2070551999</v>
      </c>
      <c r="CC18" s="36">
        <f t="shared" si="42"/>
        <v>45861.9390546</v>
      </c>
      <c r="CD18" s="5"/>
      <c r="CE18" s="36">
        <f t="shared" si="62"/>
        <v>2358567.1395</v>
      </c>
      <c r="CF18" s="36">
        <f t="shared" si="43"/>
        <v>726295.0024596</v>
      </c>
      <c r="CG18" s="5">
        <f t="shared" si="44"/>
        <v>3084862.1419596</v>
      </c>
      <c r="CH18" s="36">
        <f t="shared" si="45"/>
        <v>196107.0690633</v>
      </c>
      <c r="CI18" s="5"/>
      <c r="CJ18" s="5"/>
      <c r="CK18" s="36"/>
      <c r="CL18" s="36">
        <f t="shared" si="46"/>
        <v>0</v>
      </c>
      <c r="CM18" s="36">
        <f t="shared" si="47"/>
        <v>0</v>
      </c>
      <c r="CN18" s="5"/>
      <c r="CO18" s="5"/>
      <c r="CP18" s="5"/>
      <c r="CQ18" s="5"/>
      <c r="CR18" s="5"/>
      <c r="CS18" s="5"/>
      <c r="CT18" s="5"/>
      <c r="CU18" s="5"/>
      <c r="CV18" s="5"/>
      <c r="CW18" s="5"/>
    </row>
    <row r="19" spans="1:101" ht="12.75">
      <c r="A19" s="37">
        <v>45931</v>
      </c>
      <c r="D19" s="3">
        <v>1820713</v>
      </c>
      <c r="E19" s="35">
        <f t="shared" si="0"/>
        <v>1820713</v>
      </c>
      <c r="F19" s="35">
        <v>535049</v>
      </c>
      <c r="H19" s="36"/>
      <c r="I19" s="36">
        <v>670980</v>
      </c>
      <c r="J19" s="36">
        <f t="shared" si="1"/>
        <v>670980</v>
      </c>
      <c r="K19" s="36">
        <f>'Academic Project '!K19</f>
        <v>197179.46777399993</v>
      </c>
      <c r="M19" s="36"/>
      <c r="N19" s="35">
        <f t="shared" si="2"/>
        <v>1149732.920962</v>
      </c>
      <c r="O19" s="36">
        <f t="shared" si="3"/>
        <v>1149732.920962</v>
      </c>
      <c r="P19" s="35">
        <f t="shared" si="2"/>
        <v>337869.532226</v>
      </c>
      <c r="Q19" s="36"/>
      <c r="R19" s="36"/>
      <c r="S19" s="36">
        <f t="shared" si="4"/>
        <v>1463.4891094</v>
      </c>
      <c r="T19" s="36">
        <f t="shared" si="5"/>
        <v>1463.4891094</v>
      </c>
      <c r="U19" s="36">
        <f t="shared" si="6"/>
        <v>430.07238620000004</v>
      </c>
      <c r="W19" s="36"/>
      <c r="X19" s="36">
        <f t="shared" si="7"/>
        <v>347.2099691</v>
      </c>
      <c r="Y19" s="36">
        <f t="shared" si="8"/>
        <v>347.2099691</v>
      </c>
      <c r="Z19" s="36">
        <f t="shared" si="9"/>
        <v>102.0338443</v>
      </c>
      <c r="AB19" s="36"/>
      <c r="AC19" s="36">
        <f t="shared" si="10"/>
        <v>39594.1352545</v>
      </c>
      <c r="AD19" s="36">
        <f t="shared" si="11"/>
        <v>39594.1352545</v>
      </c>
      <c r="AE19" s="36">
        <f t="shared" si="12"/>
        <v>11635.443078499999</v>
      </c>
      <c r="AG19" s="36"/>
      <c r="AH19" s="36">
        <f t="shared" si="13"/>
        <v>99838.9794263</v>
      </c>
      <c r="AI19" s="36">
        <f t="shared" si="14"/>
        <v>99838.9794263</v>
      </c>
      <c r="AJ19" s="36">
        <f t="shared" si="15"/>
        <v>29339.4654199</v>
      </c>
      <c r="AK19" s="36"/>
      <c r="AL19" s="36"/>
      <c r="AM19" s="36">
        <f t="shared" si="16"/>
        <v>89.7611509</v>
      </c>
      <c r="AN19" s="36">
        <f t="shared" si="17"/>
        <v>89.7611509</v>
      </c>
      <c r="AO19" s="36">
        <f t="shared" si="18"/>
        <v>26.3779157</v>
      </c>
      <c r="AQ19" s="36"/>
      <c r="AR19" s="36">
        <f t="shared" si="19"/>
        <v>6161.6569346</v>
      </c>
      <c r="AS19" s="36">
        <f t="shared" si="20"/>
        <v>6161.6569346</v>
      </c>
      <c r="AT19" s="36">
        <f t="shared" si="21"/>
        <v>1810.7128258</v>
      </c>
      <c r="AV19" s="36"/>
      <c r="AW19" s="36">
        <f t="shared" si="22"/>
        <v>53544.6203318</v>
      </c>
      <c r="AX19" s="36">
        <f t="shared" si="23"/>
        <v>53544.6203318</v>
      </c>
      <c r="AY19" s="36">
        <f t="shared" si="24"/>
        <v>15735.0420214</v>
      </c>
      <c r="BA19" s="36"/>
      <c r="BB19" s="36">
        <f t="shared" si="25"/>
        <v>83288.516185</v>
      </c>
      <c r="BC19" s="36">
        <f t="shared" si="26"/>
        <v>83288.516185</v>
      </c>
      <c r="BD19" s="36">
        <f t="shared" si="27"/>
        <v>24475.816505</v>
      </c>
      <c r="BF19" s="36"/>
      <c r="BG19" s="36">
        <f t="shared" si="28"/>
        <v>7369.8820814</v>
      </c>
      <c r="BH19" s="36">
        <f t="shared" si="29"/>
        <v>7369.8820814</v>
      </c>
      <c r="BI19" s="36">
        <f t="shared" si="30"/>
        <v>2165.7713421999997</v>
      </c>
      <c r="BK19" s="36"/>
      <c r="BL19" s="36">
        <f t="shared" si="31"/>
        <v>3425.4894382</v>
      </c>
      <c r="BM19" s="36">
        <f t="shared" si="32"/>
        <v>3425.4894382</v>
      </c>
      <c r="BN19" s="36">
        <f t="shared" si="33"/>
        <v>1006.6411886000001</v>
      </c>
      <c r="BP19" s="36"/>
      <c r="BQ19" s="36">
        <f t="shared" si="34"/>
        <v>2301.9274459000003</v>
      </c>
      <c r="BR19" s="36">
        <f t="shared" si="35"/>
        <v>2301.9274459000003</v>
      </c>
      <c r="BS19" s="36">
        <f t="shared" si="36"/>
        <v>676.4624507000001</v>
      </c>
      <c r="BU19" s="36"/>
      <c r="BV19" s="36">
        <f t="shared" si="37"/>
        <v>28913.2865826</v>
      </c>
      <c r="BW19" s="5">
        <f t="shared" si="38"/>
        <v>28913.2865826</v>
      </c>
      <c r="BX19" s="36">
        <f t="shared" si="39"/>
        <v>8496.6851298</v>
      </c>
      <c r="BZ19" s="36"/>
      <c r="CA19" s="36">
        <f t="shared" si="40"/>
        <v>156063.14308019998</v>
      </c>
      <c r="CB19" s="5">
        <f t="shared" si="41"/>
        <v>156063.14308019998</v>
      </c>
      <c r="CC19" s="36">
        <f t="shared" si="42"/>
        <v>45861.9390546</v>
      </c>
      <c r="CD19" s="5"/>
      <c r="CE19" s="36"/>
      <c r="CF19" s="36">
        <f t="shared" si="43"/>
        <v>667330.8239721</v>
      </c>
      <c r="CG19" s="5">
        <f t="shared" si="44"/>
        <v>667330.8239721</v>
      </c>
      <c r="CH19" s="36">
        <f t="shared" si="45"/>
        <v>196107.0690633</v>
      </c>
      <c r="CI19" s="5"/>
      <c r="CJ19" s="5"/>
      <c r="CK19" s="36"/>
      <c r="CL19" s="36">
        <f t="shared" si="46"/>
        <v>0</v>
      </c>
      <c r="CM19" s="36">
        <f t="shared" si="47"/>
        <v>0</v>
      </c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1" ht="12.75">
      <c r="A20" s="37">
        <v>46113</v>
      </c>
      <c r="C20" s="3">
        <v>6755000</v>
      </c>
      <c r="D20" s="3">
        <v>1820713</v>
      </c>
      <c r="E20" s="35">
        <f t="shared" si="0"/>
        <v>8575713</v>
      </c>
      <c r="F20" s="35">
        <v>535049</v>
      </c>
      <c r="H20" s="36">
        <v>2489393</v>
      </c>
      <c r="I20" s="36">
        <v>670980</v>
      </c>
      <c r="J20" s="36">
        <f t="shared" si="1"/>
        <v>3160373</v>
      </c>
      <c r="K20" s="36">
        <f>'Academic Project '!K20</f>
        <v>197179.46777399993</v>
      </c>
      <c r="M20" s="36">
        <f t="shared" si="48"/>
        <v>4265606.87</v>
      </c>
      <c r="N20" s="35">
        <f t="shared" si="2"/>
        <v>1149732.920962</v>
      </c>
      <c r="O20" s="36">
        <f t="shared" si="3"/>
        <v>5415339.790962</v>
      </c>
      <c r="P20" s="35">
        <f t="shared" si="2"/>
        <v>337869.532226</v>
      </c>
      <c r="Q20" s="36"/>
      <c r="R20" s="36">
        <f t="shared" si="49"/>
        <v>5429.669</v>
      </c>
      <c r="S20" s="36">
        <f t="shared" si="4"/>
        <v>1463.4891094</v>
      </c>
      <c r="T20" s="36">
        <f t="shared" si="5"/>
        <v>6893.158109399999</v>
      </c>
      <c r="U20" s="36">
        <f t="shared" si="6"/>
        <v>430.07238620000004</v>
      </c>
      <c r="W20" s="36">
        <f t="shared" si="50"/>
        <v>1288.1785</v>
      </c>
      <c r="X20" s="36">
        <f t="shared" si="7"/>
        <v>347.2099691</v>
      </c>
      <c r="Y20" s="36">
        <f t="shared" si="8"/>
        <v>1635.3884691</v>
      </c>
      <c r="Z20" s="36">
        <f t="shared" si="9"/>
        <v>102.0338443</v>
      </c>
      <c r="AB20" s="36">
        <f t="shared" si="51"/>
        <v>146897.60749999998</v>
      </c>
      <c r="AC20" s="36">
        <f t="shared" si="10"/>
        <v>39594.1352545</v>
      </c>
      <c r="AD20" s="36">
        <f t="shared" si="11"/>
        <v>186491.74275449998</v>
      </c>
      <c r="AE20" s="36">
        <f t="shared" si="12"/>
        <v>11635.443078499999</v>
      </c>
      <c r="AG20" s="36">
        <f t="shared" si="52"/>
        <v>370411.1005</v>
      </c>
      <c r="AH20" s="36">
        <f t="shared" si="13"/>
        <v>99838.9794263</v>
      </c>
      <c r="AI20" s="36">
        <f t="shared" si="14"/>
        <v>470250.0799263</v>
      </c>
      <c r="AJ20" s="36">
        <f t="shared" si="15"/>
        <v>29339.4654199</v>
      </c>
      <c r="AK20" s="36"/>
      <c r="AL20" s="36">
        <f t="shared" si="53"/>
        <v>333.0215</v>
      </c>
      <c r="AM20" s="36">
        <f t="shared" si="16"/>
        <v>89.7611509</v>
      </c>
      <c r="AN20" s="36">
        <f t="shared" si="17"/>
        <v>422.7826509</v>
      </c>
      <c r="AO20" s="36">
        <f t="shared" si="18"/>
        <v>26.3779157</v>
      </c>
      <c r="AQ20" s="36">
        <f t="shared" si="54"/>
        <v>22860.271</v>
      </c>
      <c r="AR20" s="36">
        <f t="shared" si="19"/>
        <v>6161.6569346</v>
      </c>
      <c r="AS20" s="36">
        <f t="shared" si="20"/>
        <v>29021.9279346</v>
      </c>
      <c r="AT20" s="36">
        <f t="shared" si="21"/>
        <v>1810.7128258</v>
      </c>
      <c r="AV20" s="36">
        <f t="shared" si="55"/>
        <v>198655.093</v>
      </c>
      <c r="AW20" s="36">
        <f t="shared" si="22"/>
        <v>53544.6203318</v>
      </c>
      <c r="AX20" s="36">
        <f t="shared" si="23"/>
        <v>252199.71333179998</v>
      </c>
      <c r="AY20" s="36">
        <f t="shared" si="24"/>
        <v>15735.0420214</v>
      </c>
      <c r="BA20" s="36">
        <f t="shared" si="56"/>
        <v>309007.47500000003</v>
      </c>
      <c r="BB20" s="36">
        <f t="shared" si="25"/>
        <v>83288.516185</v>
      </c>
      <c r="BC20" s="36">
        <f t="shared" si="26"/>
        <v>392295.99118500005</v>
      </c>
      <c r="BD20" s="36">
        <f t="shared" si="27"/>
        <v>24475.816505</v>
      </c>
      <c r="BF20" s="36">
        <f t="shared" si="57"/>
        <v>27342.889</v>
      </c>
      <c r="BG20" s="36">
        <f t="shared" si="28"/>
        <v>7369.8820814</v>
      </c>
      <c r="BH20" s="36">
        <f t="shared" si="29"/>
        <v>34712.7710814</v>
      </c>
      <c r="BI20" s="36">
        <f t="shared" si="30"/>
        <v>2165.7713421999997</v>
      </c>
      <c r="BK20" s="36">
        <f t="shared" si="58"/>
        <v>12708.857</v>
      </c>
      <c r="BL20" s="36">
        <f t="shared" si="31"/>
        <v>3425.4894382</v>
      </c>
      <c r="BM20" s="36">
        <f t="shared" si="32"/>
        <v>16134.3464382</v>
      </c>
      <c r="BN20" s="36">
        <f t="shared" si="33"/>
        <v>1006.6411886000001</v>
      </c>
      <c r="BP20" s="36">
        <f t="shared" si="59"/>
        <v>8540.346500000001</v>
      </c>
      <c r="BQ20" s="36">
        <f t="shared" si="34"/>
        <v>2301.9274459000003</v>
      </c>
      <c r="BR20" s="36">
        <f t="shared" si="35"/>
        <v>10842.273945900002</v>
      </c>
      <c r="BS20" s="36">
        <f t="shared" si="36"/>
        <v>676.4624507000001</v>
      </c>
      <c r="BU20" s="36">
        <f t="shared" si="60"/>
        <v>107270.751</v>
      </c>
      <c r="BV20" s="36">
        <f t="shared" si="37"/>
        <v>28913.2865826</v>
      </c>
      <c r="BW20" s="5">
        <f t="shared" si="38"/>
        <v>136184.0375826</v>
      </c>
      <c r="BX20" s="36">
        <f t="shared" si="39"/>
        <v>8496.6851298</v>
      </c>
      <c r="BZ20" s="36">
        <f t="shared" si="61"/>
        <v>579007.527</v>
      </c>
      <c r="CA20" s="36">
        <f t="shared" si="40"/>
        <v>156063.14308019998</v>
      </c>
      <c r="CB20" s="5">
        <f t="shared" si="41"/>
        <v>735070.6700802</v>
      </c>
      <c r="CC20" s="36">
        <f t="shared" si="42"/>
        <v>45861.9390546</v>
      </c>
      <c r="CD20" s="5"/>
      <c r="CE20" s="36">
        <f t="shared" si="62"/>
        <v>2475854.0835</v>
      </c>
      <c r="CF20" s="36">
        <f t="shared" si="43"/>
        <v>667330.8239721</v>
      </c>
      <c r="CG20" s="5">
        <f t="shared" si="44"/>
        <v>3143184.9074721</v>
      </c>
      <c r="CH20" s="36">
        <f t="shared" si="45"/>
        <v>196107.0690633</v>
      </c>
      <c r="CI20" s="5"/>
      <c r="CJ20" s="5"/>
      <c r="CK20" s="36"/>
      <c r="CL20" s="36">
        <f t="shared" si="46"/>
        <v>0</v>
      </c>
      <c r="CM20" s="36">
        <f t="shared" si="47"/>
        <v>0</v>
      </c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1" ht="12.75">
      <c r="A21" s="37">
        <v>46296</v>
      </c>
      <c r="D21" s="3">
        <v>1651838</v>
      </c>
      <c r="E21" s="35">
        <f t="shared" si="0"/>
        <v>1651838</v>
      </c>
      <c r="F21" s="35">
        <v>535049</v>
      </c>
      <c r="H21" s="36"/>
      <c r="I21" s="36">
        <v>608745</v>
      </c>
      <c r="J21" s="36">
        <f t="shared" si="1"/>
        <v>608745</v>
      </c>
      <c r="K21" s="36">
        <f>'Academic Project '!K21</f>
        <v>197179.46777399993</v>
      </c>
      <c r="M21" s="36"/>
      <c r="N21" s="35">
        <f t="shared" si="2"/>
        <v>1043092.749212</v>
      </c>
      <c r="O21" s="36">
        <f t="shared" si="3"/>
        <v>1043092.749212</v>
      </c>
      <c r="P21" s="35">
        <f t="shared" si="2"/>
        <v>337869.532226</v>
      </c>
      <c r="Q21" s="36"/>
      <c r="R21" s="36"/>
      <c r="S21" s="36">
        <f t="shared" si="4"/>
        <v>1327.7473844</v>
      </c>
      <c r="T21" s="36">
        <f t="shared" si="5"/>
        <v>1327.7473844</v>
      </c>
      <c r="U21" s="36">
        <f t="shared" si="6"/>
        <v>430.07238620000004</v>
      </c>
      <c r="W21" s="36"/>
      <c r="X21" s="36">
        <f t="shared" si="7"/>
        <v>315.0055066</v>
      </c>
      <c r="Y21" s="36">
        <f t="shared" si="8"/>
        <v>315.0055066</v>
      </c>
      <c r="Z21" s="36">
        <f t="shared" si="9"/>
        <v>102.0338443</v>
      </c>
      <c r="AB21" s="36"/>
      <c r="AC21" s="36">
        <f t="shared" si="10"/>
        <v>35921.695067</v>
      </c>
      <c r="AD21" s="36">
        <f t="shared" si="11"/>
        <v>35921.695067</v>
      </c>
      <c r="AE21" s="36">
        <f t="shared" si="12"/>
        <v>11635.443078499999</v>
      </c>
      <c r="AG21" s="36"/>
      <c r="AH21" s="36">
        <f t="shared" si="13"/>
        <v>90578.7019138</v>
      </c>
      <c r="AI21" s="36">
        <f t="shared" si="14"/>
        <v>90578.7019138</v>
      </c>
      <c r="AJ21" s="36">
        <f t="shared" si="15"/>
        <v>29339.4654199</v>
      </c>
      <c r="AK21" s="36"/>
      <c r="AL21" s="36"/>
      <c r="AM21" s="36">
        <f t="shared" si="16"/>
        <v>81.4356134</v>
      </c>
      <c r="AN21" s="36">
        <f t="shared" si="17"/>
        <v>81.4356134</v>
      </c>
      <c r="AO21" s="36">
        <f t="shared" si="18"/>
        <v>26.3779157</v>
      </c>
      <c r="AQ21" s="36"/>
      <c r="AR21" s="36">
        <f t="shared" si="19"/>
        <v>5590.1501596</v>
      </c>
      <c r="AS21" s="36">
        <f t="shared" si="20"/>
        <v>5590.1501596</v>
      </c>
      <c r="AT21" s="36">
        <f t="shared" si="21"/>
        <v>1810.7128258</v>
      </c>
      <c r="AV21" s="36"/>
      <c r="AW21" s="36">
        <f t="shared" si="22"/>
        <v>48578.2430068</v>
      </c>
      <c r="AX21" s="36">
        <f t="shared" si="23"/>
        <v>48578.2430068</v>
      </c>
      <c r="AY21" s="36">
        <f t="shared" si="24"/>
        <v>15735.0420214</v>
      </c>
      <c r="BA21" s="36"/>
      <c r="BB21" s="36">
        <f t="shared" si="25"/>
        <v>75563.32931</v>
      </c>
      <c r="BC21" s="36">
        <f t="shared" si="26"/>
        <v>75563.32931</v>
      </c>
      <c r="BD21" s="36">
        <f t="shared" si="27"/>
        <v>24475.816505</v>
      </c>
      <c r="BF21" s="36"/>
      <c r="BG21" s="36">
        <f t="shared" si="28"/>
        <v>6686.3098564</v>
      </c>
      <c r="BH21" s="36">
        <f t="shared" si="29"/>
        <v>6686.3098564</v>
      </c>
      <c r="BI21" s="36">
        <f t="shared" si="30"/>
        <v>2165.7713421999997</v>
      </c>
      <c r="BK21" s="36"/>
      <c r="BL21" s="36">
        <f t="shared" si="31"/>
        <v>3107.7680132</v>
      </c>
      <c r="BM21" s="36">
        <f t="shared" si="32"/>
        <v>3107.7680132</v>
      </c>
      <c r="BN21" s="36">
        <f t="shared" si="33"/>
        <v>1006.6411886000001</v>
      </c>
      <c r="BP21" s="36"/>
      <c r="BQ21" s="36">
        <f t="shared" si="34"/>
        <v>2088.4187834000004</v>
      </c>
      <c r="BR21" s="36">
        <f t="shared" si="35"/>
        <v>2088.4187834000004</v>
      </c>
      <c r="BS21" s="36">
        <f t="shared" si="36"/>
        <v>676.4624507000001</v>
      </c>
      <c r="BU21" s="36"/>
      <c r="BV21" s="36">
        <f t="shared" si="37"/>
        <v>26231.5178076</v>
      </c>
      <c r="BW21" s="5">
        <f t="shared" si="38"/>
        <v>26231.5178076</v>
      </c>
      <c r="BX21" s="36">
        <f t="shared" si="39"/>
        <v>8496.6851298</v>
      </c>
      <c r="BZ21" s="36"/>
      <c r="CA21" s="36">
        <f t="shared" si="40"/>
        <v>141587.9549052</v>
      </c>
      <c r="CB21" s="5">
        <f t="shared" si="41"/>
        <v>141587.9549052</v>
      </c>
      <c r="CC21" s="36">
        <f t="shared" si="42"/>
        <v>45861.9390546</v>
      </c>
      <c r="CD21" s="5"/>
      <c r="CE21" s="36"/>
      <c r="CF21" s="36">
        <f t="shared" si="43"/>
        <v>605434.4718846</v>
      </c>
      <c r="CG21" s="5">
        <f t="shared" si="44"/>
        <v>605434.4718846</v>
      </c>
      <c r="CH21" s="36">
        <f t="shared" si="45"/>
        <v>196107.0690633</v>
      </c>
      <c r="CI21" s="5"/>
      <c r="CJ21" s="5"/>
      <c r="CK21" s="36"/>
      <c r="CL21" s="36">
        <f t="shared" si="46"/>
        <v>0</v>
      </c>
      <c r="CM21" s="36">
        <f t="shared" si="47"/>
        <v>0</v>
      </c>
      <c r="CN21" s="5"/>
      <c r="CO21" s="5"/>
      <c r="CP21" s="5"/>
      <c r="CQ21" s="5"/>
      <c r="CR21" s="5"/>
      <c r="CS21" s="5"/>
      <c r="CT21" s="5"/>
      <c r="CU21" s="5"/>
      <c r="CV21" s="5"/>
      <c r="CW21" s="5"/>
    </row>
    <row r="22" spans="1:101" ht="12.75">
      <c r="A22" s="37">
        <v>46478</v>
      </c>
      <c r="C22" s="3">
        <v>7095000</v>
      </c>
      <c r="D22" s="3">
        <v>1651838</v>
      </c>
      <c r="E22" s="35">
        <f t="shared" si="0"/>
        <v>8746838</v>
      </c>
      <c r="F22" s="35">
        <v>535049</v>
      </c>
      <c r="H22" s="36">
        <v>2614692</v>
      </c>
      <c r="I22" s="36">
        <v>608745</v>
      </c>
      <c r="J22" s="36">
        <f t="shared" si="1"/>
        <v>3223437</v>
      </c>
      <c r="K22" s="36">
        <f>'Academic Project '!K22</f>
        <v>197179.46777399993</v>
      </c>
      <c r="M22" s="36">
        <f t="shared" si="48"/>
        <v>4480308.03</v>
      </c>
      <c r="N22" s="35">
        <f t="shared" si="2"/>
        <v>1043092.749212</v>
      </c>
      <c r="O22" s="36">
        <f t="shared" si="3"/>
        <v>5523400.779212</v>
      </c>
      <c r="P22" s="35">
        <f t="shared" si="2"/>
        <v>337869.532226</v>
      </c>
      <c r="Q22" s="36"/>
      <c r="R22" s="36">
        <f t="shared" si="49"/>
        <v>5702.961</v>
      </c>
      <c r="S22" s="36">
        <f t="shared" si="4"/>
        <v>1327.7473844</v>
      </c>
      <c r="T22" s="36">
        <f t="shared" si="5"/>
        <v>7030.708384400001</v>
      </c>
      <c r="U22" s="36">
        <f t="shared" si="6"/>
        <v>430.07238620000004</v>
      </c>
      <c r="W22" s="36">
        <f t="shared" si="50"/>
        <v>1353.0165</v>
      </c>
      <c r="X22" s="36">
        <f t="shared" si="7"/>
        <v>315.0055066</v>
      </c>
      <c r="Y22" s="36">
        <f t="shared" si="8"/>
        <v>1668.0220066</v>
      </c>
      <c r="Z22" s="36">
        <f t="shared" si="9"/>
        <v>102.0338443</v>
      </c>
      <c r="AB22" s="36">
        <f t="shared" si="51"/>
        <v>154291.41749999998</v>
      </c>
      <c r="AC22" s="36">
        <f t="shared" si="10"/>
        <v>35921.695067</v>
      </c>
      <c r="AD22" s="36">
        <f t="shared" si="11"/>
        <v>190213.11256699997</v>
      </c>
      <c r="AE22" s="36">
        <f t="shared" si="12"/>
        <v>11635.443078499999</v>
      </c>
      <c r="AG22" s="36">
        <f t="shared" si="52"/>
        <v>389055.0345</v>
      </c>
      <c r="AH22" s="36">
        <f t="shared" si="13"/>
        <v>90578.7019138</v>
      </c>
      <c r="AI22" s="36">
        <f t="shared" si="14"/>
        <v>479633.73641380004</v>
      </c>
      <c r="AJ22" s="36">
        <f t="shared" si="15"/>
        <v>29339.4654199</v>
      </c>
      <c r="AK22" s="36"/>
      <c r="AL22" s="36">
        <f t="shared" si="53"/>
        <v>349.7835</v>
      </c>
      <c r="AM22" s="36">
        <f t="shared" si="16"/>
        <v>81.4356134</v>
      </c>
      <c r="AN22" s="36">
        <f t="shared" si="17"/>
        <v>431.21911339999997</v>
      </c>
      <c r="AO22" s="36">
        <f t="shared" si="18"/>
        <v>26.3779157</v>
      </c>
      <c r="AQ22" s="36">
        <f t="shared" si="54"/>
        <v>24010.899</v>
      </c>
      <c r="AR22" s="36">
        <f t="shared" si="19"/>
        <v>5590.1501596</v>
      </c>
      <c r="AS22" s="36">
        <f t="shared" si="20"/>
        <v>29601.0491596</v>
      </c>
      <c r="AT22" s="36">
        <f t="shared" si="21"/>
        <v>1810.7128258</v>
      </c>
      <c r="AV22" s="36">
        <f t="shared" si="55"/>
        <v>208654.017</v>
      </c>
      <c r="AW22" s="36">
        <f t="shared" si="22"/>
        <v>48578.2430068</v>
      </c>
      <c r="AX22" s="36">
        <f t="shared" si="23"/>
        <v>257232.2600068</v>
      </c>
      <c r="AY22" s="36">
        <f t="shared" si="24"/>
        <v>15735.0420214</v>
      </c>
      <c r="BA22" s="36">
        <f t="shared" si="56"/>
        <v>324560.775</v>
      </c>
      <c r="BB22" s="36">
        <f t="shared" si="25"/>
        <v>75563.32931</v>
      </c>
      <c r="BC22" s="36">
        <f t="shared" si="26"/>
        <v>400124.10431</v>
      </c>
      <c r="BD22" s="36">
        <f t="shared" si="27"/>
        <v>24475.816505</v>
      </c>
      <c r="BF22" s="36">
        <f t="shared" si="57"/>
        <v>28719.141</v>
      </c>
      <c r="BG22" s="36">
        <f t="shared" si="28"/>
        <v>6686.3098564</v>
      </c>
      <c r="BH22" s="36">
        <f t="shared" si="29"/>
        <v>35405.4508564</v>
      </c>
      <c r="BI22" s="36">
        <f t="shared" si="30"/>
        <v>2165.7713421999997</v>
      </c>
      <c r="BK22" s="36">
        <f t="shared" si="58"/>
        <v>13348.533000000001</v>
      </c>
      <c r="BL22" s="36">
        <f t="shared" si="31"/>
        <v>3107.7680132</v>
      </c>
      <c r="BM22" s="36">
        <f t="shared" si="32"/>
        <v>16456.3010132</v>
      </c>
      <c r="BN22" s="36">
        <f t="shared" si="33"/>
        <v>1006.6411886000001</v>
      </c>
      <c r="BP22" s="36">
        <f t="shared" si="59"/>
        <v>8970.2085</v>
      </c>
      <c r="BQ22" s="36">
        <f t="shared" si="34"/>
        <v>2088.4187834000004</v>
      </c>
      <c r="BR22" s="36">
        <f t="shared" si="35"/>
        <v>11058.627283400001</v>
      </c>
      <c r="BS22" s="36">
        <f t="shared" si="36"/>
        <v>676.4624507000001</v>
      </c>
      <c r="BU22" s="36">
        <f t="shared" si="60"/>
        <v>112670.019</v>
      </c>
      <c r="BV22" s="36">
        <f t="shared" si="37"/>
        <v>26231.5178076</v>
      </c>
      <c r="BW22" s="5">
        <f t="shared" si="38"/>
        <v>138901.5368076</v>
      </c>
      <c r="BX22" s="36">
        <f t="shared" si="39"/>
        <v>8496.6851298</v>
      </c>
      <c r="BZ22" s="36">
        <f t="shared" si="61"/>
        <v>608150.763</v>
      </c>
      <c r="CA22" s="36">
        <f t="shared" si="40"/>
        <v>141587.9549052</v>
      </c>
      <c r="CB22" s="5">
        <f t="shared" si="41"/>
        <v>749738.7179052001</v>
      </c>
      <c r="CC22" s="36">
        <f t="shared" si="42"/>
        <v>45861.9390546</v>
      </c>
      <c r="CD22" s="5"/>
      <c r="CE22" s="36">
        <f t="shared" si="62"/>
        <v>2600471.4615</v>
      </c>
      <c r="CF22" s="36">
        <f t="shared" si="43"/>
        <v>605434.4718846</v>
      </c>
      <c r="CG22" s="5">
        <f t="shared" si="44"/>
        <v>3205905.9333846</v>
      </c>
      <c r="CH22" s="36">
        <f t="shared" si="45"/>
        <v>196107.0690633</v>
      </c>
      <c r="CI22" s="5"/>
      <c r="CJ22" s="5"/>
      <c r="CK22" s="36"/>
      <c r="CL22" s="36">
        <f t="shared" si="46"/>
        <v>0</v>
      </c>
      <c r="CM22" s="36">
        <f t="shared" si="47"/>
        <v>0</v>
      </c>
      <c r="CN22" s="5"/>
      <c r="CO22" s="5"/>
      <c r="CP22" s="5"/>
      <c r="CQ22" s="5"/>
      <c r="CR22" s="5"/>
      <c r="CS22" s="5"/>
      <c r="CT22" s="5"/>
      <c r="CU22" s="5"/>
      <c r="CV22" s="5"/>
      <c r="CW22" s="5"/>
    </row>
    <row r="23" spans="1:101" ht="12.75">
      <c r="A23" s="37">
        <v>46661</v>
      </c>
      <c r="D23" s="3">
        <v>1474463</v>
      </c>
      <c r="E23" s="35">
        <f t="shared" si="0"/>
        <v>1474463</v>
      </c>
      <c r="F23" s="35">
        <v>535049</v>
      </c>
      <c r="H23" s="36"/>
      <c r="I23" s="36">
        <v>543378</v>
      </c>
      <c r="J23" s="36">
        <f t="shared" si="1"/>
        <v>543378</v>
      </c>
      <c r="K23" s="36">
        <f>'Academic Project '!K23</f>
        <v>197179.46777399993</v>
      </c>
      <c r="M23" s="36"/>
      <c r="N23" s="35">
        <f t="shared" si="2"/>
        <v>931085.048462</v>
      </c>
      <c r="O23" s="36">
        <f t="shared" si="3"/>
        <v>931085.048462</v>
      </c>
      <c r="P23" s="35">
        <f t="shared" si="2"/>
        <v>337869.532226</v>
      </c>
      <c r="Q23" s="36"/>
      <c r="R23" s="36"/>
      <c r="S23" s="36">
        <f t="shared" si="4"/>
        <v>1185.1733594</v>
      </c>
      <c r="T23" s="36">
        <f t="shared" si="5"/>
        <v>1185.1733594</v>
      </c>
      <c r="U23" s="36">
        <f t="shared" si="6"/>
        <v>430.07238620000004</v>
      </c>
      <c r="W23" s="36"/>
      <c r="X23" s="36">
        <f t="shared" si="7"/>
        <v>281.1800941</v>
      </c>
      <c r="Y23" s="36">
        <f t="shared" si="8"/>
        <v>281.1800941</v>
      </c>
      <c r="Z23" s="36">
        <f t="shared" si="9"/>
        <v>102.0338443</v>
      </c>
      <c r="AB23" s="36"/>
      <c r="AC23" s="36">
        <f t="shared" si="10"/>
        <v>32064.409629499998</v>
      </c>
      <c r="AD23" s="36">
        <f t="shared" si="11"/>
        <v>32064.409629499998</v>
      </c>
      <c r="AE23" s="36">
        <f t="shared" si="12"/>
        <v>11635.443078499999</v>
      </c>
      <c r="AG23" s="36"/>
      <c r="AH23" s="36">
        <f t="shared" si="13"/>
        <v>80852.3260513</v>
      </c>
      <c r="AI23" s="36">
        <f t="shared" si="14"/>
        <v>80852.3260513</v>
      </c>
      <c r="AJ23" s="36">
        <f t="shared" si="15"/>
        <v>29339.4654199</v>
      </c>
      <c r="AK23" s="36"/>
      <c r="AL23" s="36"/>
      <c r="AM23" s="36">
        <f t="shared" si="16"/>
        <v>72.6910259</v>
      </c>
      <c r="AN23" s="36">
        <f t="shared" si="17"/>
        <v>72.6910259</v>
      </c>
      <c r="AO23" s="36">
        <f t="shared" si="18"/>
        <v>26.3779157</v>
      </c>
      <c r="AQ23" s="36"/>
      <c r="AR23" s="36">
        <f t="shared" si="19"/>
        <v>4989.8776846</v>
      </c>
      <c r="AS23" s="36">
        <f t="shared" si="20"/>
        <v>4989.8776846</v>
      </c>
      <c r="AT23" s="36">
        <f t="shared" si="21"/>
        <v>1810.7128258</v>
      </c>
      <c r="AV23" s="36"/>
      <c r="AW23" s="36">
        <f t="shared" si="22"/>
        <v>43361.8925818</v>
      </c>
      <c r="AX23" s="36">
        <f t="shared" si="23"/>
        <v>43361.8925818</v>
      </c>
      <c r="AY23" s="36">
        <f t="shared" si="24"/>
        <v>15735.0420214</v>
      </c>
      <c r="BA23" s="36"/>
      <c r="BB23" s="36">
        <f t="shared" si="25"/>
        <v>67449.309935</v>
      </c>
      <c r="BC23" s="36">
        <f t="shared" si="26"/>
        <v>67449.309935</v>
      </c>
      <c r="BD23" s="36">
        <f t="shared" si="27"/>
        <v>24475.816505</v>
      </c>
      <c r="BF23" s="36"/>
      <c r="BG23" s="36">
        <f t="shared" si="28"/>
        <v>5968.3313314</v>
      </c>
      <c r="BH23" s="36">
        <f t="shared" si="29"/>
        <v>5968.3313314</v>
      </c>
      <c r="BI23" s="36">
        <f t="shared" si="30"/>
        <v>2165.7713421999997</v>
      </c>
      <c r="BK23" s="36"/>
      <c r="BL23" s="36">
        <f t="shared" si="31"/>
        <v>2774.0546882000003</v>
      </c>
      <c r="BM23" s="36">
        <f t="shared" si="32"/>
        <v>2774.0546882000003</v>
      </c>
      <c r="BN23" s="36">
        <f t="shared" si="33"/>
        <v>1006.6411886000001</v>
      </c>
      <c r="BP23" s="36"/>
      <c r="BQ23" s="36">
        <f t="shared" si="34"/>
        <v>1864.1635709000002</v>
      </c>
      <c r="BR23" s="36">
        <f t="shared" si="35"/>
        <v>1864.1635709000002</v>
      </c>
      <c r="BS23" s="36">
        <f t="shared" si="36"/>
        <v>676.4624507000001</v>
      </c>
      <c r="BU23" s="36"/>
      <c r="BV23" s="36">
        <f t="shared" si="37"/>
        <v>23414.7673326</v>
      </c>
      <c r="BW23" s="5">
        <f t="shared" si="38"/>
        <v>23414.7673326</v>
      </c>
      <c r="BX23" s="36">
        <f t="shared" si="39"/>
        <v>8496.6851298</v>
      </c>
      <c r="BZ23" s="36"/>
      <c r="CA23" s="36">
        <f t="shared" si="40"/>
        <v>126384.18583019999</v>
      </c>
      <c r="CB23" s="5">
        <f t="shared" si="41"/>
        <v>126384.18583019999</v>
      </c>
      <c r="CC23" s="36">
        <f t="shared" si="42"/>
        <v>45861.9390546</v>
      </c>
      <c r="CD23" s="5"/>
      <c r="CE23" s="36"/>
      <c r="CF23" s="36">
        <f t="shared" si="43"/>
        <v>540422.6853471</v>
      </c>
      <c r="CG23" s="5">
        <f t="shared" si="44"/>
        <v>540422.6853471</v>
      </c>
      <c r="CH23" s="36">
        <f t="shared" si="45"/>
        <v>196107.0690633</v>
      </c>
      <c r="CI23" s="5"/>
      <c r="CJ23" s="5"/>
      <c r="CK23" s="36"/>
      <c r="CL23" s="36">
        <f t="shared" si="46"/>
        <v>0</v>
      </c>
      <c r="CM23" s="36">
        <f t="shared" si="47"/>
        <v>0</v>
      </c>
      <c r="CN23" s="5"/>
      <c r="CO23" s="5"/>
      <c r="CP23" s="5"/>
      <c r="CQ23" s="5"/>
      <c r="CR23" s="5"/>
      <c r="CS23" s="5"/>
      <c r="CT23" s="5"/>
      <c r="CU23" s="5"/>
      <c r="CV23" s="5"/>
      <c r="CW23" s="5"/>
    </row>
    <row r="24" spans="1:101" ht="12.75">
      <c r="A24" s="37">
        <v>46844</v>
      </c>
      <c r="C24" s="3">
        <v>7445000</v>
      </c>
      <c r="D24" s="3">
        <v>1474463</v>
      </c>
      <c r="E24" s="35">
        <f t="shared" si="0"/>
        <v>8919463</v>
      </c>
      <c r="F24" s="35">
        <v>535049</v>
      </c>
      <c r="H24" s="36">
        <v>2743676</v>
      </c>
      <c r="I24" s="36">
        <v>543378</v>
      </c>
      <c r="J24" s="36">
        <f t="shared" si="1"/>
        <v>3287054</v>
      </c>
      <c r="K24" s="36">
        <f>'Academic Project '!K24</f>
        <v>197179.46777399993</v>
      </c>
      <c r="M24" s="36">
        <f t="shared" si="48"/>
        <v>4701323.93</v>
      </c>
      <c r="N24" s="35">
        <f t="shared" si="2"/>
        <v>931085.048462</v>
      </c>
      <c r="O24" s="36">
        <f t="shared" si="3"/>
        <v>5632408.978461999</v>
      </c>
      <c r="P24" s="35">
        <f t="shared" si="2"/>
        <v>337869.532226</v>
      </c>
      <c r="Q24" s="36"/>
      <c r="R24" s="36">
        <f t="shared" si="49"/>
        <v>5984.291</v>
      </c>
      <c r="S24" s="36">
        <f t="shared" si="4"/>
        <v>1185.1733594</v>
      </c>
      <c r="T24" s="36">
        <f t="shared" si="5"/>
        <v>7169.4643594</v>
      </c>
      <c r="U24" s="36">
        <f t="shared" si="6"/>
        <v>430.07238620000004</v>
      </c>
      <c r="W24" s="36">
        <f t="shared" si="50"/>
        <v>1419.7615</v>
      </c>
      <c r="X24" s="36">
        <f t="shared" si="7"/>
        <v>281.1800941</v>
      </c>
      <c r="Y24" s="36">
        <f t="shared" si="8"/>
        <v>1700.9415941000002</v>
      </c>
      <c r="Z24" s="36">
        <f t="shared" si="9"/>
        <v>102.0338443</v>
      </c>
      <c r="AB24" s="36">
        <f t="shared" si="51"/>
        <v>161902.69249999998</v>
      </c>
      <c r="AC24" s="36">
        <f t="shared" si="10"/>
        <v>32064.409629499998</v>
      </c>
      <c r="AD24" s="36">
        <f t="shared" si="11"/>
        <v>193967.10212949998</v>
      </c>
      <c r="AE24" s="36">
        <f t="shared" si="12"/>
        <v>11635.443078499999</v>
      </c>
      <c r="AG24" s="36">
        <f t="shared" si="52"/>
        <v>408247.3195</v>
      </c>
      <c r="AH24" s="36">
        <f t="shared" si="13"/>
        <v>80852.3260513</v>
      </c>
      <c r="AI24" s="36">
        <f t="shared" si="14"/>
        <v>489099.64555129997</v>
      </c>
      <c r="AJ24" s="36">
        <f t="shared" si="15"/>
        <v>29339.4654199</v>
      </c>
      <c r="AK24" s="36"/>
      <c r="AL24" s="36">
        <f t="shared" si="53"/>
        <v>367.0385</v>
      </c>
      <c r="AM24" s="36">
        <f t="shared" si="16"/>
        <v>72.6910259</v>
      </c>
      <c r="AN24" s="36">
        <f t="shared" si="17"/>
        <v>439.7295259</v>
      </c>
      <c r="AO24" s="36">
        <f t="shared" si="18"/>
        <v>26.3779157</v>
      </c>
      <c r="AQ24" s="36">
        <f t="shared" si="54"/>
        <v>25195.369</v>
      </c>
      <c r="AR24" s="36">
        <f t="shared" si="19"/>
        <v>4989.8776846</v>
      </c>
      <c r="AS24" s="36">
        <f t="shared" si="20"/>
        <v>30185.2466846</v>
      </c>
      <c r="AT24" s="36">
        <f t="shared" si="21"/>
        <v>1810.7128258</v>
      </c>
      <c r="AV24" s="36">
        <f t="shared" si="55"/>
        <v>218947.027</v>
      </c>
      <c r="AW24" s="36">
        <f t="shared" si="22"/>
        <v>43361.8925818</v>
      </c>
      <c r="AX24" s="36">
        <f t="shared" si="23"/>
        <v>262308.9195818</v>
      </c>
      <c r="AY24" s="36">
        <f t="shared" si="24"/>
        <v>15735.0420214</v>
      </c>
      <c r="BA24" s="36">
        <f t="shared" si="56"/>
        <v>340571.525</v>
      </c>
      <c r="BB24" s="36">
        <f t="shared" si="25"/>
        <v>67449.309935</v>
      </c>
      <c r="BC24" s="36">
        <f t="shared" si="26"/>
        <v>408020.83493500005</v>
      </c>
      <c r="BD24" s="36">
        <f t="shared" si="27"/>
        <v>24475.816505</v>
      </c>
      <c r="BF24" s="36">
        <f t="shared" si="57"/>
        <v>30135.871</v>
      </c>
      <c r="BG24" s="36">
        <f t="shared" si="28"/>
        <v>5968.3313314</v>
      </c>
      <c r="BH24" s="36">
        <f t="shared" si="29"/>
        <v>36104.202331399996</v>
      </c>
      <c r="BI24" s="36">
        <f t="shared" si="30"/>
        <v>2165.7713421999997</v>
      </c>
      <c r="BK24" s="36">
        <f t="shared" si="58"/>
        <v>14007.023000000001</v>
      </c>
      <c r="BL24" s="36">
        <f t="shared" si="31"/>
        <v>2774.0546882000003</v>
      </c>
      <c r="BM24" s="36">
        <f t="shared" si="32"/>
        <v>16781.077688200003</v>
      </c>
      <c r="BN24" s="36">
        <f t="shared" si="33"/>
        <v>1006.6411886000001</v>
      </c>
      <c r="BP24" s="36">
        <f t="shared" si="59"/>
        <v>9412.713500000002</v>
      </c>
      <c r="BQ24" s="36">
        <f t="shared" si="34"/>
        <v>1864.1635709000002</v>
      </c>
      <c r="BR24" s="36">
        <f t="shared" si="35"/>
        <v>11276.877070900002</v>
      </c>
      <c r="BS24" s="36">
        <f t="shared" si="36"/>
        <v>676.4624507000001</v>
      </c>
      <c r="BU24" s="36">
        <f t="shared" si="60"/>
        <v>118228.089</v>
      </c>
      <c r="BV24" s="36">
        <f t="shared" si="37"/>
        <v>23414.7673326</v>
      </c>
      <c r="BW24" s="5">
        <f t="shared" si="38"/>
        <v>141642.8563326</v>
      </c>
      <c r="BX24" s="36">
        <f t="shared" si="39"/>
        <v>8496.6851298</v>
      </c>
      <c r="BZ24" s="36">
        <f t="shared" si="61"/>
        <v>638151.1529999999</v>
      </c>
      <c r="CA24" s="36">
        <f t="shared" si="40"/>
        <v>126384.18583019999</v>
      </c>
      <c r="CB24" s="5">
        <f t="shared" si="41"/>
        <v>764535.3388301999</v>
      </c>
      <c r="CC24" s="36">
        <f t="shared" si="42"/>
        <v>45861.9390546</v>
      </c>
      <c r="CD24" s="5"/>
      <c r="CE24" s="36">
        <f t="shared" si="62"/>
        <v>2728754.0565</v>
      </c>
      <c r="CF24" s="36">
        <f t="shared" si="43"/>
        <v>540422.6853471</v>
      </c>
      <c r="CG24" s="5">
        <f t="shared" si="44"/>
        <v>3269176.7418470997</v>
      </c>
      <c r="CH24" s="36">
        <f t="shared" si="45"/>
        <v>196107.0690633</v>
      </c>
      <c r="CI24" s="5"/>
      <c r="CJ24" s="5"/>
      <c r="CK24" s="36"/>
      <c r="CL24" s="36">
        <f t="shared" si="46"/>
        <v>0</v>
      </c>
      <c r="CM24" s="36">
        <f t="shared" si="47"/>
        <v>0</v>
      </c>
      <c r="CN24" s="5"/>
      <c r="CO24" s="5"/>
      <c r="CP24" s="5"/>
      <c r="CQ24" s="5"/>
      <c r="CR24" s="5"/>
      <c r="CS24" s="5"/>
      <c r="CT24" s="5"/>
      <c r="CU24" s="5"/>
      <c r="CV24" s="5"/>
      <c r="CW24" s="5"/>
    </row>
    <row r="25" spans="1:101" ht="12.75">
      <c r="A25" s="37">
        <v>47027</v>
      </c>
      <c r="D25" s="3">
        <v>1288338</v>
      </c>
      <c r="E25" s="35">
        <f t="shared" si="0"/>
        <v>1288338</v>
      </c>
      <c r="F25" s="35">
        <v>535049</v>
      </c>
      <c r="H25" s="36"/>
      <c r="I25" s="36">
        <v>474786</v>
      </c>
      <c r="J25" s="36">
        <f t="shared" si="1"/>
        <v>474786</v>
      </c>
      <c r="K25" s="36">
        <f>'Academic Project '!K25</f>
        <v>197179.46777399993</v>
      </c>
      <c r="M25" s="36"/>
      <c r="N25" s="35">
        <f t="shared" si="2"/>
        <v>813551.9502119999</v>
      </c>
      <c r="O25" s="36">
        <f t="shared" si="3"/>
        <v>813551.9502119999</v>
      </c>
      <c r="P25" s="35">
        <f t="shared" si="2"/>
        <v>337869.532226</v>
      </c>
      <c r="Q25" s="36"/>
      <c r="R25" s="36"/>
      <c r="S25" s="36">
        <f t="shared" si="4"/>
        <v>1035.5660844000001</v>
      </c>
      <c r="T25" s="36">
        <f t="shared" si="5"/>
        <v>1035.5660844000001</v>
      </c>
      <c r="U25" s="36">
        <f t="shared" si="6"/>
        <v>430.07238620000004</v>
      </c>
      <c r="W25" s="36"/>
      <c r="X25" s="36">
        <f t="shared" si="7"/>
        <v>245.6860566</v>
      </c>
      <c r="Y25" s="36">
        <f t="shared" si="8"/>
        <v>245.6860566</v>
      </c>
      <c r="Z25" s="36">
        <f t="shared" si="9"/>
        <v>102.0338443</v>
      </c>
      <c r="AB25" s="36"/>
      <c r="AC25" s="36">
        <f t="shared" si="10"/>
        <v>28016.842317</v>
      </c>
      <c r="AD25" s="36">
        <f t="shared" si="11"/>
        <v>28016.842317</v>
      </c>
      <c r="AE25" s="36">
        <f t="shared" si="12"/>
        <v>11635.443078499999</v>
      </c>
      <c r="AG25" s="36"/>
      <c r="AH25" s="36">
        <f t="shared" si="13"/>
        <v>70646.1430638</v>
      </c>
      <c r="AI25" s="36">
        <f t="shared" si="14"/>
        <v>70646.1430638</v>
      </c>
      <c r="AJ25" s="36">
        <f t="shared" si="15"/>
        <v>29339.4654199</v>
      </c>
      <c r="AK25" s="36"/>
      <c r="AL25" s="36"/>
      <c r="AM25" s="36">
        <f t="shared" si="16"/>
        <v>63.515063399999995</v>
      </c>
      <c r="AN25" s="36">
        <f t="shared" si="17"/>
        <v>63.515063399999995</v>
      </c>
      <c r="AO25" s="36">
        <f t="shared" si="18"/>
        <v>26.3779157</v>
      </c>
      <c r="AQ25" s="36"/>
      <c r="AR25" s="36">
        <f t="shared" si="19"/>
        <v>4359.9934596</v>
      </c>
      <c r="AS25" s="36">
        <f t="shared" si="20"/>
        <v>4359.9934596</v>
      </c>
      <c r="AT25" s="36">
        <f t="shared" si="21"/>
        <v>1810.7128258</v>
      </c>
      <c r="AV25" s="36"/>
      <c r="AW25" s="36">
        <f t="shared" si="22"/>
        <v>37888.2169068</v>
      </c>
      <c r="AX25" s="36">
        <f t="shared" si="23"/>
        <v>37888.2169068</v>
      </c>
      <c r="AY25" s="36">
        <f t="shared" si="24"/>
        <v>15735.0420214</v>
      </c>
      <c r="BA25" s="36"/>
      <c r="BB25" s="36">
        <f t="shared" si="25"/>
        <v>58935.02181</v>
      </c>
      <c r="BC25" s="36">
        <f t="shared" si="26"/>
        <v>58935.02181</v>
      </c>
      <c r="BD25" s="36">
        <f t="shared" si="27"/>
        <v>24475.816505</v>
      </c>
      <c r="BF25" s="36"/>
      <c r="BG25" s="36">
        <f t="shared" si="28"/>
        <v>5214.9345564</v>
      </c>
      <c r="BH25" s="36">
        <f t="shared" si="29"/>
        <v>5214.9345564</v>
      </c>
      <c r="BI25" s="36">
        <f t="shared" si="30"/>
        <v>2165.7713421999997</v>
      </c>
      <c r="BK25" s="36"/>
      <c r="BL25" s="36">
        <f t="shared" si="31"/>
        <v>2423.8791132</v>
      </c>
      <c r="BM25" s="36">
        <f t="shared" si="32"/>
        <v>2423.8791132</v>
      </c>
      <c r="BN25" s="36">
        <f t="shared" si="33"/>
        <v>1006.6411886000001</v>
      </c>
      <c r="BP25" s="36"/>
      <c r="BQ25" s="36">
        <f t="shared" si="34"/>
        <v>1628.8457334000002</v>
      </c>
      <c r="BR25" s="36">
        <f t="shared" si="35"/>
        <v>1628.8457334000002</v>
      </c>
      <c r="BS25" s="36">
        <f t="shared" si="36"/>
        <v>676.4624507000001</v>
      </c>
      <c r="BU25" s="36"/>
      <c r="BV25" s="36">
        <f t="shared" si="37"/>
        <v>20459.0651076</v>
      </c>
      <c r="BW25" s="5">
        <f t="shared" si="38"/>
        <v>20459.0651076</v>
      </c>
      <c r="BX25" s="36">
        <f t="shared" si="39"/>
        <v>8496.6851298</v>
      </c>
      <c r="BZ25" s="36"/>
      <c r="CA25" s="36">
        <f t="shared" si="40"/>
        <v>110430.4070052</v>
      </c>
      <c r="CB25" s="5">
        <f t="shared" si="41"/>
        <v>110430.4070052</v>
      </c>
      <c r="CC25" s="36">
        <f t="shared" si="42"/>
        <v>45861.9390546</v>
      </c>
      <c r="CD25" s="5"/>
      <c r="CE25" s="36"/>
      <c r="CF25" s="36">
        <f t="shared" si="43"/>
        <v>472203.8339346</v>
      </c>
      <c r="CG25" s="5">
        <f t="shared" si="44"/>
        <v>472203.8339346</v>
      </c>
      <c r="CH25" s="36">
        <f t="shared" si="45"/>
        <v>196107.0690633</v>
      </c>
      <c r="CI25" s="5"/>
      <c r="CJ25" s="5"/>
      <c r="CK25" s="36"/>
      <c r="CL25" s="36">
        <f t="shared" si="46"/>
        <v>0</v>
      </c>
      <c r="CM25" s="36">
        <f t="shared" si="47"/>
        <v>0</v>
      </c>
      <c r="CN25" s="5"/>
      <c r="CO25" s="5"/>
      <c r="CP25" s="5"/>
      <c r="CQ25" s="5"/>
      <c r="CR25" s="5"/>
      <c r="CS25" s="5"/>
      <c r="CT25" s="5"/>
      <c r="CU25" s="5"/>
      <c r="CV25" s="5"/>
      <c r="CW25" s="5"/>
    </row>
    <row r="26" spans="1:101" ht="12.75">
      <c r="A26" s="37">
        <v>47209</v>
      </c>
      <c r="C26" s="3">
        <v>7820000</v>
      </c>
      <c r="D26" s="3">
        <v>1288338</v>
      </c>
      <c r="E26" s="35">
        <f t="shared" si="0"/>
        <v>9108338</v>
      </c>
      <c r="F26" s="35">
        <v>535049</v>
      </c>
      <c r="H26" s="36">
        <v>2881873</v>
      </c>
      <c r="I26" s="36">
        <v>474786</v>
      </c>
      <c r="J26" s="36">
        <f t="shared" si="1"/>
        <v>3356659</v>
      </c>
      <c r="K26" s="36">
        <f>'Academic Project '!K26</f>
        <v>197179.46777399993</v>
      </c>
      <c r="M26" s="36">
        <f t="shared" si="48"/>
        <v>4938126.68</v>
      </c>
      <c r="N26" s="35">
        <f t="shared" si="2"/>
        <v>813551.9502119999</v>
      </c>
      <c r="O26" s="36">
        <f t="shared" si="3"/>
        <v>5751678.630212</v>
      </c>
      <c r="P26" s="35">
        <f t="shared" si="2"/>
        <v>337869.532226</v>
      </c>
      <c r="Q26" s="36"/>
      <c r="R26" s="36">
        <f t="shared" si="49"/>
        <v>6285.716</v>
      </c>
      <c r="S26" s="36">
        <f t="shared" si="4"/>
        <v>1035.5660844000001</v>
      </c>
      <c r="T26" s="36">
        <f t="shared" si="5"/>
        <v>7321.282084400001</v>
      </c>
      <c r="U26" s="36">
        <f t="shared" si="6"/>
        <v>430.07238620000004</v>
      </c>
      <c r="W26" s="36">
        <f t="shared" si="50"/>
        <v>1491.2740000000001</v>
      </c>
      <c r="X26" s="36">
        <f t="shared" si="7"/>
        <v>245.6860566</v>
      </c>
      <c r="Y26" s="36">
        <f t="shared" si="8"/>
        <v>1736.9600566000001</v>
      </c>
      <c r="Z26" s="36">
        <f t="shared" si="9"/>
        <v>102.0338443</v>
      </c>
      <c r="AB26" s="36">
        <f t="shared" si="51"/>
        <v>170057.62999999998</v>
      </c>
      <c r="AC26" s="36">
        <f t="shared" si="10"/>
        <v>28016.842317</v>
      </c>
      <c r="AD26" s="36">
        <f t="shared" si="11"/>
        <v>198074.47231699998</v>
      </c>
      <c r="AE26" s="36">
        <f t="shared" si="12"/>
        <v>11635.443078499999</v>
      </c>
      <c r="AG26" s="36">
        <f t="shared" si="52"/>
        <v>428810.48199999996</v>
      </c>
      <c r="AH26" s="36">
        <f t="shared" si="13"/>
        <v>70646.1430638</v>
      </c>
      <c r="AI26" s="36">
        <f t="shared" si="14"/>
        <v>499456.62506379996</v>
      </c>
      <c r="AJ26" s="36">
        <f t="shared" si="15"/>
        <v>29339.4654199</v>
      </c>
      <c r="AK26" s="36"/>
      <c r="AL26" s="36">
        <f t="shared" si="53"/>
        <v>385.526</v>
      </c>
      <c r="AM26" s="36">
        <f t="shared" si="16"/>
        <v>63.515063399999995</v>
      </c>
      <c r="AN26" s="36">
        <f t="shared" si="17"/>
        <v>449.0410634</v>
      </c>
      <c r="AO26" s="36">
        <f t="shared" si="18"/>
        <v>26.3779157</v>
      </c>
      <c r="AQ26" s="36">
        <f t="shared" si="54"/>
        <v>26464.444</v>
      </c>
      <c r="AR26" s="36">
        <f t="shared" si="19"/>
        <v>4359.9934596</v>
      </c>
      <c r="AS26" s="36">
        <f t="shared" si="20"/>
        <v>30824.437459599998</v>
      </c>
      <c r="AT26" s="36">
        <f t="shared" si="21"/>
        <v>1810.7128258</v>
      </c>
      <c r="AV26" s="36">
        <f t="shared" si="55"/>
        <v>229975.252</v>
      </c>
      <c r="AW26" s="36">
        <f t="shared" si="22"/>
        <v>37888.2169068</v>
      </c>
      <c r="AX26" s="36">
        <f t="shared" si="23"/>
        <v>267863.46890680003</v>
      </c>
      <c r="AY26" s="36">
        <f t="shared" si="24"/>
        <v>15735.0420214</v>
      </c>
      <c r="BA26" s="36">
        <f t="shared" si="56"/>
        <v>357725.9</v>
      </c>
      <c r="BB26" s="36">
        <f t="shared" si="25"/>
        <v>58935.02181</v>
      </c>
      <c r="BC26" s="36">
        <f t="shared" si="26"/>
        <v>416660.92181</v>
      </c>
      <c r="BD26" s="36">
        <f t="shared" si="27"/>
        <v>24475.816505</v>
      </c>
      <c r="BF26" s="36">
        <f t="shared" si="57"/>
        <v>31653.796</v>
      </c>
      <c r="BG26" s="36">
        <f t="shared" si="28"/>
        <v>5214.9345564</v>
      </c>
      <c r="BH26" s="36">
        <f t="shared" si="29"/>
        <v>36868.7305564</v>
      </c>
      <c r="BI26" s="36">
        <f t="shared" si="30"/>
        <v>2165.7713421999997</v>
      </c>
      <c r="BK26" s="36">
        <f t="shared" si="58"/>
        <v>14712.548</v>
      </c>
      <c r="BL26" s="36">
        <f t="shared" si="31"/>
        <v>2423.8791132</v>
      </c>
      <c r="BM26" s="36">
        <f t="shared" si="32"/>
        <v>17136.4271132</v>
      </c>
      <c r="BN26" s="36">
        <f t="shared" si="33"/>
        <v>1006.6411886000001</v>
      </c>
      <c r="BP26" s="36">
        <f t="shared" si="59"/>
        <v>9886.826000000001</v>
      </c>
      <c r="BQ26" s="36">
        <f t="shared" si="34"/>
        <v>1628.8457334000002</v>
      </c>
      <c r="BR26" s="36">
        <f t="shared" si="35"/>
        <v>11515.6717334</v>
      </c>
      <c r="BS26" s="36">
        <f t="shared" si="36"/>
        <v>676.4624507000001</v>
      </c>
      <c r="BU26" s="36">
        <f t="shared" si="60"/>
        <v>124183.164</v>
      </c>
      <c r="BV26" s="36">
        <f t="shared" si="37"/>
        <v>20459.0651076</v>
      </c>
      <c r="BW26" s="5">
        <f t="shared" si="38"/>
        <v>144642.2291076</v>
      </c>
      <c r="BX26" s="36">
        <f t="shared" si="39"/>
        <v>8496.6851298</v>
      </c>
      <c r="BZ26" s="36">
        <f t="shared" si="61"/>
        <v>670294.428</v>
      </c>
      <c r="CA26" s="36">
        <f t="shared" si="40"/>
        <v>110430.4070052</v>
      </c>
      <c r="CB26" s="5">
        <f t="shared" si="41"/>
        <v>780724.8350052</v>
      </c>
      <c r="CC26" s="36">
        <f t="shared" si="42"/>
        <v>45861.9390546</v>
      </c>
      <c r="CD26" s="5"/>
      <c r="CE26" s="36">
        <f t="shared" si="62"/>
        <v>2866199.694</v>
      </c>
      <c r="CF26" s="36">
        <f t="shared" si="43"/>
        <v>472203.8339346</v>
      </c>
      <c r="CG26" s="5">
        <f t="shared" si="44"/>
        <v>3338403.5279346</v>
      </c>
      <c r="CH26" s="36">
        <f t="shared" si="45"/>
        <v>196107.0690633</v>
      </c>
      <c r="CI26" s="5"/>
      <c r="CJ26" s="5"/>
      <c r="CK26" s="36"/>
      <c r="CL26" s="36">
        <f t="shared" si="46"/>
        <v>0</v>
      </c>
      <c r="CM26" s="36">
        <f t="shared" si="47"/>
        <v>0</v>
      </c>
      <c r="CN26" s="5"/>
      <c r="CO26" s="5"/>
      <c r="CP26" s="5"/>
      <c r="CQ26" s="5"/>
      <c r="CR26" s="5"/>
      <c r="CS26" s="5"/>
      <c r="CT26" s="5"/>
      <c r="CU26" s="5"/>
      <c r="CV26" s="5"/>
      <c r="CW26" s="5"/>
    </row>
    <row r="27" spans="1:101" ht="12.75">
      <c r="A27" s="37">
        <v>47392</v>
      </c>
      <c r="D27" s="3">
        <v>1151488</v>
      </c>
      <c r="E27" s="35">
        <f t="shared" si="0"/>
        <v>1151488</v>
      </c>
      <c r="F27" s="35">
        <v>535049</v>
      </c>
      <c r="H27" s="36"/>
      <c r="I27" s="36">
        <v>424353</v>
      </c>
      <c r="J27" s="36">
        <f t="shared" si="1"/>
        <v>424353</v>
      </c>
      <c r="K27" s="36">
        <f>'Academic Project '!K27</f>
        <v>197179.46777399993</v>
      </c>
      <c r="M27" s="36"/>
      <c r="N27" s="35">
        <f t="shared" si="2"/>
        <v>727134.733312</v>
      </c>
      <c r="O27" s="36">
        <f t="shared" si="3"/>
        <v>727134.733312</v>
      </c>
      <c r="P27" s="35">
        <f t="shared" si="2"/>
        <v>337869.532226</v>
      </c>
      <c r="Q27" s="36"/>
      <c r="R27" s="36"/>
      <c r="S27" s="36">
        <f t="shared" si="4"/>
        <v>925.5660544</v>
      </c>
      <c r="T27" s="36">
        <f t="shared" si="5"/>
        <v>925.5660544</v>
      </c>
      <c r="U27" s="36">
        <f t="shared" si="6"/>
        <v>430.07238620000004</v>
      </c>
      <c r="W27" s="36"/>
      <c r="X27" s="36">
        <f t="shared" si="7"/>
        <v>219.5887616</v>
      </c>
      <c r="Y27" s="36">
        <f t="shared" si="8"/>
        <v>219.5887616</v>
      </c>
      <c r="Z27" s="36">
        <f t="shared" si="9"/>
        <v>102.0338443</v>
      </c>
      <c r="AB27" s="36"/>
      <c r="AC27" s="36">
        <f t="shared" si="10"/>
        <v>25040.833791999998</v>
      </c>
      <c r="AD27" s="36">
        <f t="shared" si="11"/>
        <v>25040.833791999998</v>
      </c>
      <c r="AE27" s="36">
        <f t="shared" si="12"/>
        <v>11635.443078499999</v>
      </c>
      <c r="AG27" s="36"/>
      <c r="AH27" s="36">
        <f t="shared" si="13"/>
        <v>63141.959628799996</v>
      </c>
      <c r="AI27" s="36">
        <f t="shared" si="14"/>
        <v>63141.959628799996</v>
      </c>
      <c r="AJ27" s="36">
        <f t="shared" si="15"/>
        <v>29339.4654199</v>
      </c>
      <c r="AK27" s="36"/>
      <c r="AL27" s="36"/>
      <c r="AM27" s="36">
        <f t="shared" si="16"/>
        <v>56.7683584</v>
      </c>
      <c r="AN27" s="36">
        <f t="shared" si="17"/>
        <v>56.7683584</v>
      </c>
      <c r="AO27" s="36">
        <f t="shared" si="18"/>
        <v>26.3779157</v>
      </c>
      <c r="AQ27" s="36"/>
      <c r="AR27" s="36">
        <f t="shared" si="19"/>
        <v>3896.8656895999998</v>
      </c>
      <c r="AS27" s="36">
        <f t="shared" si="20"/>
        <v>3896.8656895999998</v>
      </c>
      <c r="AT27" s="36">
        <f t="shared" si="21"/>
        <v>1810.7128258</v>
      </c>
      <c r="AV27" s="36"/>
      <c r="AW27" s="36">
        <f t="shared" si="22"/>
        <v>33863.6499968</v>
      </c>
      <c r="AX27" s="36">
        <f t="shared" si="23"/>
        <v>33863.6499968</v>
      </c>
      <c r="AY27" s="36">
        <f t="shared" si="24"/>
        <v>15735.0420214</v>
      </c>
      <c r="BA27" s="36"/>
      <c r="BB27" s="36">
        <f t="shared" si="25"/>
        <v>52674.81856</v>
      </c>
      <c r="BC27" s="36">
        <f t="shared" si="26"/>
        <v>52674.81856</v>
      </c>
      <c r="BD27" s="36">
        <f t="shared" si="27"/>
        <v>24475.816505</v>
      </c>
      <c r="BF27" s="36"/>
      <c r="BG27" s="36">
        <f t="shared" si="28"/>
        <v>4660.9931264</v>
      </c>
      <c r="BH27" s="36">
        <f t="shared" si="29"/>
        <v>4660.9931264</v>
      </c>
      <c r="BI27" s="36">
        <f t="shared" si="30"/>
        <v>2165.7713421999997</v>
      </c>
      <c r="BK27" s="36"/>
      <c r="BL27" s="36">
        <f t="shared" si="31"/>
        <v>2166.4095232</v>
      </c>
      <c r="BM27" s="36">
        <f t="shared" si="32"/>
        <v>2166.4095232</v>
      </c>
      <c r="BN27" s="36">
        <f t="shared" si="33"/>
        <v>1006.6411886000001</v>
      </c>
      <c r="BP27" s="36"/>
      <c r="BQ27" s="36">
        <f t="shared" si="34"/>
        <v>1455.8262784</v>
      </c>
      <c r="BR27" s="36">
        <f t="shared" si="35"/>
        <v>1455.8262784</v>
      </c>
      <c r="BS27" s="36">
        <f t="shared" si="36"/>
        <v>676.4624507000001</v>
      </c>
      <c r="BU27" s="36"/>
      <c r="BV27" s="36">
        <f t="shared" si="37"/>
        <v>18285.8597376</v>
      </c>
      <c r="BW27" s="5">
        <f t="shared" si="38"/>
        <v>18285.8597376</v>
      </c>
      <c r="BX27" s="36">
        <f t="shared" si="39"/>
        <v>8496.6851298</v>
      </c>
      <c r="BZ27" s="36"/>
      <c r="CA27" s="36">
        <f t="shared" si="40"/>
        <v>98700.2545152</v>
      </c>
      <c r="CB27" s="5">
        <f t="shared" si="41"/>
        <v>98700.2545152</v>
      </c>
      <c r="CC27" s="36">
        <f t="shared" si="42"/>
        <v>45861.9390546</v>
      </c>
      <c r="CD27" s="5"/>
      <c r="CE27" s="36"/>
      <c r="CF27" s="36">
        <f t="shared" si="43"/>
        <v>422045.33928960003</v>
      </c>
      <c r="CG27" s="5">
        <f t="shared" si="44"/>
        <v>422045.33928960003</v>
      </c>
      <c r="CH27" s="36">
        <f t="shared" si="45"/>
        <v>196107.0690633</v>
      </c>
      <c r="CI27" s="5"/>
      <c r="CJ27" s="5"/>
      <c r="CK27" s="36"/>
      <c r="CL27" s="36">
        <f t="shared" si="46"/>
        <v>0</v>
      </c>
      <c r="CM27" s="36">
        <f t="shared" si="47"/>
        <v>0</v>
      </c>
      <c r="CN27" s="5"/>
      <c r="CO27" s="5"/>
      <c r="CP27" s="5"/>
      <c r="CQ27" s="5"/>
      <c r="CR27" s="5"/>
      <c r="CS27" s="5"/>
      <c r="CT27" s="5"/>
      <c r="CU27" s="5"/>
      <c r="CV27" s="5"/>
      <c r="CW27" s="5"/>
    </row>
    <row r="28" spans="1:101" ht="12.75">
      <c r="A28" s="37">
        <v>11049</v>
      </c>
      <c r="C28" s="3">
        <v>8095000</v>
      </c>
      <c r="D28" s="3">
        <v>1151488</v>
      </c>
      <c r="E28" s="35">
        <f t="shared" si="0"/>
        <v>9246488</v>
      </c>
      <c r="F28" s="35">
        <v>535049</v>
      </c>
      <c r="H28" s="36">
        <v>2983218</v>
      </c>
      <c r="I28" s="36">
        <v>424353</v>
      </c>
      <c r="J28" s="36">
        <f t="shared" si="1"/>
        <v>3407571</v>
      </c>
      <c r="K28" s="36">
        <f>'Academic Project '!K28</f>
        <v>197179.46777399993</v>
      </c>
      <c r="M28" s="36">
        <f t="shared" si="48"/>
        <v>5111782.029999999</v>
      </c>
      <c r="N28" s="35">
        <f t="shared" si="2"/>
        <v>727134.733312</v>
      </c>
      <c r="O28" s="36">
        <f t="shared" si="3"/>
        <v>5838916.763311999</v>
      </c>
      <c r="P28" s="35">
        <f t="shared" si="2"/>
        <v>337869.532226</v>
      </c>
      <c r="Q28" s="36"/>
      <c r="R28" s="36">
        <f t="shared" si="49"/>
        <v>6506.761</v>
      </c>
      <c r="S28" s="36">
        <f t="shared" si="4"/>
        <v>925.5660544</v>
      </c>
      <c r="T28" s="36">
        <f t="shared" si="5"/>
        <v>7432.327054400001</v>
      </c>
      <c r="U28" s="36">
        <f t="shared" si="6"/>
        <v>430.07238620000004</v>
      </c>
      <c r="W28" s="36">
        <f t="shared" si="50"/>
        <v>1543.7165</v>
      </c>
      <c r="X28" s="36">
        <f t="shared" si="7"/>
        <v>219.5887616</v>
      </c>
      <c r="Y28" s="36">
        <f t="shared" si="8"/>
        <v>1763.3052616</v>
      </c>
      <c r="Z28" s="36">
        <f t="shared" si="9"/>
        <v>102.0338443</v>
      </c>
      <c r="AB28" s="36">
        <f t="shared" si="51"/>
        <v>176037.91749999998</v>
      </c>
      <c r="AC28" s="36">
        <f t="shared" si="10"/>
        <v>25040.833791999998</v>
      </c>
      <c r="AD28" s="36">
        <f t="shared" si="11"/>
        <v>201078.75129199997</v>
      </c>
      <c r="AE28" s="36">
        <f t="shared" si="12"/>
        <v>11635.443078499999</v>
      </c>
      <c r="AG28" s="36">
        <f t="shared" si="52"/>
        <v>443890.1345</v>
      </c>
      <c r="AH28" s="36">
        <f t="shared" si="13"/>
        <v>63141.959628799996</v>
      </c>
      <c r="AI28" s="36">
        <f t="shared" si="14"/>
        <v>507032.0941288</v>
      </c>
      <c r="AJ28" s="36">
        <f t="shared" si="15"/>
        <v>29339.4654199</v>
      </c>
      <c r="AK28" s="36"/>
      <c r="AL28" s="36">
        <f t="shared" si="53"/>
        <v>399.0835</v>
      </c>
      <c r="AM28" s="36">
        <f t="shared" si="16"/>
        <v>56.7683584</v>
      </c>
      <c r="AN28" s="36">
        <f t="shared" si="17"/>
        <v>455.8518584</v>
      </c>
      <c r="AO28" s="36">
        <f t="shared" si="18"/>
        <v>26.3779157</v>
      </c>
      <c r="AQ28" s="36">
        <f t="shared" si="54"/>
        <v>27395.099</v>
      </c>
      <c r="AR28" s="36">
        <f t="shared" si="19"/>
        <v>3896.8656895999998</v>
      </c>
      <c r="AS28" s="36">
        <f t="shared" si="20"/>
        <v>31291.964689599998</v>
      </c>
      <c r="AT28" s="36">
        <f t="shared" si="21"/>
        <v>1810.7128258</v>
      </c>
      <c r="AV28" s="36">
        <f t="shared" si="55"/>
        <v>238062.617</v>
      </c>
      <c r="AW28" s="36">
        <f t="shared" si="22"/>
        <v>33863.6499968</v>
      </c>
      <c r="AX28" s="36">
        <f t="shared" si="23"/>
        <v>271926.26699679997</v>
      </c>
      <c r="AY28" s="36">
        <f t="shared" si="24"/>
        <v>15735.0420214</v>
      </c>
      <c r="BA28" s="36">
        <f t="shared" si="56"/>
        <v>370305.775</v>
      </c>
      <c r="BB28" s="36">
        <f t="shared" si="25"/>
        <v>52674.81856</v>
      </c>
      <c r="BC28" s="36">
        <f t="shared" si="26"/>
        <v>422980.59356</v>
      </c>
      <c r="BD28" s="36">
        <f t="shared" si="27"/>
        <v>24475.816505</v>
      </c>
      <c r="BF28" s="36">
        <f t="shared" si="57"/>
        <v>32766.941</v>
      </c>
      <c r="BG28" s="36">
        <f t="shared" si="28"/>
        <v>4660.9931264</v>
      </c>
      <c r="BH28" s="36">
        <f t="shared" si="29"/>
        <v>37427.934126399996</v>
      </c>
      <c r="BI28" s="36">
        <f t="shared" si="30"/>
        <v>2165.7713421999997</v>
      </c>
      <c r="BK28" s="36">
        <f t="shared" si="58"/>
        <v>15229.933</v>
      </c>
      <c r="BL28" s="36">
        <f t="shared" si="31"/>
        <v>2166.4095232</v>
      </c>
      <c r="BM28" s="36">
        <f t="shared" si="32"/>
        <v>17396.3425232</v>
      </c>
      <c r="BN28" s="36">
        <f t="shared" si="33"/>
        <v>1006.6411886000001</v>
      </c>
      <c r="BP28" s="36">
        <f t="shared" si="59"/>
        <v>10234.508500000002</v>
      </c>
      <c r="BQ28" s="36">
        <f t="shared" si="34"/>
        <v>1455.8262784</v>
      </c>
      <c r="BR28" s="36">
        <f t="shared" si="35"/>
        <v>11690.334778400002</v>
      </c>
      <c r="BS28" s="36">
        <f t="shared" si="36"/>
        <v>676.4624507000001</v>
      </c>
      <c r="BU28" s="36">
        <f t="shared" si="60"/>
        <v>128550.219</v>
      </c>
      <c r="BV28" s="36">
        <f t="shared" si="37"/>
        <v>18285.8597376</v>
      </c>
      <c r="BW28" s="5">
        <f t="shared" si="38"/>
        <v>146836.0787376</v>
      </c>
      <c r="BX28" s="36">
        <f t="shared" si="39"/>
        <v>8496.6851298</v>
      </c>
      <c r="BZ28" s="36">
        <f t="shared" si="61"/>
        <v>693866.163</v>
      </c>
      <c r="CA28" s="36">
        <f t="shared" si="40"/>
        <v>98700.2545152</v>
      </c>
      <c r="CB28" s="5">
        <f t="shared" si="41"/>
        <v>792566.4175152</v>
      </c>
      <c r="CC28" s="36">
        <f t="shared" si="42"/>
        <v>45861.9390546</v>
      </c>
      <c r="CD28" s="5"/>
      <c r="CE28" s="36">
        <f t="shared" si="62"/>
        <v>2966993.1615</v>
      </c>
      <c r="CF28" s="36">
        <f t="shared" si="43"/>
        <v>422045.33928960003</v>
      </c>
      <c r="CG28" s="5">
        <f t="shared" si="44"/>
        <v>3389038.5007896</v>
      </c>
      <c r="CH28" s="36">
        <f t="shared" si="45"/>
        <v>196107.0690633</v>
      </c>
      <c r="CI28" s="5"/>
      <c r="CJ28" s="5"/>
      <c r="CK28" s="36"/>
      <c r="CL28" s="36">
        <f t="shared" si="46"/>
        <v>0</v>
      </c>
      <c r="CM28" s="36">
        <f t="shared" si="47"/>
        <v>0</v>
      </c>
      <c r="CN28" s="5"/>
      <c r="CO28" s="5"/>
      <c r="CP28" s="5"/>
      <c r="CQ28" s="5"/>
      <c r="CR28" s="5"/>
      <c r="CS28" s="5"/>
      <c r="CT28" s="5"/>
      <c r="CU28" s="5"/>
      <c r="CV28" s="5"/>
      <c r="CW28" s="5"/>
    </row>
    <row r="29" spans="1:101" ht="12.75">
      <c r="A29" s="37">
        <v>11232</v>
      </c>
      <c r="D29" s="3">
        <v>1009825</v>
      </c>
      <c r="E29" s="35">
        <f t="shared" si="0"/>
        <v>1009825</v>
      </c>
      <c r="F29" s="35">
        <v>535049</v>
      </c>
      <c r="H29" s="36"/>
      <c r="I29" s="36">
        <v>372147</v>
      </c>
      <c r="J29" s="36">
        <f t="shared" si="1"/>
        <v>372147</v>
      </c>
      <c r="K29" s="36">
        <f>'Academic Project '!K29</f>
        <v>197179.46777399993</v>
      </c>
      <c r="M29" s="36"/>
      <c r="N29" s="35">
        <f t="shared" si="2"/>
        <v>637678.23205</v>
      </c>
      <c r="O29" s="36">
        <f t="shared" si="3"/>
        <v>637678.23205</v>
      </c>
      <c r="P29" s="35">
        <f t="shared" si="2"/>
        <v>337869.532226</v>
      </c>
      <c r="Q29" s="36"/>
      <c r="R29" s="36"/>
      <c r="S29" s="36">
        <f t="shared" si="4"/>
        <v>811.6973350000001</v>
      </c>
      <c r="T29" s="36">
        <f t="shared" si="5"/>
        <v>811.6973350000001</v>
      </c>
      <c r="U29" s="36">
        <f t="shared" si="6"/>
        <v>430.07238620000004</v>
      </c>
      <c r="W29" s="36"/>
      <c r="X29" s="36">
        <f t="shared" si="7"/>
        <v>192.5736275</v>
      </c>
      <c r="Y29" s="36">
        <f t="shared" si="8"/>
        <v>192.5736275</v>
      </c>
      <c r="Z29" s="36">
        <f t="shared" si="9"/>
        <v>102.0338443</v>
      </c>
      <c r="AB29" s="36"/>
      <c r="AC29" s="36">
        <f t="shared" si="10"/>
        <v>21960.1593625</v>
      </c>
      <c r="AD29" s="36">
        <f t="shared" si="11"/>
        <v>21960.1593625</v>
      </c>
      <c r="AE29" s="36">
        <f t="shared" si="12"/>
        <v>11635.443078499999</v>
      </c>
      <c r="AG29" s="36"/>
      <c r="AH29" s="36">
        <f t="shared" si="13"/>
        <v>55373.854857499995</v>
      </c>
      <c r="AI29" s="36">
        <f t="shared" si="14"/>
        <v>55373.854857499995</v>
      </c>
      <c r="AJ29" s="36">
        <f t="shared" si="15"/>
        <v>29339.4654199</v>
      </c>
      <c r="AK29" s="36"/>
      <c r="AL29" s="36"/>
      <c r="AM29" s="36">
        <f t="shared" si="16"/>
        <v>49.784372499999996</v>
      </c>
      <c r="AN29" s="36">
        <f t="shared" si="17"/>
        <v>49.784372499999996</v>
      </c>
      <c r="AO29" s="36">
        <f t="shared" si="18"/>
        <v>26.3779157</v>
      </c>
      <c r="AQ29" s="36"/>
      <c r="AR29" s="36">
        <f t="shared" si="19"/>
        <v>3417.449765</v>
      </c>
      <c r="AS29" s="36">
        <f t="shared" si="20"/>
        <v>3417.449765</v>
      </c>
      <c r="AT29" s="36">
        <f t="shared" si="21"/>
        <v>1810.7128258</v>
      </c>
      <c r="AV29" s="36"/>
      <c r="AW29" s="36">
        <f t="shared" si="22"/>
        <v>29697.539495</v>
      </c>
      <c r="AX29" s="36">
        <f t="shared" si="23"/>
        <v>29697.539495</v>
      </c>
      <c r="AY29" s="36">
        <f t="shared" si="24"/>
        <v>15735.0420214</v>
      </c>
      <c r="BA29" s="36"/>
      <c r="BB29" s="36">
        <f t="shared" si="25"/>
        <v>46194.444625000004</v>
      </c>
      <c r="BC29" s="36">
        <f t="shared" si="26"/>
        <v>46194.444625000004</v>
      </c>
      <c r="BD29" s="36">
        <f t="shared" si="27"/>
        <v>24475.816505</v>
      </c>
      <c r="BF29" s="36"/>
      <c r="BG29" s="36">
        <f t="shared" si="28"/>
        <v>4087.569635</v>
      </c>
      <c r="BH29" s="36">
        <f t="shared" si="29"/>
        <v>4087.569635</v>
      </c>
      <c r="BI29" s="36">
        <f t="shared" si="30"/>
        <v>2165.7713421999997</v>
      </c>
      <c r="BK29" s="36"/>
      <c r="BL29" s="36">
        <f t="shared" si="31"/>
        <v>1899.884755</v>
      </c>
      <c r="BM29" s="36">
        <f t="shared" si="32"/>
        <v>1899.884755</v>
      </c>
      <c r="BN29" s="36">
        <f t="shared" si="33"/>
        <v>1006.6411886000001</v>
      </c>
      <c r="BP29" s="36"/>
      <c r="BQ29" s="36">
        <f t="shared" si="34"/>
        <v>1276.7217475</v>
      </c>
      <c r="BR29" s="36">
        <f t="shared" si="35"/>
        <v>1276.7217475</v>
      </c>
      <c r="BS29" s="36">
        <f t="shared" si="36"/>
        <v>676.4624507000001</v>
      </c>
      <c r="BU29" s="36"/>
      <c r="BV29" s="36">
        <f t="shared" si="37"/>
        <v>16036.222965</v>
      </c>
      <c r="BW29" s="5">
        <f t="shared" si="38"/>
        <v>16036.222965</v>
      </c>
      <c r="BX29" s="36">
        <f t="shared" si="39"/>
        <v>8496.6851298</v>
      </c>
      <c r="BZ29" s="36"/>
      <c r="CA29" s="36">
        <f t="shared" si="40"/>
        <v>86557.553805</v>
      </c>
      <c r="CB29" s="5">
        <f t="shared" si="41"/>
        <v>86557.553805</v>
      </c>
      <c r="CC29" s="36">
        <f t="shared" si="42"/>
        <v>45861.9390546</v>
      </c>
      <c r="CD29" s="5"/>
      <c r="CE29" s="36"/>
      <c r="CF29" s="36">
        <f t="shared" si="43"/>
        <v>370122.7757025</v>
      </c>
      <c r="CG29" s="5">
        <f t="shared" si="44"/>
        <v>370122.7757025</v>
      </c>
      <c r="CH29" s="36">
        <f t="shared" si="45"/>
        <v>196107.0690633</v>
      </c>
      <c r="CI29" s="5"/>
      <c r="CJ29" s="5"/>
      <c r="CK29" s="36"/>
      <c r="CL29" s="36">
        <f t="shared" si="46"/>
        <v>0</v>
      </c>
      <c r="CM29" s="36">
        <f t="shared" si="47"/>
        <v>0</v>
      </c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1" ht="12.75">
      <c r="A30" s="37">
        <v>11414</v>
      </c>
      <c r="C30" s="3">
        <v>8375000</v>
      </c>
      <c r="D30" s="3">
        <v>1009825</v>
      </c>
      <c r="E30" s="35">
        <f t="shared" si="0"/>
        <v>9384825</v>
      </c>
      <c r="F30" s="35">
        <v>535049</v>
      </c>
      <c r="H30" s="36">
        <v>3086405</v>
      </c>
      <c r="I30" s="36">
        <v>372147</v>
      </c>
      <c r="J30" s="36">
        <f t="shared" si="1"/>
        <v>3458552</v>
      </c>
      <c r="K30" s="36">
        <f>'Academic Project '!K30</f>
        <v>197179.46777399993</v>
      </c>
      <c r="M30" s="36">
        <f t="shared" si="48"/>
        <v>5288594.75</v>
      </c>
      <c r="N30" s="35">
        <f t="shared" si="2"/>
        <v>637678.23205</v>
      </c>
      <c r="O30" s="36">
        <f t="shared" si="3"/>
        <v>5926272.98205</v>
      </c>
      <c r="P30" s="35">
        <f t="shared" si="2"/>
        <v>337869.532226</v>
      </c>
      <c r="Q30" s="36"/>
      <c r="R30" s="36">
        <f t="shared" si="49"/>
        <v>6731.825</v>
      </c>
      <c r="S30" s="36">
        <f t="shared" si="4"/>
        <v>811.6973350000001</v>
      </c>
      <c r="T30" s="36">
        <f t="shared" si="5"/>
        <v>7543.522335</v>
      </c>
      <c r="U30" s="36">
        <f t="shared" si="6"/>
        <v>430.07238620000004</v>
      </c>
      <c r="W30" s="36">
        <f t="shared" si="50"/>
        <v>1597.1125</v>
      </c>
      <c r="X30" s="36">
        <f t="shared" si="7"/>
        <v>192.5736275</v>
      </c>
      <c r="Y30" s="36">
        <f t="shared" si="8"/>
        <v>1789.6861274999999</v>
      </c>
      <c r="Z30" s="36">
        <f t="shared" si="9"/>
        <v>102.0338443</v>
      </c>
      <c r="AB30" s="36">
        <f t="shared" si="51"/>
        <v>182126.9375</v>
      </c>
      <c r="AC30" s="36">
        <f t="shared" si="10"/>
        <v>21960.1593625</v>
      </c>
      <c r="AD30" s="36">
        <f t="shared" si="11"/>
        <v>204087.0968625</v>
      </c>
      <c r="AE30" s="36">
        <f t="shared" si="12"/>
        <v>11635.443078499999</v>
      </c>
      <c r="AG30" s="36">
        <f t="shared" si="52"/>
        <v>459243.96249999997</v>
      </c>
      <c r="AH30" s="36">
        <f t="shared" si="13"/>
        <v>55373.854857499995</v>
      </c>
      <c r="AI30" s="36">
        <f t="shared" si="14"/>
        <v>514617.81735749997</v>
      </c>
      <c r="AJ30" s="36">
        <f t="shared" si="15"/>
        <v>29339.4654199</v>
      </c>
      <c r="AK30" s="36"/>
      <c r="AL30" s="36">
        <f t="shared" si="53"/>
        <v>412.8875</v>
      </c>
      <c r="AM30" s="36">
        <f t="shared" si="16"/>
        <v>49.784372499999996</v>
      </c>
      <c r="AN30" s="36">
        <f t="shared" si="17"/>
        <v>462.6718725</v>
      </c>
      <c r="AO30" s="36">
        <f t="shared" si="18"/>
        <v>26.3779157</v>
      </c>
      <c r="AQ30" s="36">
        <f t="shared" si="54"/>
        <v>28342.675</v>
      </c>
      <c r="AR30" s="36">
        <f t="shared" si="19"/>
        <v>3417.449765</v>
      </c>
      <c r="AS30" s="36">
        <f t="shared" si="20"/>
        <v>31760.124765</v>
      </c>
      <c r="AT30" s="36">
        <f t="shared" si="21"/>
        <v>1810.7128258</v>
      </c>
      <c r="AV30" s="36">
        <f t="shared" si="55"/>
        <v>246297.025</v>
      </c>
      <c r="AW30" s="36">
        <f t="shared" si="22"/>
        <v>29697.539495</v>
      </c>
      <c r="AX30" s="36">
        <f t="shared" si="23"/>
        <v>275994.564495</v>
      </c>
      <c r="AY30" s="36">
        <f t="shared" si="24"/>
        <v>15735.0420214</v>
      </c>
      <c r="BA30" s="36">
        <f t="shared" si="56"/>
        <v>383114.375</v>
      </c>
      <c r="BB30" s="36">
        <f t="shared" si="25"/>
        <v>46194.444625000004</v>
      </c>
      <c r="BC30" s="36">
        <f t="shared" si="26"/>
        <v>429308.819625</v>
      </c>
      <c r="BD30" s="36">
        <f t="shared" si="27"/>
        <v>24475.816505</v>
      </c>
      <c r="BF30" s="36">
        <f t="shared" si="57"/>
        <v>33900.325</v>
      </c>
      <c r="BG30" s="36">
        <f t="shared" si="28"/>
        <v>4087.569635</v>
      </c>
      <c r="BH30" s="36">
        <f t="shared" si="29"/>
        <v>37987.894635</v>
      </c>
      <c r="BI30" s="36">
        <f t="shared" si="30"/>
        <v>2165.7713421999997</v>
      </c>
      <c r="BK30" s="36">
        <f t="shared" si="58"/>
        <v>15756.725</v>
      </c>
      <c r="BL30" s="36">
        <f t="shared" si="31"/>
        <v>1899.884755</v>
      </c>
      <c r="BM30" s="36">
        <f t="shared" si="32"/>
        <v>17656.609755</v>
      </c>
      <c r="BN30" s="36">
        <f t="shared" si="33"/>
        <v>1006.6411886000001</v>
      </c>
      <c r="BP30" s="36">
        <f t="shared" si="59"/>
        <v>10588.5125</v>
      </c>
      <c r="BQ30" s="36">
        <f t="shared" si="34"/>
        <v>1276.7217475</v>
      </c>
      <c r="BR30" s="36">
        <f t="shared" si="35"/>
        <v>11865.2342475</v>
      </c>
      <c r="BS30" s="36">
        <f t="shared" si="36"/>
        <v>676.4624507000001</v>
      </c>
      <c r="BU30" s="36">
        <f t="shared" si="60"/>
        <v>132996.67500000002</v>
      </c>
      <c r="BV30" s="36">
        <f t="shared" si="37"/>
        <v>16036.222965</v>
      </c>
      <c r="BW30" s="5">
        <f t="shared" si="38"/>
        <v>149032.897965</v>
      </c>
      <c r="BX30" s="36">
        <f t="shared" si="39"/>
        <v>8496.6851298</v>
      </c>
      <c r="BZ30" s="36">
        <f t="shared" si="61"/>
        <v>717866.475</v>
      </c>
      <c r="CA30" s="36">
        <f t="shared" si="40"/>
        <v>86557.553805</v>
      </c>
      <c r="CB30" s="5">
        <f t="shared" si="41"/>
        <v>804424.028805</v>
      </c>
      <c r="CC30" s="36">
        <f t="shared" si="42"/>
        <v>45861.9390546</v>
      </c>
      <c r="CD30" s="5"/>
      <c r="CE30" s="36">
        <f t="shared" si="62"/>
        <v>3069619.2375000003</v>
      </c>
      <c r="CF30" s="36">
        <f t="shared" si="43"/>
        <v>370122.7757025</v>
      </c>
      <c r="CG30" s="5">
        <f t="shared" si="44"/>
        <v>3439742.0132025005</v>
      </c>
      <c r="CH30" s="36">
        <f t="shared" si="45"/>
        <v>196107.0690633</v>
      </c>
      <c r="CI30" s="5"/>
      <c r="CJ30" s="5"/>
      <c r="CK30" s="36"/>
      <c r="CL30" s="36">
        <f t="shared" si="46"/>
        <v>0</v>
      </c>
      <c r="CM30" s="36">
        <f t="shared" si="47"/>
        <v>0</v>
      </c>
      <c r="CN30" s="5"/>
      <c r="CO30" s="5"/>
      <c r="CP30" s="5"/>
      <c r="CQ30" s="5"/>
      <c r="CR30" s="5"/>
      <c r="CS30" s="5"/>
      <c r="CT30" s="5"/>
      <c r="CU30" s="5"/>
      <c r="CV30" s="5"/>
      <c r="CW30" s="5"/>
    </row>
    <row r="31" spans="1:101" ht="12.75">
      <c r="A31" s="37">
        <v>11597</v>
      </c>
      <c r="D31" s="3">
        <v>842325</v>
      </c>
      <c r="E31" s="35">
        <f t="shared" si="0"/>
        <v>842325</v>
      </c>
      <c r="F31" s="35">
        <v>535049</v>
      </c>
      <c r="H31" s="36"/>
      <c r="I31" s="36">
        <v>310419</v>
      </c>
      <c r="J31" s="36">
        <f t="shared" si="1"/>
        <v>310419</v>
      </c>
      <c r="K31" s="36">
        <f>'Academic Project '!K31</f>
        <v>197179.46777399993</v>
      </c>
      <c r="M31" s="36"/>
      <c r="N31" s="35">
        <f t="shared" si="2"/>
        <v>531906.33705</v>
      </c>
      <c r="O31" s="36">
        <f t="shared" si="3"/>
        <v>531906.33705</v>
      </c>
      <c r="P31" s="35">
        <f t="shared" si="2"/>
        <v>337869.532226</v>
      </c>
      <c r="Q31" s="36"/>
      <c r="R31" s="36"/>
      <c r="S31" s="36">
        <f t="shared" si="4"/>
        <v>677.060835</v>
      </c>
      <c r="T31" s="36">
        <f t="shared" si="5"/>
        <v>677.060835</v>
      </c>
      <c r="U31" s="36">
        <f t="shared" si="6"/>
        <v>430.07238620000004</v>
      </c>
      <c r="W31" s="36"/>
      <c r="X31" s="36">
        <f t="shared" si="7"/>
        <v>160.6313775</v>
      </c>
      <c r="Y31" s="36">
        <f t="shared" si="8"/>
        <v>160.6313775</v>
      </c>
      <c r="Z31" s="36">
        <f t="shared" si="9"/>
        <v>102.0338443</v>
      </c>
      <c r="AB31" s="36"/>
      <c r="AC31" s="36">
        <f t="shared" si="10"/>
        <v>18317.6206125</v>
      </c>
      <c r="AD31" s="36">
        <f t="shared" si="11"/>
        <v>18317.6206125</v>
      </c>
      <c r="AE31" s="36">
        <f t="shared" si="12"/>
        <v>11635.443078499999</v>
      </c>
      <c r="AG31" s="36"/>
      <c r="AH31" s="36">
        <f t="shared" si="13"/>
        <v>46188.9756075</v>
      </c>
      <c r="AI31" s="36">
        <f t="shared" si="14"/>
        <v>46188.9756075</v>
      </c>
      <c r="AJ31" s="36">
        <f t="shared" si="15"/>
        <v>29339.4654199</v>
      </c>
      <c r="AK31" s="36"/>
      <c r="AL31" s="36"/>
      <c r="AM31" s="36">
        <f t="shared" si="16"/>
        <v>41.5266225</v>
      </c>
      <c r="AN31" s="36">
        <f t="shared" si="17"/>
        <v>41.5266225</v>
      </c>
      <c r="AO31" s="36">
        <f t="shared" si="18"/>
        <v>26.3779157</v>
      </c>
      <c r="AQ31" s="36"/>
      <c r="AR31" s="36">
        <f t="shared" si="19"/>
        <v>2850.596265</v>
      </c>
      <c r="AS31" s="36">
        <f t="shared" si="20"/>
        <v>2850.596265</v>
      </c>
      <c r="AT31" s="36">
        <f t="shared" si="21"/>
        <v>1810.7128258</v>
      </c>
      <c r="AV31" s="36"/>
      <c r="AW31" s="36">
        <f t="shared" si="22"/>
        <v>24771.598995</v>
      </c>
      <c r="AX31" s="36">
        <f t="shared" si="23"/>
        <v>24771.598995</v>
      </c>
      <c r="AY31" s="36">
        <f t="shared" si="24"/>
        <v>15735.0420214</v>
      </c>
      <c r="BA31" s="36"/>
      <c r="BB31" s="36">
        <f t="shared" si="25"/>
        <v>38532.157125</v>
      </c>
      <c r="BC31" s="36">
        <f t="shared" si="26"/>
        <v>38532.157125</v>
      </c>
      <c r="BD31" s="36">
        <f t="shared" si="27"/>
        <v>24475.816505</v>
      </c>
      <c r="BF31" s="36"/>
      <c r="BG31" s="36">
        <f t="shared" si="28"/>
        <v>3409.563135</v>
      </c>
      <c r="BH31" s="36">
        <f t="shared" si="29"/>
        <v>3409.563135</v>
      </c>
      <c r="BI31" s="36">
        <f t="shared" si="30"/>
        <v>2165.7713421999997</v>
      </c>
      <c r="BK31" s="36"/>
      <c r="BL31" s="36">
        <f t="shared" si="31"/>
        <v>1584.7502550000002</v>
      </c>
      <c r="BM31" s="36">
        <f t="shared" si="32"/>
        <v>1584.7502550000002</v>
      </c>
      <c r="BN31" s="36">
        <f t="shared" si="33"/>
        <v>1006.6411886000001</v>
      </c>
      <c r="BP31" s="36"/>
      <c r="BQ31" s="36">
        <f t="shared" si="34"/>
        <v>1064.9514975000002</v>
      </c>
      <c r="BR31" s="36">
        <f t="shared" si="35"/>
        <v>1064.9514975000002</v>
      </c>
      <c r="BS31" s="36">
        <f t="shared" si="36"/>
        <v>676.4624507000001</v>
      </c>
      <c r="BU31" s="36"/>
      <c r="BV31" s="36">
        <f t="shared" si="37"/>
        <v>13376.289465</v>
      </c>
      <c r="BW31" s="5">
        <f t="shared" si="38"/>
        <v>13376.289465</v>
      </c>
      <c r="BX31" s="36">
        <f t="shared" si="39"/>
        <v>8496.6851298</v>
      </c>
      <c r="BZ31" s="36"/>
      <c r="CA31" s="36">
        <f t="shared" si="40"/>
        <v>72200.224305</v>
      </c>
      <c r="CB31" s="5">
        <f t="shared" si="41"/>
        <v>72200.224305</v>
      </c>
      <c r="CC31" s="36">
        <f t="shared" si="42"/>
        <v>45861.9390546</v>
      </c>
      <c r="CD31" s="5"/>
      <c r="CE31" s="36"/>
      <c r="CF31" s="36">
        <f t="shared" si="43"/>
        <v>308730.3909525</v>
      </c>
      <c r="CG31" s="5">
        <f t="shared" si="44"/>
        <v>308730.3909525</v>
      </c>
      <c r="CH31" s="36">
        <f t="shared" si="45"/>
        <v>196107.0690633</v>
      </c>
      <c r="CI31" s="5"/>
      <c r="CJ31" s="5"/>
      <c r="CK31" s="36"/>
      <c r="CL31" s="36">
        <f t="shared" si="46"/>
        <v>0</v>
      </c>
      <c r="CM31" s="36">
        <f t="shared" si="47"/>
        <v>0</v>
      </c>
      <c r="CN31" s="5"/>
      <c r="CO31" s="5"/>
      <c r="CP31" s="5"/>
      <c r="CQ31" s="5"/>
      <c r="CR31" s="5"/>
      <c r="CS31" s="5"/>
      <c r="CT31" s="5"/>
      <c r="CU31" s="5"/>
      <c r="CV31" s="5"/>
      <c r="CW31" s="5"/>
    </row>
    <row r="32" spans="1:101" ht="12.75">
      <c r="A32" s="37">
        <v>11780</v>
      </c>
      <c r="C32" s="3">
        <v>8710000</v>
      </c>
      <c r="D32" s="3">
        <v>842325</v>
      </c>
      <c r="E32" s="35">
        <f t="shared" si="0"/>
        <v>9552325</v>
      </c>
      <c r="F32" s="35">
        <v>535049</v>
      </c>
      <c r="H32" s="36">
        <v>3209861</v>
      </c>
      <c r="I32" s="36">
        <v>310419</v>
      </c>
      <c r="J32" s="36">
        <f t="shared" si="1"/>
        <v>3520280</v>
      </c>
      <c r="K32" s="36">
        <f>'Academic Project '!K32</f>
        <v>197179.46777399993</v>
      </c>
      <c r="M32" s="36">
        <f t="shared" si="48"/>
        <v>5500138.540000001</v>
      </c>
      <c r="N32" s="35">
        <f t="shared" si="2"/>
        <v>531906.33705</v>
      </c>
      <c r="O32" s="36">
        <f t="shared" si="3"/>
        <v>6032044.877050001</v>
      </c>
      <c r="P32" s="35">
        <f t="shared" si="2"/>
        <v>337869.532226</v>
      </c>
      <c r="Q32" s="36"/>
      <c r="R32" s="36">
        <f t="shared" si="49"/>
        <v>7001.098</v>
      </c>
      <c r="S32" s="36">
        <f t="shared" si="4"/>
        <v>677.060835</v>
      </c>
      <c r="T32" s="36">
        <f t="shared" si="5"/>
        <v>7678.158835</v>
      </c>
      <c r="U32" s="36">
        <f t="shared" si="6"/>
        <v>430.07238620000004</v>
      </c>
      <c r="W32" s="36">
        <f t="shared" si="50"/>
        <v>1660.997</v>
      </c>
      <c r="X32" s="36">
        <f t="shared" si="7"/>
        <v>160.6313775</v>
      </c>
      <c r="Y32" s="36">
        <f t="shared" si="8"/>
        <v>1821.6283775000002</v>
      </c>
      <c r="Z32" s="36">
        <f t="shared" si="9"/>
        <v>102.0338443</v>
      </c>
      <c r="AB32" s="36">
        <f t="shared" si="51"/>
        <v>189412.01499999998</v>
      </c>
      <c r="AC32" s="36">
        <f t="shared" si="10"/>
        <v>18317.6206125</v>
      </c>
      <c r="AD32" s="36">
        <f t="shared" si="11"/>
        <v>207729.6356125</v>
      </c>
      <c r="AE32" s="36">
        <f t="shared" si="12"/>
        <v>11635.443078499999</v>
      </c>
      <c r="AG32" s="36">
        <f t="shared" si="52"/>
        <v>477613.72099999996</v>
      </c>
      <c r="AH32" s="36">
        <f t="shared" si="13"/>
        <v>46188.9756075</v>
      </c>
      <c r="AI32" s="36">
        <f t="shared" si="14"/>
        <v>523802.69660749997</v>
      </c>
      <c r="AJ32" s="36">
        <f t="shared" si="15"/>
        <v>29339.4654199</v>
      </c>
      <c r="AK32" s="36"/>
      <c r="AL32" s="36">
        <f t="shared" si="53"/>
        <v>429.40299999999996</v>
      </c>
      <c r="AM32" s="36">
        <f t="shared" si="16"/>
        <v>41.5266225</v>
      </c>
      <c r="AN32" s="36">
        <f t="shared" si="17"/>
        <v>470.92962249999994</v>
      </c>
      <c r="AO32" s="36">
        <f t="shared" si="18"/>
        <v>26.3779157</v>
      </c>
      <c r="AQ32" s="36">
        <f t="shared" si="54"/>
        <v>29476.382</v>
      </c>
      <c r="AR32" s="36">
        <f t="shared" si="19"/>
        <v>2850.596265</v>
      </c>
      <c r="AS32" s="36">
        <f t="shared" si="20"/>
        <v>32326.978265</v>
      </c>
      <c r="AT32" s="36">
        <f t="shared" si="21"/>
        <v>1810.7128258</v>
      </c>
      <c r="AV32" s="36">
        <f t="shared" si="55"/>
        <v>256148.906</v>
      </c>
      <c r="AW32" s="36">
        <f t="shared" si="22"/>
        <v>24771.598995</v>
      </c>
      <c r="AX32" s="36">
        <f t="shared" si="23"/>
        <v>280920.50499499997</v>
      </c>
      <c r="AY32" s="36">
        <f t="shared" si="24"/>
        <v>15735.0420214</v>
      </c>
      <c r="BA32" s="36">
        <f t="shared" si="56"/>
        <v>398438.95</v>
      </c>
      <c r="BB32" s="36">
        <f t="shared" si="25"/>
        <v>38532.157125</v>
      </c>
      <c r="BC32" s="36">
        <f t="shared" si="26"/>
        <v>436971.107125</v>
      </c>
      <c r="BD32" s="36">
        <f t="shared" si="27"/>
        <v>24475.816505</v>
      </c>
      <c r="BF32" s="36">
        <f t="shared" si="57"/>
        <v>35256.337999999996</v>
      </c>
      <c r="BG32" s="36">
        <f t="shared" si="28"/>
        <v>3409.563135</v>
      </c>
      <c r="BH32" s="36">
        <f t="shared" si="29"/>
        <v>38665.90113499999</v>
      </c>
      <c r="BI32" s="36">
        <f t="shared" si="30"/>
        <v>2165.7713421999997</v>
      </c>
      <c r="BK32" s="36">
        <f t="shared" si="58"/>
        <v>16386.994000000002</v>
      </c>
      <c r="BL32" s="36">
        <f t="shared" si="31"/>
        <v>1584.7502550000002</v>
      </c>
      <c r="BM32" s="36">
        <f t="shared" si="32"/>
        <v>17971.744255</v>
      </c>
      <c r="BN32" s="36">
        <f t="shared" si="33"/>
        <v>1006.6411886000001</v>
      </c>
      <c r="BP32" s="36">
        <f t="shared" si="59"/>
        <v>11012.053000000002</v>
      </c>
      <c r="BQ32" s="36">
        <f t="shared" si="34"/>
        <v>1064.9514975000002</v>
      </c>
      <c r="BR32" s="36">
        <f t="shared" si="35"/>
        <v>12077.004497500002</v>
      </c>
      <c r="BS32" s="36">
        <f t="shared" si="36"/>
        <v>676.4624507000001</v>
      </c>
      <c r="BU32" s="36">
        <f t="shared" si="60"/>
        <v>138316.54200000002</v>
      </c>
      <c r="BV32" s="36">
        <f t="shared" si="37"/>
        <v>13376.289465</v>
      </c>
      <c r="BW32" s="5">
        <f t="shared" si="38"/>
        <v>151692.83146500002</v>
      </c>
      <c r="BX32" s="36">
        <f t="shared" si="39"/>
        <v>8496.6851298</v>
      </c>
      <c r="BZ32" s="36">
        <f t="shared" si="61"/>
        <v>746581.134</v>
      </c>
      <c r="CA32" s="36">
        <f t="shared" si="40"/>
        <v>72200.224305</v>
      </c>
      <c r="CB32" s="5">
        <f t="shared" si="41"/>
        <v>818781.358305</v>
      </c>
      <c r="CC32" s="36">
        <f t="shared" si="42"/>
        <v>45861.9390546</v>
      </c>
      <c r="CD32" s="5"/>
      <c r="CE32" s="36">
        <f t="shared" si="62"/>
        <v>3192404.007</v>
      </c>
      <c r="CF32" s="36">
        <f t="shared" si="43"/>
        <v>308730.3909525</v>
      </c>
      <c r="CG32" s="5">
        <f t="shared" si="44"/>
        <v>3501134.3979525003</v>
      </c>
      <c r="CH32" s="36">
        <f t="shared" si="45"/>
        <v>196107.0690633</v>
      </c>
      <c r="CI32" s="5"/>
      <c r="CJ32" s="5"/>
      <c r="CK32" s="36"/>
      <c r="CL32" s="36">
        <f t="shared" si="46"/>
        <v>0</v>
      </c>
      <c r="CM32" s="36">
        <f t="shared" si="47"/>
        <v>0</v>
      </c>
      <c r="CN32" s="5"/>
      <c r="CO32" s="5"/>
      <c r="CP32" s="5"/>
      <c r="CQ32" s="5"/>
      <c r="CR32" s="5"/>
      <c r="CS32" s="5"/>
      <c r="CT32" s="5"/>
      <c r="CU32" s="5"/>
      <c r="CV32" s="5"/>
      <c r="CW32" s="5"/>
    </row>
    <row r="33" spans="1:101" ht="12.75">
      <c r="A33" s="37">
        <v>11963</v>
      </c>
      <c r="D33" s="3">
        <v>668125</v>
      </c>
      <c r="E33" s="35">
        <f t="shared" si="0"/>
        <v>668125</v>
      </c>
      <c r="F33" s="35">
        <v>535049</v>
      </c>
      <c r="H33" s="36"/>
      <c r="I33" s="36">
        <v>246222</v>
      </c>
      <c r="J33" s="36">
        <f t="shared" si="1"/>
        <v>246222</v>
      </c>
      <c r="K33" s="36">
        <f>'Academic Project '!K33</f>
        <v>197179.46777399993</v>
      </c>
      <c r="M33" s="36"/>
      <c r="N33" s="35">
        <f t="shared" si="2"/>
        <v>421903.56625000003</v>
      </c>
      <c r="O33" s="36">
        <f t="shared" si="3"/>
        <v>421903.56625000003</v>
      </c>
      <c r="P33" s="35">
        <f t="shared" si="2"/>
        <v>337869.532226</v>
      </c>
      <c r="Q33" s="36"/>
      <c r="R33" s="36"/>
      <c r="S33" s="36">
        <f t="shared" si="4"/>
        <v>537.038875</v>
      </c>
      <c r="T33" s="36">
        <f t="shared" si="5"/>
        <v>537.038875</v>
      </c>
      <c r="U33" s="36">
        <f t="shared" si="6"/>
        <v>430.07238620000004</v>
      </c>
      <c r="W33" s="36"/>
      <c r="X33" s="36">
        <f t="shared" si="7"/>
        <v>127.4114375</v>
      </c>
      <c r="Y33" s="36">
        <f t="shared" si="8"/>
        <v>127.4114375</v>
      </c>
      <c r="Z33" s="36">
        <f t="shared" si="9"/>
        <v>102.0338443</v>
      </c>
      <c r="AB33" s="36"/>
      <c r="AC33" s="36">
        <f t="shared" si="10"/>
        <v>14529.3803125</v>
      </c>
      <c r="AD33" s="36">
        <f t="shared" si="11"/>
        <v>14529.3803125</v>
      </c>
      <c r="AE33" s="36">
        <f t="shared" si="12"/>
        <v>11635.443078499999</v>
      </c>
      <c r="AG33" s="36"/>
      <c r="AH33" s="36">
        <f t="shared" si="13"/>
        <v>36636.701187499995</v>
      </c>
      <c r="AI33" s="36">
        <f t="shared" si="14"/>
        <v>36636.701187499995</v>
      </c>
      <c r="AJ33" s="36">
        <f t="shared" si="15"/>
        <v>29339.4654199</v>
      </c>
      <c r="AK33" s="36"/>
      <c r="AL33" s="36"/>
      <c r="AM33" s="36">
        <f t="shared" si="16"/>
        <v>32.938562499999996</v>
      </c>
      <c r="AN33" s="36">
        <f t="shared" si="17"/>
        <v>32.938562499999996</v>
      </c>
      <c r="AO33" s="36">
        <f t="shared" si="18"/>
        <v>26.3779157</v>
      </c>
      <c r="AQ33" s="36"/>
      <c r="AR33" s="36">
        <f t="shared" si="19"/>
        <v>2261.068625</v>
      </c>
      <c r="AS33" s="36">
        <f t="shared" si="20"/>
        <v>2261.068625</v>
      </c>
      <c r="AT33" s="36">
        <f t="shared" si="21"/>
        <v>1810.7128258</v>
      </c>
      <c r="AV33" s="36"/>
      <c r="AW33" s="36">
        <f t="shared" si="22"/>
        <v>19648.620875</v>
      </c>
      <c r="AX33" s="36">
        <f t="shared" si="23"/>
        <v>19648.620875</v>
      </c>
      <c r="AY33" s="36">
        <f t="shared" si="24"/>
        <v>15735.0420214</v>
      </c>
      <c r="BA33" s="36"/>
      <c r="BB33" s="36">
        <f t="shared" si="25"/>
        <v>30563.378125</v>
      </c>
      <c r="BC33" s="36">
        <f t="shared" si="26"/>
        <v>30563.378125</v>
      </c>
      <c r="BD33" s="36">
        <f t="shared" si="27"/>
        <v>24475.816505</v>
      </c>
      <c r="BF33" s="36"/>
      <c r="BG33" s="36">
        <f t="shared" si="28"/>
        <v>2704.4363749999998</v>
      </c>
      <c r="BH33" s="36">
        <f t="shared" si="29"/>
        <v>2704.4363749999998</v>
      </c>
      <c r="BI33" s="36">
        <f t="shared" si="30"/>
        <v>2165.7713421999997</v>
      </c>
      <c r="BK33" s="36"/>
      <c r="BL33" s="36">
        <f t="shared" si="31"/>
        <v>1257.010375</v>
      </c>
      <c r="BM33" s="36">
        <f t="shared" si="32"/>
        <v>1257.010375</v>
      </c>
      <c r="BN33" s="36">
        <f t="shared" si="33"/>
        <v>1006.6411886000001</v>
      </c>
      <c r="BP33" s="36"/>
      <c r="BQ33" s="36">
        <f t="shared" si="34"/>
        <v>844.7104375</v>
      </c>
      <c r="BR33" s="36">
        <f t="shared" si="35"/>
        <v>844.7104375</v>
      </c>
      <c r="BS33" s="36">
        <f t="shared" si="36"/>
        <v>676.4624507000001</v>
      </c>
      <c r="BU33" s="36"/>
      <c r="BV33" s="36">
        <f t="shared" si="37"/>
        <v>10609.958625000001</v>
      </c>
      <c r="BW33" s="5">
        <f t="shared" si="38"/>
        <v>10609.958625000001</v>
      </c>
      <c r="BX33" s="36">
        <f t="shared" si="39"/>
        <v>8496.6851298</v>
      </c>
      <c r="BZ33" s="36"/>
      <c r="CA33" s="36">
        <f t="shared" si="40"/>
        <v>57268.601624999996</v>
      </c>
      <c r="CB33" s="5">
        <f t="shared" si="41"/>
        <v>57268.601624999996</v>
      </c>
      <c r="CC33" s="36">
        <f t="shared" si="42"/>
        <v>45861.9390546</v>
      </c>
      <c r="CD33" s="5"/>
      <c r="CE33" s="36"/>
      <c r="CF33" s="36">
        <f t="shared" si="43"/>
        <v>244882.3108125</v>
      </c>
      <c r="CG33" s="5">
        <f t="shared" si="44"/>
        <v>244882.3108125</v>
      </c>
      <c r="CH33" s="36">
        <f t="shared" si="45"/>
        <v>196107.0690633</v>
      </c>
      <c r="CI33" s="5"/>
      <c r="CJ33" s="5"/>
      <c r="CK33" s="36"/>
      <c r="CL33" s="36">
        <f t="shared" si="46"/>
        <v>0</v>
      </c>
      <c r="CM33" s="36">
        <f t="shared" si="47"/>
        <v>0</v>
      </c>
      <c r="CN33" s="5"/>
      <c r="CO33" s="5"/>
      <c r="CP33" s="5"/>
      <c r="CQ33" s="5"/>
      <c r="CR33" s="5"/>
      <c r="CS33" s="5"/>
      <c r="CT33" s="5"/>
      <c r="CU33" s="5"/>
      <c r="CV33" s="5"/>
      <c r="CW33" s="5"/>
    </row>
    <row r="34" spans="1:101" ht="12.75">
      <c r="A34" s="37">
        <v>12145</v>
      </c>
      <c r="C34" s="3">
        <v>9060000</v>
      </c>
      <c r="D34" s="3">
        <v>668125</v>
      </c>
      <c r="E34" s="35">
        <f t="shared" si="0"/>
        <v>9728125</v>
      </c>
      <c r="F34" s="35">
        <v>535049</v>
      </c>
      <c r="H34" s="36">
        <v>3338846</v>
      </c>
      <c r="I34" s="36">
        <v>246222</v>
      </c>
      <c r="J34" s="36">
        <f t="shared" si="1"/>
        <v>3585068</v>
      </c>
      <c r="K34" s="36">
        <f>'Academic Project '!K34</f>
        <v>197179.46777399993</v>
      </c>
      <c r="M34" s="36">
        <f t="shared" si="48"/>
        <v>5721154.4399999995</v>
      </c>
      <c r="N34" s="35">
        <f t="shared" si="2"/>
        <v>421903.56625000003</v>
      </c>
      <c r="O34" s="36">
        <f t="shared" si="3"/>
        <v>6143058.00625</v>
      </c>
      <c r="P34" s="35">
        <f t="shared" si="2"/>
        <v>337869.532226</v>
      </c>
      <c r="Q34" s="36"/>
      <c r="R34" s="36">
        <f t="shared" si="49"/>
        <v>7282.428</v>
      </c>
      <c r="S34" s="36">
        <f t="shared" si="4"/>
        <v>537.038875</v>
      </c>
      <c r="T34" s="36">
        <f t="shared" si="5"/>
        <v>7819.466875</v>
      </c>
      <c r="U34" s="36">
        <f t="shared" si="6"/>
        <v>430.07238620000004</v>
      </c>
      <c r="W34" s="36">
        <f t="shared" si="50"/>
        <v>1727.742</v>
      </c>
      <c r="X34" s="36">
        <f t="shared" si="7"/>
        <v>127.4114375</v>
      </c>
      <c r="Y34" s="36">
        <f t="shared" si="8"/>
        <v>1855.1534374999999</v>
      </c>
      <c r="Z34" s="36">
        <f t="shared" si="9"/>
        <v>102.0338443</v>
      </c>
      <c r="AB34" s="36">
        <f t="shared" si="51"/>
        <v>197023.28999999998</v>
      </c>
      <c r="AC34" s="36">
        <f t="shared" si="10"/>
        <v>14529.3803125</v>
      </c>
      <c r="AD34" s="36">
        <f t="shared" si="11"/>
        <v>211552.67031249998</v>
      </c>
      <c r="AE34" s="36">
        <f t="shared" si="12"/>
        <v>11635.443078499999</v>
      </c>
      <c r="AG34" s="36">
        <f t="shared" si="52"/>
        <v>496806.006</v>
      </c>
      <c r="AH34" s="36">
        <f t="shared" si="13"/>
        <v>36636.701187499995</v>
      </c>
      <c r="AI34" s="36">
        <f t="shared" si="14"/>
        <v>533442.7071875</v>
      </c>
      <c r="AJ34" s="36">
        <f t="shared" si="15"/>
        <v>29339.4654199</v>
      </c>
      <c r="AK34" s="36"/>
      <c r="AL34" s="36">
        <f t="shared" si="53"/>
        <v>446.658</v>
      </c>
      <c r="AM34" s="36">
        <f t="shared" si="16"/>
        <v>32.938562499999996</v>
      </c>
      <c r="AN34" s="36">
        <f t="shared" si="17"/>
        <v>479.5965625</v>
      </c>
      <c r="AO34" s="36">
        <f t="shared" si="18"/>
        <v>26.3779157</v>
      </c>
      <c r="AQ34" s="36">
        <f t="shared" si="54"/>
        <v>30660.852</v>
      </c>
      <c r="AR34" s="36">
        <f t="shared" si="19"/>
        <v>2261.068625</v>
      </c>
      <c r="AS34" s="36">
        <f t="shared" si="20"/>
        <v>32921.920625</v>
      </c>
      <c r="AT34" s="36">
        <f t="shared" si="21"/>
        <v>1810.7128258</v>
      </c>
      <c r="AV34" s="36">
        <f t="shared" si="55"/>
        <v>266441.916</v>
      </c>
      <c r="AW34" s="36">
        <f t="shared" si="22"/>
        <v>19648.620875</v>
      </c>
      <c r="AX34" s="36">
        <f t="shared" si="23"/>
        <v>286090.53687500005</v>
      </c>
      <c r="AY34" s="36">
        <f t="shared" si="24"/>
        <v>15735.0420214</v>
      </c>
      <c r="BA34" s="36">
        <f t="shared" si="56"/>
        <v>414449.7</v>
      </c>
      <c r="BB34" s="36">
        <f t="shared" si="25"/>
        <v>30563.378125</v>
      </c>
      <c r="BC34" s="36">
        <f t="shared" si="26"/>
        <v>445013.078125</v>
      </c>
      <c r="BD34" s="36">
        <f t="shared" si="27"/>
        <v>24475.816505</v>
      </c>
      <c r="BF34" s="36">
        <f t="shared" si="57"/>
        <v>36673.068</v>
      </c>
      <c r="BG34" s="36">
        <f t="shared" si="28"/>
        <v>2704.4363749999998</v>
      </c>
      <c r="BH34" s="36">
        <f t="shared" si="29"/>
        <v>39377.504375</v>
      </c>
      <c r="BI34" s="36">
        <f t="shared" si="30"/>
        <v>2165.7713421999997</v>
      </c>
      <c r="BK34" s="36">
        <f t="shared" si="58"/>
        <v>17045.484</v>
      </c>
      <c r="BL34" s="36">
        <f t="shared" si="31"/>
        <v>1257.010375</v>
      </c>
      <c r="BM34" s="36">
        <f t="shared" si="32"/>
        <v>18302.494375000002</v>
      </c>
      <c r="BN34" s="36">
        <f t="shared" si="33"/>
        <v>1006.6411886000001</v>
      </c>
      <c r="BP34" s="36">
        <f t="shared" si="59"/>
        <v>11454.558</v>
      </c>
      <c r="BQ34" s="36">
        <f t="shared" si="34"/>
        <v>844.7104375</v>
      </c>
      <c r="BR34" s="36">
        <f t="shared" si="35"/>
        <v>12299.2684375</v>
      </c>
      <c r="BS34" s="36">
        <f t="shared" si="36"/>
        <v>676.4624507000001</v>
      </c>
      <c r="BU34" s="36">
        <f t="shared" si="60"/>
        <v>143874.612</v>
      </c>
      <c r="BV34" s="36">
        <f t="shared" si="37"/>
        <v>10609.958625000001</v>
      </c>
      <c r="BW34" s="5">
        <f t="shared" si="38"/>
        <v>154484.570625</v>
      </c>
      <c r="BX34" s="36">
        <f t="shared" si="39"/>
        <v>8496.6851298</v>
      </c>
      <c r="BZ34" s="36">
        <f t="shared" si="61"/>
        <v>776581.524</v>
      </c>
      <c r="CA34" s="36">
        <f t="shared" si="40"/>
        <v>57268.601624999996</v>
      </c>
      <c r="CB34" s="5">
        <f t="shared" si="41"/>
        <v>833850.125625</v>
      </c>
      <c r="CC34" s="36">
        <f t="shared" si="42"/>
        <v>45861.9390546</v>
      </c>
      <c r="CD34" s="5"/>
      <c r="CE34" s="36">
        <f t="shared" si="62"/>
        <v>3320686.602</v>
      </c>
      <c r="CF34" s="36">
        <f t="shared" si="43"/>
        <v>244882.3108125</v>
      </c>
      <c r="CG34" s="5">
        <f t="shared" si="44"/>
        <v>3565568.9128125</v>
      </c>
      <c r="CH34" s="36">
        <f t="shared" si="45"/>
        <v>196107.0690633</v>
      </c>
      <c r="CI34" s="5"/>
      <c r="CJ34" s="5"/>
      <c r="CK34" s="36"/>
      <c r="CL34" s="36">
        <f t="shared" si="46"/>
        <v>0</v>
      </c>
      <c r="CM34" s="36">
        <f t="shared" si="47"/>
        <v>0</v>
      </c>
      <c r="CN34" s="5"/>
      <c r="CO34" s="5"/>
      <c r="CP34" s="5"/>
      <c r="CQ34" s="5"/>
      <c r="CR34" s="5"/>
      <c r="CS34" s="5"/>
      <c r="CT34" s="5"/>
      <c r="CU34" s="5"/>
      <c r="CV34" s="5"/>
      <c r="CW34" s="5"/>
    </row>
    <row r="35" spans="1:101" ht="12.75">
      <c r="A35" s="37">
        <v>12328</v>
      </c>
      <c r="D35" s="3">
        <v>486925</v>
      </c>
      <c r="E35" s="35">
        <f t="shared" si="0"/>
        <v>486925</v>
      </c>
      <c r="F35" s="35">
        <v>535049</v>
      </c>
      <c r="H35" s="36"/>
      <c r="I35" s="36">
        <v>179445</v>
      </c>
      <c r="J35" s="36">
        <f t="shared" si="1"/>
        <v>179445</v>
      </c>
      <c r="K35" s="36">
        <f>'Academic Project '!K35</f>
        <v>197179.46777399993</v>
      </c>
      <c r="M35" s="36"/>
      <c r="N35" s="35">
        <f t="shared" si="2"/>
        <v>307480.47745</v>
      </c>
      <c r="O35" s="36">
        <f t="shared" si="3"/>
        <v>307480.47745</v>
      </c>
      <c r="P35" s="35">
        <f t="shared" si="2"/>
        <v>337869.532226</v>
      </c>
      <c r="Q35" s="36"/>
      <c r="R35" s="36"/>
      <c r="S35" s="36">
        <f t="shared" si="4"/>
        <v>391.390315</v>
      </c>
      <c r="T35" s="36">
        <f t="shared" si="5"/>
        <v>391.390315</v>
      </c>
      <c r="U35" s="36">
        <f t="shared" si="6"/>
        <v>430.07238620000004</v>
      </c>
      <c r="W35" s="36"/>
      <c r="X35" s="36">
        <f t="shared" si="7"/>
        <v>92.8565975</v>
      </c>
      <c r="Y35" s="36">
        <f t="shared" si="8"/>
        <v>92.8565975</v>
      </c>
      <c r="Z35" s="36">
        <f t="shared" si="9"/>
        <v>102.0338443</v>
      </c>
      <c r="AB35" s="36"/>
      <c r="AC35" s="36">
        <f t="shared" si="10"/>
        <v>10588.9145125</v>
      </c>
      <c r="AD35" s="36">
        <f t="shared" si="11"/>
        <v>10588.9145125</v>
      </c>
      <c r="AE35" s="36">
        <f t="shared" si="12"/>
        <v>11635.443078499999</v>
      </c>
      <c r="AG35" s="36"/>
      <c r="AH35" s="36">
        <f t="shared" si="13"/>
        <v>26700.5810675</v>
      </c>
      <c r="AI35" s="36">
        <f t="shared" si="14"/>
        <v>26700.5810675</v>
      </c>
      <c r="AJ35" s="36">
        <f t="shared" si="15"/>
        <v>29339.4654199</v>
      </c>
      <c r="AK35" s="36"/>
      <c r="AL35" s="36"/>
      <c r="AM35" s="36">
        <f t="shared" si="16"/>
        <v>24.0054025</v>
      </c>
      <c r="AN35" s="36">
        <f t="shared" si="17"/>
        <v>24.0054025</v>
      </c>
      <c r="AO35" s="36">
        <f t="shared" si="18"/>
        <v>26.3779157</v>
      </c>
      <c r="AQ35" s="36"/>
      <c r="AR35" s="36">
        <f t="shared" si="19"/>
        <v>1647.851585</v>
      </c>
      <c r="AS35" s="36">
        <f t="shared" si="20"/>
        <v>1647.851585</v>
      </c>
      <c r="AT35" s="36">
        <f t="shared" si="21"/>
        <v>1810.7128258</v>
      </c>
      <c r="AV35" s="36"/>
      <c r="AW35" s="36">
        <f t="shared" si="22"/>
        <v>14319.782555</v>
      </c>
      <c r="AX35" s="36">
        <f t="shared" si="23"/>
        <v>14319.782555</v>
      </c>
      <c r="AY35" s="36">
        <f t="shared" si="24"/>
        <v>15735.0420214</v>
      </c>
      <c r="BA35" s="36"/>
      <c r="BB35" s="36">
        <f t="shared" si="25"/>
        <v>22274.384125</v>
      </c>
      <c r="BC35" s="36">
        <f t="shared" si="26"/>
        <v>22274.384125</v>
      </c>
      <c r="BD35" s="36">
        <f t="shared" si="27"/>
        <v>24475.816505</v>
      </c>
      <c r="BF35" s="36"/>
      <c r="BG35" s="36">
        <f t="shared" si="28"/>
        <v>1970.975015</v>
      </c>
      <c r="BH35" s="36">
        <f t="shared" si="29"/>
        <v>1970.975015</v>
      </c>
      <c r="BI35" s="36">
        <f t="shared" si="30"/>
        <v>2165.7713421999997</v>
      </c>
      <c r="BK35" s="36"/>
      <c r="BL35" s="36">
        <f t="shared" si="31"/>
        <v>916.1006950000001</v>
      </c>
      <c r="BM35" s="36">
        <f t="shared" si="32"/>
        <v>916.1006950000001</v>
      </c>
      <c r="BN35" s="36">
        <f t="shared" si="33"/>
        <v>1006.6411886000001</v>
      </c>
      <c r="BP35" s="36"/>
      <c r="BQ35" s="36">
        <f t="shared" si="34"/>
        <v>615.6192775000001</v>
      </c>
      <c r="BR35" s="36">
        <f t="shared" si="35"/>
        <v>615.6192775000001</v>
      </c>
      <c r="BS35" s="36">
        <f t="shared" si="36"/>
        <v>676.4624507000001</v>
      </c>
      <c r="BU35" s="36"/>
      <c r="BV35" s="36">
        <f t="shared" si="37"/>
        <v>7732.466385000001</v>
      </c>
      <c r="BW35" s="5">
        <f t="shared" si="38"/>
        <v>7732.466385000001</v>
      </c>
      <c r="BX35" s="36">
        <f t="shared" si="39"/>
        <v>8496.6851298</v>
      </c>
      <c r="BZ35" s="36"/>
      <c r="CA35" s="36">
        <f t="shared" si="40"/>
        <v>41736.971144999996</v>
      </c>
      <c r="CB35" s="5">
        <f t="shared" si="41"/>
        <v>41736.971144999996</v>
      </c>
      <c r="CC35" s="36">
        <f t="shared" si="42"/>
        <v>45861.9390546</v>
      </c>
      <c r="CD35" s="5"/>
      <c r="CE35" s="36"/>
      <c r="CF35" s="36">
        <f t="shared" si="43"/>
        <v>178468.5787725</v>
      </c>
      <c r="CG35" s="5">
        <f t="shared" si="44"/>
        <v>178468.5787725</v>
      </c>
      <c r="CH35" s="36">
        <f t="shared" si="45"/>
        <v>196107.0690633</v>
      </c>
      <c r="CI35" s="5"/>
      <c r="CJ35" s="5"/>
      <c r="CK35" s="36"/>
      <c r="CL35" s="36">
        <f t="shared" si="46"/>
        <v>0</v>
      </c>
      <c r="CM35" s="36">
        <f t="shared" si="47"/>
        <v>0</v>
      </c>
      <c r="CN35" s="5"/>
      <c r="CO35" s="5"/>
      <c r="CP35" s="5"/>
      <c r="CQ35" s="5"/>
      <c r="CR35" s="5"/>
      <c r="CS35" s="5"/>
      <c r="CT35" s="5"/>
      <c r="CU35" s="5"/>
      <c r="CV35" s="5"/>
      <c r="CW35" s="5"/>
    </row>
    <row r="36" spans="1:101" ht="12.75">
      <c r="A36" s="37">
        <v>12510</v>
      </c>
      <c r="C36" s="3">
        <v>9425000</v>
      </c>
      <c r="D36" s="3">
        <v>486925</v>
      </c>
      <c r="E36" s="35">
        <f t="shared" si="0"/>
        <v>9911925</v>
      </c>
      <c r="F36" s="35">
        <v>535049</v>
      </c>
      <c r="H36" s="36">
        <v>3473358</v>
      </c>
      <c r="I36" s="36">
        <v>179445</v>
      </c>
      <c r="J36" s="36">
        <f t="shared" si="1"/>
        <v>3652803</v>
      </c>
      <c r="K36" s="36">
        <f>'Academic Project '!K36</f>
        <v>197179.46777399993</v>
      </c>
      <c r="M36" s="36">
        <f t="shared" si="48"/>
        <v>5951642.45</v>
      </c>
      <c r="N36" s="35">
        <f t="shared" si="2"/>
        <v>307480.47745</v>
      </c>
      <c r="O36" s="36">
        <f t="shared" si="3"/>
        <v>6259122.92745</v>
      </c>
      <c r="P36" s="35">
        <f t="shared" si="2"/>
        <v>337869.532226</v>
      </c>
      <c r="Q36" s="36"/>
      <c r="R36" s="36">
        <f t="shared" si="49"/>
        <v>7575.8150000000005</v>
      </c>
      <c r="S36" s="36">
        <f t="shared" si="4"/>
        <v>391.390315</v>
      </c>
      <c r="T36" s="36">
        <f t="shared" si="5"/>
        <v>7967.205315</v>
      </c>
      <c r="U36" s="36">
        <f t="shared" si="6"/>
        <v>430.07238620000004</v>
      </c>
      <c r="W36" s="36">
        <f t="shared" si="50"/>
        <v>1797.3475</v>
      </c>
      <c r="X36" s="36">
        <f t="shared" si="7"/>
        <v>92.8565975</v>
      </c>
      <c r="Y36" s="36">
        <f t="shared" si="8"/>
        <v>1890.2040975</v>
      </c>
      <c r="Z36" s="36">
        <f t="shared" si="9"/>
        <v>102.0338443</v>
      </c>
      <c r="AB36" s="36">
        <f t="shared" si="51"/>
        <v>204960.76249999998</v>
      </c>
      <c r="AC36" s="36">
        <f t="shared" si="10"/>
        <v>10588.9145125</v>
      </c>
      <c r="AD36" s="36">
        <f t="shared" si="11"/>
        <v>215549.67701249997</v>
      </c>
      <c r="AE36" s="36">
        <f t="shared" si="12"/>
        <v>11635.443078499999</v>
      </c>
      <c r="AG36" s="36">
        <f t="shared" si="52"/>
        <v>516820.8175</v>
      </c>
      <c r="AH36" s="36">
        <f t="shared" si="13"/>
        <v>26700.5810675</v>
      </c>
      <c r="AI36" s="36">
        <f t="shared" si="14"/>
        <v>543521.3985675001</v>
      </c>
      <c r="AJ36" s="36">
        <f t="shared" si="15"/>
        <v>29339.4654199</v>
      </c>
      <c r="AK36" s="36"/>
      <c r="AL36" s="36">
        <f t="shared" si="53"/>
        <v>464.6525</v>
      </c>
      <c r="AM36" s="36">
        <f t="shared" si="16"/>
        <v>24.0054025</v>
      </c>
      <c r="AN36" s="36">
        <f t="shared" si="17"/>
        <v>488.6579025</v>
      </c>
      <c r="AO36" s="36">
        <f t="shared" si="18"/>
        <v>26.3779157</v>
      </c>
      <c r="AQ36" s="36">
        <f t="shared" si="54"/>
        <v>31896.085</v>
      </c>
      <c r="AR36" s="36">
        <f t="shared" si="19"/>
        <v>1647.851585</v>
      </c>
      <c r="AS36" s="36">
        <f t="shared" si="20"/>
        <v>33543.936584999996</v>
      </c>
      <c r="AT36" s="36">
        <f t="shared" si="21"/>
        <v>1810.7128258</v>
      </c>
      <c r="AV36" s="36">
        <f t="shared" si="55"/>
        <v>277176.055</v>
      </c>
      <c r="AW36" s="36">
        <f t="shared" si="22"/>
        <v>14319.782555</v>
      </c>
      <c r="AX36" s="36">
        <f t="shared" si="23"/>
        <v>291495.837555</v>
      </c>
      <c r="AY36" s="36">
        <f t="shared" si="24"/>
        <v>15735.0420214</v>
      </c>
      <c r="BA36" s="36">
        <f t="shared" si="56"/>
        <v>431146.625</v>
      </c>
      <c r="BB36" s="36">
        <f t="shared" si="25"/>
        <v>22274.384125</v>
      </c>
      <c r="BC36" s="36">
        <f t="shared" si="26"/>
        <v>453421.009125</v>
      </c>
      <c r="BD36" s="36">
        <f t="shared" si="27"/>
        <v>24475.816505</v>
      </c>
      <c r="BF36" s="36">
        <f t="shared" si="57"/>
        <v>38150.515</v>
      </c>
      <c r="BG36" s="36">
        <f t="shared" si="28"/>
        <v>1970.975015</v>
      </c>
      <c r="BH36" s="36">
        <f t="shared" si="29"/>
        <v>40121.490015</v>
      </c>
      <c r="BI36" s="36">
        <f t="shared" si="30"/>
        <v>2165.7713421999997</v>
      </c>
      <c r="BK36" s="36">
        <f t="shared" si="58"/>
        <v>17732.195</v>
      </c>
      <c r="BL36" s="36">
        <f t="shared" si="31"/>
        <v>916.1006950000001</v>
      </c>
      <c r="BM36" s="36">
        <f t="shared" si="32"/>
        <v>18648.295695</v>
      </c>
      <c r="BN36" s="36">
        <f t="shared" si="33"/>
        <v>1006.6411886000001</v>
      </c>
      <c r="BP36" s="36">
        <f t="shared" si="59"/>
        <v>11916.0275</v>
      </c>
      <c r="BQ36" s="36">
        <f t="shared" si="34"/>
        <v>615.6192775000001</v>
      </c>
      <c r="BR36" s="36">
        <f t="shared" si="35"/>
        <v>12531.6467775</v>
      </c>
      <c r="BS36" s="36">
        <f t="shared" si="36"/>
        <v>676.4624507000001</v>
      </c>
      <c r="BU36" s="36">
        <f t="shared" si="60"/>
        <v>149670.885</v>
      </c>
      <c r="BV36" s="36">
        <f t="shared" si="37"/>
        <v>7732.466385000001</v>
      </c>
      <c r="BW36" s="5">
        <f t="shared" si="38"/>
        <v>157403.35138500002</v>
      </c>
      <c r="BX36" s="36">
        <f t="shared" si="39"/>
        <v>8496.6851298</v>
      </c>
      <c r="BZ36" s="36">
        <f t="shared" si="61"/>
        <v>807867.645</v>
      </c>
      <c r="CA36" s="36">
        <f t="shared" si="40"/>
        <v>41736.971144999996</v>
      </c>
      <c r="CB36" s="5">
        <f t="shared" si="41"/>
        <v>849604.616145</v>
      </c>
      <c r="CC36" s="36">
        <f t="shared" si="42"/>
        <v>45861.9390546</v>
      </c>
      <c r="CD36" s="5"/>
      <c r="CE36" s="36">
        <f t="shared" si="62"/>
        <v>3454467.0225</v>
      </c>
      <c r="CF36" s="36">
        <f t="shared" si="43"/>
        <v>178468.5787725</v>
      </c>
      <c r="CG36" s="5">
        <f t="shared" si="44"/>
        <v>3632935.6012725</v>
      </c>
      <c r="CH36" s="36">
        <f t="shared" si="45"/>
        <v>196107.0690633</v>
      </c>
      <c r="CI36" s="5"/>
      <c r="CJ36" s="5"/>
      <c r="CK36" s="36"/>
      <c r="CL36" s="36">
        <f t="shared" si="46"/>
        <v>0</v>
      </c>
      <c r="CM36" s="36">
        <f t="shared" si="47"/>
        <v>0</v>
      </c>
      <c r="CN36" s="5"/>
      <c r="CO36" s="5"/>
      <c r="CP36" s="5"/>
      <c r="CQ36" s="5"/>
      <c r="CR36" s="5"/>
      <c r="CS36" s="5"/>
      <c r="CT36" s="5"/>
      <c r="CU36" s="5"/>
      <c r="CV36" s="5"/>
      <c r="CW36" s="5"/>
    </row>
    <row r="37" spans="1:101" ht="12.75">
      <c r="A37" s="37">
        <v>12693</v>
      </c>
      <c r="D37" s="3">
        <v>298425</v>
      </c>
      <c r="E37" s="35">
        <f t="shared" si="0"/>
        <v>298425</v>
      </c>
      <c r="F37" s="35">
        <v>535049</v>
      </c>
      <c r="H37" s="36"/>
      <c r="I37" s="36">
        <v>109977</v>
      </c>
      <c r="J37" s="36">
        <f t="shared" si="1"/>
        <v>109977</v>
      </c>
      <c r="K37" s="36">
        <f>'Academic Project '!K37</f>
        <v>197179.46777399993</v>
      </c>
      <c r="M37" s="36"/>
      <c r="N37" s="35">
        <f t="shared" si="2"/>
        <v>188447.62845000002</v>
      </c>
      <c r="O37" s="36">
        <f t="shared" si="3"/>
        <v>188447.62845000002</v>
      </c>
      <c r="P37" s="35">
        <f t="shared" si="2"/>
        <v>337869.532226</v>
      </c>
      <c r="Q37" s="36"/>
      <c r="R37" s="36"/>
      <c r="S37" s="36">
        <f t="shared" si="4"/>
        <v>239.874015</v>
      </c>
      <c r="T37" s="36">
        <f t="shared" si="5"/>
        <v>239.874015</v>
      </c>
      <c r="U37" s="36">
        <f t="shared" si="6"/>
        <v>430.07238620000004</v>
      </c>
      <c r="W37" s="36"/>
      <c r="X37" s="36">
        <f t="shared" si="7"/>
        <v>56.9096475</v>
      </c>
      <c r="Y37" s="36">
        <f t="shared" si="8"/>
        <v>56.9096475</v>
      </c>
      <c r="Z37" s="36">
        <f t="shared" si="9"/>
        <v>102.0338443</v>
      </c>
      <c r="AB37" s="36"/>
      <c r="AC37" s="36">
        <f t="shared" si="10"/>
        <v>6489.699262499999</v>
      </c>
      <c r="AD37" s="36">
        <f t="shared" si="11"/>
        <v>6489.699262499999</v>
      </c>
      <c r="AE37" s="36">
        <f t="shared" si="12"/>
        <v>11635.443078499999</v>
      </c>
      <c r="AG37" s="36"/>
      <c r="AH37" s="36">
        <f t="shared" si="13"/>
        <v>16364.1647175</v>
      </c>
      <c r="AI37" s="36">
        <f t="shared" si="14"/>
        <v>16364.1647175</v>
      </c>
      <c r="AJ37" s="36">
        <f t="shared" si="15"/>
        <v>29339.4654199</v>
      </c>
      <c r="AK37" s="36"/>
      <c r="AL37" s="36"/>
      <c r="AM37" s="36">
        <f t="shared" si="16"/>
        <v>14.7123525</v>
      </c>
      <c r="AN37" s="36">
        <f t="shared" si="17"/>
        <v>14.7123525</v>
      </c>
      <c r="AO37" s="36">
        <f t="shared" si="18"/>
        <v>26.3779157</v>
      </c>
      <c r="AQ37" s="36"/>
      <c r="AR37" s="36">
        <f t="shared" si="19"/>
        <v>1009.929885</v>
      </c>
      <c r="AS37" s="36">
        <f t="shared" si="20"/>
        <v>1009.929885</v>
      </c>
      <c r="AT37" s="36">
        <f t="shared" si="21"/>
        <v>1810.7128258</v>
      </c>
      <c r="AV37" s="36"/>
      <c r="AW37" s="36">
        <f t="shared" si="22"/>
        <v>8776.261455</v>
      </c>
      <c r="AX37" s="36">
        <f t="shared" si="23"/>
        <v>8776.261455</v>
      </c>
      <c r="AY37" s="36">
        <f t="shared" si="24"/>
        <v>15735.0420214</v>
      </c>
      <c r="BA37" s="36"/>
      <c r="BB37" s="36">
        <f t="shared" si="25"/>
        <v>13651.451625</v>
      </c>
      <c r="BC37" s="36">
        <f t="shared" si="26"/>
        <v>13651.451625</v>
      </c>
      <c r="BD37" s="36">
        <f t="shared" si="27"/>
        <v>24475.816505</v>
      </c>
      <c r="BF37" s="36"/>
      <c r="BG37" s="36">
        <f t="shared" si="28"/>
        <v>1207.9647149999998</v>
      </c>
      <c r="BH37" s="36">
        <f t="shared" si="29"/>
        <v>1207.9647149999998</v>
      </c>
      <c r="BI37" s="36">
        <f t="shared" si="30"/>
        <v>2165.7713421999997</v>
      </c>
      <c r="BK37" s="36"/>
      <c r="BL37" s="36">
        <f t="shared" si="31"/>
        <v>561.456795</v>
      </c>
      <c r="BM37" s="36">
        <f t="shared" si="32"/>
        <v>561.456795</v>
      </c>
      <c r="BN37" s="36">
        <f t="shared" si="33"/>
        <v>1006.6411886000001</v>
      </c>
      <c r="BP37" s="36"/>
      <c r="BQ37" s="36">
        <f t="shared" si="34"/>
        <v>377.29872750000004</v>
      </c>
      <c r="BR37" s="36">
        <f t="shared" si="35"/>
        <v>377.29872750000004</v>
      </c>
      <c r="BS37" s="36">
        <f t="shared" si="36"/>
        <v>676.4624507000001</v>
      </c>
      <c r="BU37" s="36"/>
      <c r="BV37" s="36">
        <f t="shared" si="37"/>
        <v>4739.048685</v>
      </c>
      <c r="BW37" s="5">
        <f t="shared" si="38"/>
        <v>4739.048685</v>
      </c>
      <c r="BX37" s="36">
        <f t="shared" si="39"/>
        <v>8496.6851298</v>
      </c>
      <c r="BZ37" s="36"/>
      <c r="CA37" s="36">
        <f t="shared" si="40"/>
        <v>25579.618244999998</v>
      </c>
      <c r="CB37" s="5">
        <f t="shared" si="41"/>
        <v>25579.618244999998</v>
      </c>
      <c r="CC37" s="36">
        <f t="shared" si="42"/>
        <v>45861.9390546</v>
      </c>
      <c r="CD37" s="5"/>
      <c r="CE37" s="36"/>
      <c r="CF37" s="36">
        <f t="shared" si="43"/>
        <v>109379.23832250001</v>
      </c>
      <c r="CG37" s="5">
        <f t="shared" si="44"/>
        <v>109379.23832250001</v>
      </c>
      <c r="CH37" s="36">
        <f t="shared" si="45"/>
        <v>196107.0690633</v>
      </c>
      <c r="CI37" s="5"/>
      <c r="CJ37" s="5"/>
      <c r="CK37" s="36"/>
      <c r="CL37" s="36">
        <f t="shared" si="46"/>
        <v>0</v>
      </c>
      <c r="CM37" s="36">
        <f t="shared" si="47"/>
        <v>0</v>
      </c>
      <c r="CN37" s="5"/>
      <c r="CO37" s="5"/>
      <c r="CP37" s="5"/>
      <c r="CQ37" s="5"/>
      <c r="CR37" s="5"/>
      <c r="CS37" s="5"/>
      <c r="CT37" s="5"/>
      <c r="CU37" s="5"/>
      <c r="CV37" s="5"/>
      <c r="CW37" s="5"/>
    </row>
    <row r="38" spans="1:101" ht="12.75">
      <c r="A38" s="37">
        <v>12875</v>
      </c>
      <c r="C38" s="3">
        <v>9800000</v>
      </c>
      <c r="D38" s="3">
        <v>298425</v>
      </c>
      <c r="E38" s="35">
        <f t="shared" si="0"/>
        <v>10098425</v>
      </c>
      <c r="F38" s="35">
        <v>535049</v>
      </c>
      <c r="H38" s="36">
        <v>3611555</v>
      </c>
      <c r="I38" s="36">
        <v>109977</v>
      </c>
      <c r="J38" s="36">
        <f t="shared" si="1"/>
        <v>3721532</v>
      </c>
      <c r="K38" s="36">
        <f>'Academic Project '!K38</f>
        <v>197179.46777399993</v>
      </c>
      <c r="M38" s="36">
        <f t="shared" si="48"/>
        <v>6188445.2</v>
      </c>
      <c r="N38" s="35">
        <f t="shared" si="2"/>
        <v>188447.62845000002</v>
      </c>
      <c r="O38" s="36">
        <f t="shared" si="3"/>
        <v>6376892.82845</v>
      </c>
      <c r="P38" s="35">
        <f t="shared" si="2"/>
        <v>337869.532226</v>
      </c>
      <c r="Q38" s="36"/>
      <c r="R38" s="36">
        <f t="shared" si="49"/>
        <v>7877.24</v>
      </c>
      <c r="S38" s="36">
        <f t="shared" si="4"/>
        <v>239.874015</v>
      </c>
      <c r="T38" s="36">
        <f t="shared" si="5"/>
        <v>8117.114015</v>
      </c>
      <c r="U38" s="36">
        <f t="shared" si="6"/>
        <v>430.07238620000004</v>
      </c>
      <c r="W38" s="36">
        <f t="shared" si="50"/>
        <v>1868.86</v>
      </c>
      <c r="X38" s="36">
        <f t="shared" si="7"/>
        <v>56.9096475</v>
      </c>
      <c r="Y38" s="36">
        <f t="shared" si="8"/>
        <v>1925.7696474999998</v>
      </c>
      <c r="Z38" s="36">
        <f t="shared" si="9"/>
        <v>102.0338443</v>
      </c>
      <c r="AB38" s="36">
        <f t="shared" si="51"/>
        <v>213115.69999999998</v>
      </c>
      <c r="AC38" s="36">
        <f t="shared" si="10"/>
        <v>6489.699262499999</v>
      </c>
      <c r="AD38" s="36">
        <f t="shared" si="11"/>
        <v>219605.3992625</v>
      </c>
      <c r="AE38" s="36">
        <f t="shared" si="12"/>
        <v>11635.443078499999</v>
      </c>
      <c r="AG38" s="36">
        <f t="shared" si="52"/>
        <v>537383.98</v>
      </c>
      <c r="AH38" s="36">
        <f t="shared" si="13"/>
        <v>16364.1647175</v>
      </c>
      <c r="AI38" s="36">
        <f t="shared" si="14"/>
        <v>553748.1447175</v>
      </c>
      <c r="AJ38" s="36">
        <f t="shared" si="15"/>
        <v>29339.4654199</v>
      </c>
      <c r="AK38" s="36"/>
      <c r="AL38" s="36">
        <f t="shared" si="53"/>
        <v>483.14</v>
      </c>
      <c r="AM38" s="36">
        <f t="shared" si="16"/>
        <v>14.7123525</v>
      </c>
      <c r="AN38" s="36">
        <f t="shared" si="17"/>
        <v>497.8523525</v>
      </c>
      <c r="AO38" s="36">
        <f t="shared" si="18"/>
        <v>26.3779157</v>
      </c>
      <c r="AQ38" s="36">
        <f t="shared" si="54"/>
        <v>33165.159999999996</v>
      </c>
      <c r="AR38" s="36">
        <f t="shared" si="19"/>
        <v>1009.929885</v>
      </c>
      <c r="AS38" s="36">
        <f t="shared" si="20"/>
        <v>34175.089884999994</v>
      </c>
      <c r="AT38" s="36">
        <f t="shared" si="21"/>
        <v>1810.7128258</v>
      </c>
      <c r="AV38" s="36">
        <f t="shared" si="55"/>
        <v>288204.28</v>
      </c>
      <c r="AW38" s="36">
        <f t="shared" si="22"/>
        <v>8776.261455</v>
      </c>
      <c r="AX38" s="36">
        <f t="shared" si="23"/>
        <v>296980.54145500006</v>
      </c>
      <c r="AY38" s="36">
        <f t="shared" si="24"/>
        <v>15735.0420214</v>
      </c>
      <c r="BA38" s="36">
        <f t="shared" si="56"/>
        <v>448301</v>
      </c>
      <c r="BB38" s="36">
        <f t="shared" si="25"/>
        <v>13651.451625</v>
      </c>
      <c r="BC38" s="36">
        <f t="shared" si="26"/>
        <v>461952.451625</v>
      </c>
      <c r="BD38" s="36">
        <f t="shared" si="27"/>
        <v>24475.816505</v>
      </c>
      <c r="BF38" s="36">
        <f t="shared" si="57"/>
        <v>39668.439999999995</v>
      </c>
      <c r="BG38" s="36">
        <f t="shared" si="28"/>
        <v>1207.9647149999998</v>
      </c>
      <c r="BH38" s="36">
        <f t="shared" si="29"/>
        <v>40876.404715</v>
      </c>
      <c r="BI38" s="36">
        <f t="shared" si="30"/>
        <v>2165.7713421999997</v>
      </c>
      <c r="BK38" s="36">
        <f t="shared" si="58"/>
        <v>18437.72</v>
      </c>
      <c r="BL38" s="36">
        <f t="shared" si="31"/>
        <v>561.456795</v>
      </c>
      <c r="BM38" s="36">
        <f t="shared" si="32"/>
        <v>18999.176795</v>
      </c>
      <c r="BN38" s="36">
        <f t="shared" si="33"/>
        <v>1006.6411886000001</v>
      </c>
      <c r="BP38" s="36">
        <f t="shared" si="59"/>
        <v>12390.140000000001</v>
      </c>
      <c r="BQ38" s="36">
        <f t="shared" si="34"/>
        <v>377.29872750000004</v>
      </c>
      <c r="BR38" s="36">
        <f t="shared" si="35"/>
        <v>12767.4387275</v>
      </c>
      <c r="BS38" s="36">
        <f t="shared" si="36"/>
        <v>676.4624507000001</v>
      </c>
      <c r="BU38" s="36">
        <f t="shared" si="60"/>
        <v>155625.96</v>
      </c>
      <c r="BV38" s="36">
        <f t="shared" si="37"/>
        <v>4739.048685</v>
      </c>
      <c r="BW38" s="5">
        <f t="shared" si="38"/>
        <v>160365.00868499998</v>
      </c>
      <c r="BX38" s="36">
        <f t="shared" si="39"/>
        <v>8496.6851298</v>
      </c>
      <c r="BZ38" s="36">
        <f t="shared" si="61"/>
        <v>840010.9199999999</v>
      </c>
      <c r="CA38" s="36">
        <f t="shared" si="40"/>
        <v>25579.618244999998</v>
      </c>
      <c r="CB38" s="5">
        <f t="shared" si="41"/>
        <v>865590.538245</v>
      </c>
      <c r="CC38" s="36">
        <f t="shared" si="42"/>
        <v>45861.9390546</v>
      </c>
      <c r="CD38" s="5"/>
      <c r="CE38" s="36">
        <f t="shared" si="62"/>
        <v>3591912.66</v>
      </c>
      <c r="CF38" s="36">
        <f t="shared" si="43"/>
        <v>109379.23832250001</v>
      </c>
      <c r="CG38" s="5">
        <f t="shared" si="44"/>
        <v>3701291.8983225003</v>
      </c>
      <c r="CH38" s="36">
        <f t="shared" si="45"/>
        <v>196107.0690633</v>
      </c>
      <c r="CI38" s="5"/>
      <c r="CJ38" s="5"/>
      <c r="CK38" s="36"/>
      <c r="CL38" s="36">
        <f t="shared" si="46"/>
        <v>0</v>
      </c>
      <c r="CM38" s="36">
        <f t="shared" si="47"/>
        <v>0</v>
      </c>
      <c r="CN38" s="5"/>
      <c r="CO38" s="5"/>
      <c r="CP38" s="5"/>
      <c r="CQ38" s="5"/>
      <c r="CR38" s="5"/>
      <c r="CS38" s="5"/>
      <c r="CT38" s="5"/>
      <c r="CU38" s="5"/>
      <c r="CV38" s="5"/>
      <c r="CW38" s="5"/>
    </row>
    <row r="39" spans="1:101" ht="12.75">
      <c r="A39" s="37">
        <v>13058</v>
      </c>
      <c r="D39" s="3">
        <v>151425</v>
      </c>
      <c r="E39" s="35">
        <f t="shared" si="0"/>
        <v>151425</v>
      </c>
      <c r="F39" s="35">
        <v>535049</v>
      </c>
      <c r="H39" s="36"/>
      <c r="I39" s="36">
        <v>55804</v>
      </c>
      <c r="J39" s="36">
        <f t="shared" si="1"/>
        <v>55804</v>
      </c>
      <c r="K39" s="36">
        <f>'Academic Project '!K39</f>
        <v>197179.46777399993</v>
      </c>
      <c r="M39" s="36"/>
      <c r="N39" s="35">
        <f t="shared" si="2"/>
        <v>95620.95045</v>
      </c>
      <c r="O39" s="36">
        <f t="shared" si="3"/>
        <v>95620.95045</v>
      </c>
      <c r="P39" s="35">
        <f t="shared" si="2"/>
        <v>337869.532226</v>
      </c>
      <c r="Q39" s="36"/>
      <c r="R39" s="36"/>
      <c r="S39" s="36">
        <f t="shared" si="4"/>
        <v>121.71541500000001</v>
      </c>
      <c r="T39" s="36">
        <f t="shared" si="5"/>
        <v>121.71541500000001</v>
      </c>
      <c r="U39" s="36">
        <f t="shared" si="6"/>
        <v>430.07238620000004</v>
      </c>
      <c r="W39" s="36"/>
      <c r="X39" s="36">
        <f t="shared" si="7"/>
        <v>28.8767475</v>
      </c>
      <c r="Y39" s="36">
        <f t="shared" si="8"/>
        <v>28.8767475</v>
      </c>
      <c r="Z39" s="36">
        <f t="shared" si="9"/>
        <v>102.0338443</v>
      </c>
      <c r="AB39" s="36"/>
      <c r="AC39" s="36">
        <f t="shared" si="10"/>
        <v>3292.9637624999996</v>
      </c>
      <c r="AD39" s="36">
        <f t="shared" si="11"/>
        <v>3292.9637624999996</v>
      </c>
      <c r="AE39" s="36">
        <f t="shared" si="12"/>
        <v>11635.443078499999</v>
      </c>
      <c r="AG39" s="36"/>
      <c r="AH39" s="36">
        <f t="shared" si="13"/>
        <v>8303.4050175</v>
      </c>
      <c r="AI39" s="36">
        <f t="shared" si="14"/>
        <v>8303.4050175</v>
      </c>
      <c r="AJ39" s="36">
        <f t="shared" si="15"/>
        <v>29339.4654199</v>
      </c>
      <c r="AK39" s="36"/>
      <c r="AL39" s="36"/>
      <c r="AM39" s="36">
        <f t="shared" si="16"/>
        <v>7.4652525</v>
      </c>
      <c r="AN39" s="36">
        <f t="shared" si="17"/>
        <v>7.4652525</v>
      </c>
      <c r="AO39" s="36">
        <f t="shared" si="18"/>
        <v>26.3779157</v>
      </c>
      <c r="AQ39" s="36"/>
      <c r="AR39" s="36">
        <f t="shared" si="19"/>
        <v>512.452485</v>
      </c>
      <c r="AS39" s="36">
        <f t="shared" si="20"/>
        <v>512.452485</v>
      </c>
      <c r="AT39" s="36">
        <f t="shared" si="21"/>
        <v>1810.7128258</v>
      </c>
      <c r="AV39" s="36"/>
      <c r="AW39" s="36">
        <f t="shared" si="22"/>
        <v>4453.197255</v>
      </c>
      <c r="AX39" s="36">
        <f t="shared" si="23"/>
        <v>4453.197255</v>
      </c>
      <c r="AY39" s="36">
        <f t="shared" si="24"/>
        <v>15735.0420214</v>
      </c>
      <c r="BA39" s="36"/>
      <c r="BB39" s="36">
        <f t="shared" si="25"/>
        <v>6926.936625</v>
      </c>
      <c r="BC39" s="36">
        <f t="shared" si="26"/>
        <v>6926.936625</v>
      </c>
      <c r="BD39" s="36">
        <f t="shared" si="27"/>
        <v>24475.816505</v>
      </c>
      <c r="BF39" s="36"/>
      <c r="BG39" s="36">
        <f t="shared" si="28"/>
        <v>612.9381149999999</v>
      </c>
      <c r="BH39" s="36">
        <f t="shared" si="29"/>
        <v>612.9381149999999</v>
      </c>
      <c r="BI39" s="36">
        <f t="shared" si="30"/>
        <v>2165.7713421999997</v>
      </c>
      <c r="BK39" s="36"/>
      <c r="BL39" s="36">
        <f t="shared" si="31"/>
        <v>284.89099500000003</v>
      </c>
      <c r="BM39" s="36">
        <f t="shared" si="32"/>
        <v>284.89099500000003</v>
      </c>
      <c r="BN39" s="36">
        <f t="shared" si="33"/>
        <v>1006.6411886000001</v>
      </c>
      <c r="BP39" s="36"/>
      <c r="BQ39" s="36">
        <f t="shared" si="34"/>
        <v>191.4466275</v>
      </c>
      <c r="BR39" s="36">
        <f t="shared" si="35"/>
        <v>191.4466275</v>
      </c>
      <c r="BS39" s="36">
        <f t="shared" si="36"/>
        <v>676.4624507000001</v>
      </c>
      <c r="BU39" s="36"/>
      <c r="BV39" s="36">
        <f t="shared" si="37"/>
        <v>2404.659285</v>
      </c>
      <c r="BW39" s="5">
        <f t="shared" si="38"/>
        <v>2404.659285</v>
      </c>
      <c r="BX39" s="36">
        <f t="shared" si="39"/>
        <v>8496.6851298</v>
      </c>
      <c r="BZ39" s="36"/>
      <c r="CA39" s="36">
        <f t="shared" si="40"/>
        <v>12979.454445</v>
      </c>
      <c r="CB39" s="5">
        <f t="shared" si="41"/>
        <v>12979.454445</v>
      </c>
      <c r="CC39" s="36">
        <f t="shared" si="42"/>
        <v>45861.9390546</v>
      </c>
      <c r="CD39" s="5"/>
      <c r="CE39" s="36"/>
      <c r="CF39" s="36">
        <f t="shared" si="43"/>
        <v>55500.548422500004</v>
      </c>
      <c r="CG39" s="5">
        <f t="shared" si="44"/>
        <v>55500.548422500004</v>
      </c>
      <c r="CH39" s="36">
        <f t="shared" si="45"/>
        <v>196107.0690633</v>
      </c>
      <c r="CI39" s="5"/>
      <c r="CJ39" s="5"/>
      <c r="CK39" s="36"/>
      <c r="CL39" s="36">
        <f t="shared" si="46"/>
        <v>0</v>
      </c>
      <c r="CM39" s="36">
        <f t="shared" si="47"/>
        <v>0</v>
      </c>
      <c r="CN39" s="5"/>
      <c r="CO39" s="5"/>
      <c r="CP39" s="5"/>
      <c r="CQ39" s="5"/>
      <c r="CR39" s="5"/>
      <c r="CS39" s="5"/>
      <c r="CT39" s="5"/>
      <c r="CU39" s="5"/>
      <c r="CV39" s="5"/>
      <c r="CW39" s="5"/>
    </row>
    <row r="40" spans="1:101" ht="12.75">
      <c r="A40" s="37">
        <v>13241</v>
      </c>
      <c r="C40" s="3">
        <v>10095000</v>
      </c>
      <c r="D40" s="3">
        <v>151425</v>
      </c>
      <c r="E40" s="35">
        <f t="shared" si="0"/>
        <v>10246425</v>
      </c>
      <c r="F40" s="35">
        <v>535049</v>
      </c>
      <c r="H40" s="36">
        <v>3720270</v>
      </c>
      <c r="I40" s="36">
        <v>55804</v>
      </c>
      <c r="J40" s="36">
        <f t="shared" si="1"/>
        <v>3776074</v>
      </c>
      <c r="K40" s="36">
        <f>'Academic Project '!K40</f>
        <v>197179.46777399993</v>
      </c>
      <c r="M40" s="36">
        <f t="shared" si="48"/>
        <v>6374730.03</v>
      </c>
      <c r="N40" s="35">
        <f t="shared" si="2"/>
        <v>95620.95045</v>
      </c>
      <c r="O40" s="36">
        <f t="shared" si="3"/>
        <v>6470350.980450001</v>
      </c>
      <c r="P40" s="35">
        <f t="shared" si="2"/>
        <v>337869.532226</v>
      </c>
      <c r="Q40" s="36"/>
      <c r="R40" s="36">
        <f t="shared" si="49"/>
        <v>8114.361</v>
      </c>
      <c r="S40" s="36">
        <f t="shared" si="4"/>
        <v>121.71541500000001</v>
      </c>
      <c r="T40" s="36">
        <f t="shared" si="5"/>
        <v>8236.076415</v>
      </c>
      <c r="U40" s="36">
        <f t="shared" si="6"/>
        <v>430.07238620000004</v>
      </c>
      <c r="W40" s="36">
        <f t="shared" si="50"/>
        <v>1925.1165</v>
      </c>
      <c r="X40" s="36">
        <f t="shared" si="7"/>
        <v>28.8767475</v>
      </c>
      <c r="Y40" s="36">
        <f t="shared" si="8"/>
        <v>1953.9932475</v>
      </c>
      <c r="Z40" s="36">
        <f t="shared" si="9"/>
        <v>102.0338443</v>
      </c>
      <c r="AB40" s="36">
        <f t="shared" si="51"/>
        <v>219530.91749999998</v>
      </c>
      <c r="AC40" s="36">
        <f t="shared" si="10"/>
        <v>3292.9637624999996</v>
      </c>
      <c r="AD40" s="36">
        <f t="shared" si="11"/>
        <v>222823.88126249998</v>
      </c>
      <c r="AE40" s="36">
        <f t="shared" si="12"/>
        <v>11635.443078499999</v>
      </c>
      <c r="AG40" s="36">
        <f t="shared" si="52"/>
        <v>553560.3345</v>
      </c>
      <c r="AH40" s="36">
        <f t="shared" si="13"/>
        <v>8303.4050175</v>
      </c>
      <c r="AI40" s="36">
        <f t="shared" si="14"/>
        <v>561863.7395175</v>
      </c>
      <c r="AJ40" s="36">
        <f t="shared" si="15"/>
        <v>29339.4654199</v>
      </c>
      <c r="AK40" s="36"/>
      <c r="AL40" s="36">
        <f t="shared" si="53"/>
        <v>497.6835</v>
      </c>
      <c r="AM40" s="36">
        <f t="shared" si="16"/>
        <v>7.4652525</v>
      </c>
      <c r="AN40" s="36">
        <f t="shared" si="17"/>
        <v>505.1487525</v>
      </c>
      <c r="AO40" s="36">
        <f t="shared" si="18"/>
        <v>26.3779157</v>
      </c>
      <c r="AQ40" s="36">
        <f t="shared" si="54"/>
        <v>34163.498999999996</v>
      </c>
      <c r="AR40" s="36">
        <f t="shared" si="19"/>
        <v>512.452485</v>
      </c>
      <c r="AS40" s="36">
        <f t="shared" si="20"/>
        <v>34675.951485</v>
      </c>
      <c r="AT40" s="36">
        <f t="shared" si="21"/>
        <v>1810.7128258</v>
      </c>
      <c r="AV40" s="36">
        <f t="shared" si="55"/>
        <v>296879.817</v>
      </c>
      <c r="AW40" s="36">
        <f t="shared" si="22"/>
        <v>4453.197255</v>
      </c>
      <c r="AX40" s="36">
        <f t="shared" si="23"/>
        <v>301333.014255</v>
      </c>
      <c r="AY40" s="36">
        <f t="shared" si="24"/>
        <v>15735.0420214</v>
      </c>
      <c r="BA40" s="36">
        <f t="shared" si="56"/>
        <v>461795.775</v>
      </c>
      <c r="BB40" s="36">
        <f t="shared" si="25"/>
        <v>6926.936625</v>
      </c>
      <c r="BC40" s="36">
        <f t="shared" si="26"/>
        <v>468722.711625</v>
      </c>
      <c r="BD40" s="36">
        <f t="shared" si="27"/>
        <v>24475.816505</v>
      </c>
      <c r="BF40" s="36">
        <f t="shared" si="57"/>
        <v>40862.541</v>
      </c>
      <c r="BG40" s="36">
        <f t="shared" si="28"/>
        <v>612.9381149999999</v>
      </c>
      <c r="BH40" s="36">
        <f t="shared" si="29"/>
        <v>41475.479114999995</v>
      </c>
      <c r="BI40" s="36">
        <f t="shared" si="30"/>
        <v>2165.7713421999997</v>
      </c>
      <c r="BK40" s="36">
        <f t="shared" si="58"/>
        <v>18992.733</v>
      </c>
      <c r="BL40" s="36">
        <f t="shared" si="31"/>
        <v>284.89099500000003</v>
      </c>
      <c r="BM40" s="36">
        <f t="shared" si="32"/>
        <v>19277.623995</v>
      </c>
      <c r="BN40" s="36">
        <f t="shared" si="33"/>
        <v>1006.6411886000001</v>
      </c>
      <c r="BP40" s="36">
        <f t="shared" si="59"/>
        <v>12763.1085</v>
      </c>
      <c r="BQ40" s="36">
        <f t="shared" si="34"/>
        <v>191.4466275</v>
      </c>
      <c r="BR40" s="36">
        <f t="shared" si="35"/>
        <v>12954.5551275</v>
      </c>
      <c r="BS40" s="36">
        <f t="shared" si="36"/>
        <v>676.4624507000001</v>
      </c>
      <c r="BU40" s="36">
        <f t="shared" si="60"/>
        <v>160310.619</v>
      </c>
      <c r="BV40" s="36">
        <f t="shared" si="37"/>
        <v>2404.659285</v>
      </c>
      <c r="BW40" s="5">
        <f t="shared" si="38"/>
        <v>162715.278285</v>
      </c>
      <c r="BX40" s="36">
        <f t="shared" si="39"/>
        <v>8496.6851298</v>
      </c>
      <c r="BZ40" s="36">
        <f t="shared" si="61"/>
        <v>865296.963</v>
      </c>
      <c r="CA40" s="36">
        <f t="shared" si="40"/>
        <v>12979.454445</v>
      </c>
      <c r="CB40" s="5">
        <f t="shared" si="41"/>
        <v>878276.417445</v>
      </c>
      <c r="CC40" s="36">
        <f t="shared" si="42"/>
        <v>45861.9390546</v>
      </c>
      <c r="CD40" s="5"/>
      <c r="CE40" s="36">
        <f t="shared" si="62"/>
        <v>3700036.5615</v>
      </c>
      <c r="CF40" s="36">
        <f t="shared" si="43"/>
        <v>55500.548422500004</v>
      </c>
      <c r="CG40" s="5">
        <f t="shared" si="44"/>
        <v>3755537.1099225</v>
      </c>
      <c r="CH40" s="36">
        <f t="shared" si="45"/>
        <v>196107.0690633</v>
      </c>
      <c r="CI40" s="5"/>
      <c r="CJ40" s="5"/>
      <c r="CK40" s="36"/>
      <c r="CL40" s="36">
        <f t="shared" si="46"/>
        <v>0</v>
      </c>
      <c r="CM40" s="36">
        <f t="shared" si="47"/>
        <v>0</v>
      </c>
      <c r="CN40" s="5"/>
      <c r="CO40" s="5"/>
      <c r="CP40" s="5"/>
      <c r="CQ40" s="5"/>
      <c r="CR40" s="5"/>
      <c r="CS40" s="5"/>
      <c r="CT40" s="5"/>
      <c r="CU40" s="5"/>
      <c r="CV40" s="5"/>
      <c r="CW40" s="5"/>
    </row>
    <row r="41" spans="2:101" ht="12.75">
      <c r="B41" s="34"/>
      <c r="C41" s="35"/>
      <c r="D41" s="35"/>
      <c r="E41" s="35"/>
      <c r="F41" s="35"/>
      <c r="H41" s="36"/>
      <c r="I41" s="36"/>
      <c r="J41" s="36"/>
      <c r="K41" s="36"/>
      <c r="M41" s="36"/>
      <c r="N41" s="35"/>
      <c r="O41" s="5"/>
      <c r="P41" s="35"/>
      <c r="Q41" s="5"/>
      <c r="R41" s="5"/>
      <c r="S41" s="5"/>
      <c r="T41" s="5"/>
      <c r="U41" s="5"/>
      <c r="W41" s="36"/>
      <c r="X41" s="36"/>
      <c r="Y41" s="5"/>
      <c r="Z41" s="5"/>
      <c r="AC41" s="36"/>
      <c r="AD41" s="36"/>
      <c r="BK41" s="36"/>
      <c r="BL41" s="36"/>
      <c r="BM41" s="5"/>
      <c r="BN41" s="5"/>
      <c r="BP41" s="36"/>
      <c r="BQ41" s="36"/>
      <c r="BR41" s="5"/>
      <c r="BS41" s="5"/>
      <c r="BU41" s="36"/>
      <c r="BV41" s="36"/>
      <c r="BW41" s="5"/>
      <c r="BX41" s="5"/>
      <c r="BZ41" s="36"/>
      <c r="CA41" s="36"/>
      <c r="CB41" s="5"/>
      <c r="CC41" s="5"/>
      <c r="CD41" s="5"/>
      <c r="CE41" s="36"/>
      <c r="CF41" s="36"/>
      <c r="CG41" s="5"/>
      <c r="CH41" s="5"/>
      <c r="CI41" s="5"/>
      <c r="CJ41" s="5"/>
      <c r="CK41" s="36"/>
      <c r="CL41" s="36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</row>
    <row r="42" spans="1:101" ht="13.5" thickBot="1">
      <c r="A42" s="39" t="s">
        <v>7</v>
      </c>
      <c r="C42" s="40">
        <f>SUM(C9:C41)</f>
        <v>121920000</v>
      </c>
      <c r="D42" s="40">
        <f>SUM(D9:D41)</f>
        <v>44424160</v>
      </c>
      <c r="E42" s="40">
        <f>SUM(E9:E41)</f>
        <v>166344160</v>
      </c>
      <c r="F42" s="40">
        <f>SUM(F9:F41)</f>
        <v>17121568</v>
      </c>
      <c r="H42" s="40">
        <f>SUM(H9:H41)</f>
        <v>44930690</v>
      </c>
      <c r="I42" s="40">
        <f>SUM(I9:I41)</f>
        <v>16371460</v>
      </c>
      <c r="J42" s="40">
        <f>SUM(J9:J41)</f>
        <v>61302150</v>
      </c>
      <c r="K42" s="40">
        <f>SUM(K9:K41)</f>
        <v>6309742.968768</v>
      </c>
      <c r="M42" s="40">
        <f>SUM(M9:M41)</f>
        <v>76989310.08</v>
      </c>
      <c r="N42" s="40">
        <f>SUM(N9:N41)</f>
        <v>28052702.011839993</v>
      </c>
      <c r="O42" s="40">
        <f>SUM(O9:O41)</f>
        <v>105042012.09184001</v>
      </c>
      <c r="P42" s="40">
        <f>SUM(P9:P41)</f>
        <v>10811825.031232</v>
      </c>
      <c r="Q42" s="35"/>
      <c r="R42" s="40">
        <f>SUM(R9:R41)</f>
        <v>97999.29600000002</v>
      </c>
      <c r="S42" s="40">
        <f>SUM(S9:S41)</f>
        <v>35708.139808</v>
      </c>
      <c r="T42" s="40">
        <f>SUM(T9:T41)</f>
        <v>133707.43580799995</v>
      </c>
      <c r="U42" s="40">
        <f>SUM(U9:U41)</f>
        <v>13762.3163584</v>
      </c>
      <c r="W42" s="40">
        <f>SUM(W9:W41)</f>
        <v>23250.144</v>
      </c>
      <c r="X42" s="40">
        <f>SUM(X9:X41)</f>
        <v>8471.687312000002</v>
      </c>
      <c r="Y42" s="40">
        <f>SUM(Y9:Y41)</f>
        <v>31721.831312000006</v>
      </c>
      <c r="Z42" s="40">
        <f>SUM(Z9:Z41)</f>
        <v>3265.0830176000013</v>
      </c>
      <c r="AB42" s="40">
        <f>SUM(AB9:AB41)</f>
        <v>2651333.28</v>
      </c>
      <c r="AC42" s="40">
        <f>SUM(AC9:AC41)</f>
        <v>966069.9954400001</v>
      </c>
      <c r="AD42" s="40">
        <f>SUM(AD9:AD41)</f>
        <v>3617403.2754399995</v>
      </c>
      <c r="AE42" s="40">
        <f>SUM(AE9:AE41)</f>
        <v>372334.1785119997</v>
      </c>
      <c r="AG42" s="40">
        <f>SUM(AG9:AG41)</f>
        <v>6685495.391999999</v>
      </c>
      <c r="AH42" s="40">
        <f>SUM(AH9:AH41)</f>
        <v>2436003.2560159992</v>
      </c>
      <c r="AI42" s="40">
        <f>SUM(AI9:AI41)</f>
        <v>9121498.648016002</v>
      </c>
      <c r="AJ42" s="40">
        <f>SUM(AJ9:AJ41)</f>
        <v>938862.8934368005</v>
      </c>
      <c r="AK42" s="35"/>
      <c r="AL42" s="40">
        <f>SUM(AL9:AL41)</f>
        <v>6010.656000000001</v>
      </c>
      <c r="AM42" s="40">
        <f>SUM(AM9:AM41)</f>
        <v>2190.1110880000006</v>
      </c>
      <c r="AN42" s="40">
        <f>SUM(AN9:AN41)</f>
        <v>8200.767088</v>
      </c>
      <c r="AO42" s="40">
        <f>SUM(AO9:AO41)</f>
        <v>844.0933024000003</v>
      </c>
      <c r="AQ42" s="40">
        <f>SUM(AQ9:AQ41)</f>
        <v>412601.664</v>
      </c>
      <c r="AR42" s="40">
        <f>SUM(AR9:AR41)</f>
        <v>150340.24227199994</v>
      </c>
      <c r="AS42" s="40">
        <f>SUM(AS9:AS41)</f>
        <v>562941.906272</v>
      </c>
      <c r="AT42" s="40">
        <f>SUM(AT9:AT41)</f>
        <v>57942.81042560002</v>
      </c>
      <c r="AV42" s="40">
        <f>SUM(AV9:AV41)</f>
        <v>3585496.512</v>
      </c>
      <c r="AW42" s="40">
        <f>SUM(AW9:AW41)</f>
        <v>1306452.3517759992</v>
      </c>
      <c r="AX42" s="40">
        <f>SUM(AX9:AX41)</f>
        <v>4891948.863776</v>
      </c>
      <c r="AY42" s="40">
        <f>SUM(AY9:AY41)</f>
        <v>503521.3446848001</v>
      </c>
      <c r="BA42" s="40">
        <f>SUM(BA9:BA41)</f>
        <v>5577230.4</v>
      </c>
      <c r="BB42" s="40">
        <f>SUM(BB9:BB41)</f>
        <v>2032183.1992000006</v>
      </c>
      <c r="BC42" s="40">
        <f>SUM(BC9:BC41)</f>
        <v>7609413.599199999</v>
      </c>
      <c r="BD42" s="40">
        <f>SUM(BD9:BD41)</f>
        <v>783226.12816</v>
      </c>
      <c r="BF42" s="40">
        <f>SUM(BF9:BF41)</f>
        <v>493507.77600000007</v>
      </c>
      <c r="BG42" s="40">
        <f>SUM(BG9:BG41)</f>
        <v>179820.11484799994</v>
      </c>
      <c r="BH42" s="40">
        <f>SUM(BH9:BH41)</f>
        <v>673327.890848</v>
      </c>
      <c r="BI42" s="40">
        <f>SUM(BI9:BI41)</f>
        <v>69304.68295040002</v>
      </c>
      <c r="BK42" s="40">
        <f>SUM(BK9:BK41)</f>
        <v>229380.28800000003</v>
      </c>
      <c r="BL42" s="40">
        <f>SUM(BL9:BL41)</f>
        <v>83579.61462400001</v>
      </c>
      <c r="BM42" s="40">
        <f>SUM(BM9:BM41)</f>
        <v>312959.9026240001</v>
      </c>
      <c r="BN42" s="40">
        <f>SUM(BN9:BN41)</f>
        <v>32212.518035199988</v>
      </c>
      <c r="BP42" s="40">
        <f>SUM(BP9:BP41)</f>
        <v>154143.456</v>
      </c>
      <c r="BQ42" s="40">
        <f>SUM(BQ9:BQ41)</f>
        <v>56165.465488</v>
      </c>
      <c r="BR42" s="40">
        <f>SUM(BR9:BR41)</f>
        <v>210308.92148799996</v>
      </c>
      <c r="BS42" s="40">
        <f>SUM(BS9:BS41)</f>
        <v>21646.798422400014</v>
      </c>
      <c r="BU42" s="40">
        <f>SUM(BU9:BU41)</f>
        <v>1936113.9839999997</v>
      </c>
      <c r="BV42" s="40">
        <f>SUM(BV9:BV41)</f>
        <v>705464.5456319997</v>
      </c>
      <c r="BW42" s="40">
        <f>SUM(BW9:BW41)</f>
        <v>2641578.529632</v>
      </c>
      <c r="BX42" s="40">
        <f>SUM(BX9:BX41)</f>
        <v>271893.92415359995</v>
      </c>
      <c r="BZ42" s="40">
        <f>SUM(BZ9:BZ41)</f>
        <v>10450421.567999998</v>
      </c>
      <c r="CA42" s="40">
        <f>SUM(CA9:CA41)</f>
        <v>3807834.644064</v>
      </c>
      <c r="CB42" s="40">
        <f>SUM(CB9:CB41)</f>
        <v>14258256.212064</v>
      </c>
      <c r="CC42" s="40">
        <f>SUM(CC9:CC41)</f>
        <v>1467582.0497471995</v>
      </c>
      <c r="CD42" s="5"/>
      <c r="CE42" s="40">
        <f>SUM(CE9:CE41)</f>
        <v>44686325.664000005</v>
      </c>
      <c r="CF42" s="40">
        <f>SUM(CF9:CF41)</f>
        <v>16282418.644272003</v>
      </c>
      <c r="CG42" s="40">
        <f>SUM(CG9:CG41)</f>
        <v>60968744.308272</v>
      </c>
      <c r="CH42" s="40">
        <f>SUM(CH9:CH41)</f>
        <v>6275426.210025601</v>
      </c>
      <c r="CI42" s="5"/>
      <c r="CJ42" s="40">
        <f>SUM(CJ9:CJ41)</f>
        <v>0</v>
      </c>
      <c r="CK42" s="40">
        <f>SUM(CK9:CK41)</f>
        <v>0</v>
      </c>
      <c r="CL42" s="40">
        <f>SUM(CL9:CL41)</f>
        <v>0</v>
      </c>
      <c r="CM42" s="40">
        <f>SUM(CM9:CM41)</f>
        <v>0</v>
      </c>
      <c r="CN42" s="5"/>
      <c r="CO42" s="5"/>
      <c r="CP42" s="5"/>
      <c r="CQ42" s="5"/>
      <c r="CR42" s="5"/>
      <c r="CS42" s="5"/>
      <c r="CT42" s="5"/>
      <c r="CU42" s="5"/>
      <c r="CV42" s="5"/>
      <c r="CW42" s="5"/>
    </row>
    <row r="43" spans="23:101" ht="13.5" thickTop="1">
      <c r="W43" s="5"/>
      <c r="X43" s="5"/>
      <c r="Y43" s="5"/>
      <c r="Z43" s="5"/>
      <c r="BK43" s="5"/>
      <c r="BL43" s="5"/>
      <c r="BM43" s="5"/>
      <c r="BN43" s="5"/>
      <c r="BP43" s="5"/>
      <c r="BQ43" s="5"/>
      <c r="BR43" s="5"/>
      <c r="BS43" s="5"/>
      <c r="BU43" s="5"/>
      <c r="BV43" s="5"/>
      <c r="BW43" s="5"/>
      <c r="BX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</row>
    <row r="44" spans="3:101" ht="12.75">
      <c r="C44" s="3">
        <f>H42+M42</f>
        <v>121920000.08</v>
      </c>
      <c r="D44" s="3">
        <f>I42+N42</f>
        <v>44424162.01183999</v>
      </c>
      <c r="E44" s="3">
        <f>C44+D44</f>
        <v>166344162.09184</v>
      </c>
      <c r="F44" s="3">
        <f>K42+P42</f>
        <v>17121568</v>
      </c>
      <c r="N44" s="5"/>
      <c r="W44" s="5"/>
      <c r="X44" s="5"/>
      <c r="Y44" s="5"/>
      <c r="Z44" s="5"/>
      <c r="BK44" s="5"/>
      <c r="BL44" s="5"/>
      <c r="BM44" s="5"/>
      <c r="BN44" s="5"/>
      <c r="BP44" s="5"/>
      <c r="BQ44" s="5"/>
      <c r="BR44" s="5"/>
      <c r="BS44" s="5"/>
      <c r="BU44" s="5"/>
      <c r="BV44" s="5"/>
      <c r="BW44" s="5"/>
      <c r="BX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</row>
    <row r="45" spans="23:101" ht="12.75">
      <c r="W45" s="5"/>
      <c r="X45" s="5"/>
      <c r="Y45" s="5"/>
      <c r="Z45" s="5"/>
      <c r="BK45" s="5"/>
      <c r="BL45" s="5"/>
      <c r="BM45" s="5"/>
      <c r="BN45" s="5"/>
      <c r="BP45" s="5"/>
      <c r="BQ45" s="5"/>
      <c r="BR45" s="5"/>
      <c r="BS45" s="5"/>
      <c r="BU45" s="5"/>
      <c r="BV45" s="5"/>
      <c r="BW45" s="5"/>
      <c r="BX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</row>
    <row r="46" spans="23:101" ht="12.75">
      <c r="W46" s="5"/>
      <c r="X46" s="5"/>
      <c r="Y46" s="5"/>
      <c r="Z46" s="5"/>
      <c r="BK46" s="5"/>
      <c r="BL46" s="5"/>
      <c r="BM46" s="5"/>
      <c r="BN46" s="5"/>
      <c r="BP46" s="5"/>
      <c r="BQ46" s="5"/>
      <c r="BR46" s="5"/>
      <c r="BS46" s="5"/>
      <c r="BU46" s="5"/>
      <c r="BV46" s="5"/>
      <c r="BW46" s="5"/>
      <c r="BX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</row>
    <row r="47" spans="23:101" ht="12.75">
      <c r="W47" s="5"/>
      <c r="X47" s="5"/>
      <c r="Y47" s="5"/>
      <c r="Z47" s="5"/>
      <c r="BK47" s="5"/>
      <c r="BL47" s="5"/>
      <c r="BM47" s="5"/>
      <c r="BN47" s="5"/>
      <c r="BP47" s="5"/>
      <c r="BQ47" s="5"/>
      <c r="BR47" s="5"/>
      <c r="BS47" s="5"/>
      <c r="BU47" s="5"/>
      <c r="BV47" s="5"/>
      <c r="BW47" s="5"/>
      <c r="BX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</row>
    <row r="48" spans="23:101" ht="12.75">
      <c r="W48" s="5"/>
      <c r="X48" s="5"/>
      <c r="Y48" s="5"/>
      <c r="Z48" s="5"/>
      <c r="BK48" s="5"/>
      <c r="BL48" s="5"/>
      <c r="BM48" s="5"/>
      <c r="BN48" s="5"/>
      <c r="BP48" s="5"/>
      <c r="BQ48" s="5"/>
      <c r="BR48" s="5"/>
      <c r="BS48" s="5"/>
      <c r="BU48" s="5"/>
      <c r="BV48" s="5"/>
      <c r="BW48" s="5"/>
      <c r="BX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</row>
    <row r="49" spans="23:101" ht="12.75">
      <c r="W49" s="5"/>
      <c r="X49" s="5"/>
      <c r="Y49" s="5"/>
      <c r="Z49" s="5"/>
      <c r="BK49" s="5"/>
      <c r="BL49" s="5"/>
      <c r="BM49" s="5"/>
      <c r="BN49" s="5"/>
      <c r="BP49" s="5"/>
      <c r="BQ49" s="5"/>
      <c r="BR49" s="5"/>
      <c r="BS49" s="5"/>
      <c r="BU49" s="5"/>
      <c r="BV49" s="5"/>
      <c r="BW49" s="5"/>
      <c r="BX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</row>
    <row r="50" spans="1:101" ht="12.75">
      <c r="A50"/>
      <c r="W50" s="5"/>
      <c r="X50" s="5"/>
      <c r="Y50" s="5"/>
      <c r="Z50" s="5"/>
      <c r="BK50" s="5"/>
      <c r="BL50" s="5"/>
      <c r="BM50" s="5"/>
      <c r="BN50" s="5"/>
      <c r="BP50" s="5"/>
      <c r="BQ50" s="5"/>
      <c r="BR50" s="5"/>
      <c r="BS50" s="5"/>
      <c r="BU50" s="5"/>
      <c r="BV50" s="5"/>
      <c r="BW50" s="5"/>
      <c r="BX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</row>
    <row r="51" spans="1:101" ht="12.75">
      <c r="A51"/>
      <c r="W51" s="5"/>
      <c r="X51" s="5"/>
      <c r="Y51" s="5"/>
      <c r="Z51" s="5"/>
      <c r="BK51" s="5"/>
      <c r="BL51" s="5"/>
      <c r="BM51" s="5"/>
      <c r="BN51" s="5"/>
      <c r="BP51" s="5"/>
      <c r="BQ51" s="5"/>
      <c r="BR51" s="5"/>
      <c r="BS51" s="5"/>
      <c r="BU51" s="5"/>
      <c r="BV51" s="5"/>
      <c r="BW51" s="5"/>
      <c r="BX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</row>
    <row r="52" spans="1:101" ht="12.75">
      <c r="A52"/>
      <c r="W52" s="5"/>
      <c r="X52" s="5"/>
      <c r="Y52" s="5"/>
      <c r="Z52" s="5"/>
      <c r="BK52" s="5"/>
      <c r="BL52" s="5"/>
      <c r="BM52" s="5"/>
      <c r="BN52" s="5"/>
      <c r="BP52" s="5"/>
      <c r="BQ52" s="5"/>
      <c r="BR52" s="5"/>
      <c r="BS52" s="5"/>
      <c r="BU52" s="5"/>
      <c r="BV52" s="5"/>
      <c r="BW52" s="5"/>
      <c r="BX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</row>
    <row r="53" spans="1:101" ht="12.75">
      <c r="A53"/>
      <c r="W53" s="5"/>
      <c r="X53" s="5"/>
      <c r="Y53" s="5"/>
      <c r="Z53" s="5"/>
      <c r="BK53" s="5"/>
      <c r="BL53" s="5"/>
      <c r="BM53" s="5"/>
      <c r="BN53" s="5"/>
      <c r="BP53" s="5"/>
      <c r="BQ53" s="5"/>
      <c r="BR53" s="5"/>
      <c r="BS53" s="5"/>
      <c r="BU53" s="5"/>
      <c r="BV53" s="5"/>
      <c r="BW53" s="5"/>
      <c r="BX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</row>
    <row r="54" spans="1:101" ht="12.75">
      <c r="A54"/>
      <c r="W54" s="5"/>
      <c r="X54" s="5"/>
      <c r="Y54" s="5"/>
      <c r="Z54" s="5"/>
      <c r="BK54" s="5"/>
      <c r="BL54" s="5"/>
      <c r="BM54" s="5"/>
      <c r="BN54" s="5"/>
      <c r="BP54" s="5"/>
      <c r="BQ54" s="5"/>
      <c r="BR54" s="5"/>
      <c r="BS54" s="5"/>
      <c r="BU54" s="5"/>
      <c r="BV54" s="5"/>
      <c r="BW54" s="5"/>
      <c r="BX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</row>
    <row r="55" spans="1:101" ht="12.75">
      <c r="A55"/>
      <c r="H55"/>
      <c r="I55"/>
      <c r="J55"/>
      <c r="K55"/>
      <c r="W55" s="5"/>
      <c r="X55" s="5"/>
      <c r="Y55" s="5"/>
      <c r="Z55" s="5"/>
      <c r="BK55" s="5"/>
      <c r="BL55" s="5"/>
      <c r="BM55" s="5"/>
      <c r="BN55" s="5"/>
      <c r="BP55" s="5"/>
      <c r="BQ55" s="5"/>
      <c r="BR55" s="5"/>
      <c r="BS55" s="5"/>
      <c r="BU55" s="5"/>
      <c r="BV55" s="5"/>
      <c r="BW55" s="5"/>
      <c r="BX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</row>
    <row r="56" spans="1:101" ht="12.75">
      <c r="A56"/>
      <c r="C56"/>
      <c r="D56"/>
      <c r="E56"/>
      <c r="F56"/>
      <c r="G56"/>
      <c r="H56"/>
      <c r="I56"/>
      <c r="J56"/>
      <c r="K56"/>
      <c r="L56"/>
      <c r="V56"/>
      <c r="W56" s="5"/>
      <c r="X56" s="5"/>
      <c r="Y56" s="5"/>
      <c r="Z56" s="5"/>
      <c r="BK56" s="5"/>
      <c r="BL56" s="5"/>
      <c r="BM56" s="5"/>
      <c r="BN56" s="5"/>
      <c r="BP56" s="5"/>
      <c r="BQ56" s="5"/>
      <c r="BR56" s="5"/>
      <c r="BS56" s="5"/>
      <c r="BU56" s="5"/>
      <c r="BV56" s="5"/>
      <c r="BW56" s="5"/>
      <c r="BX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</row>
    <row r="57" spans="1:101" ht="12.75">
      <c r="A57"/>
      <c r="C57"/>
      <c r="D57"/>
      <c r="E57"/>
      <c r="F57"/>
      <c r="G57"/>
      <c r="H57"/>
      <c r="I57"/>
      <c r="J57"/>
      <c r="K57"/>
      <c r="L57"/>
      <c r="V57"/>
      <c r="W57" s="5"/>
      <c r="X57" s="5"/>
      <c r="Y57" s="5"/>
      <c r="Z57" s="5"/>
      <c r="BK57" s="5"/>
      <c r="BL57" s="5"/>
      <c r="BM57" s="5"/>
      <c r="BN57" s="5"/>
      <c r="BP57" s="5"/>
      <c r="BQ57" s="5"/>
      <c r="BR57" s="5"/>
      <c r="BS57" s="5"/>
      <c r="BU57" s="5"/>
      <c r="BV57" s="5"/>
      <c r="BW57" s="5"/>
      <c r="BX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</row>
    <row r="58" spans="1:101" ht="12.75">
      <c r="A58"/>
      <c r="C58"/>
      <c r="D58"/>
      <c r="E58"/>
      <c r="F58"/>
      <c r="G58"/>
      <c r="H58"/>
      <c r="I58"/>
      <c r="J58"/>
      <c r="K58"/>
      <c r="L58"/>
      <c r="V58"/>
      <c r="W58" s="5"/>
      <c r="X58" s="5"/>
      <c r="Y58" s="5"/>
      <c r="Z58" s="5"/>
      <c r="BK58" s="5"/>
      <c r="BL58" s="5"/>
      <c r="BM58" s="5"/>
      <c r="BN58" s="5"/>
      <c r="BP58" s="5"/>
      <c r="BQ58" s="5"/>
      <c r="BR58" s="5"/>
      <c r="BS58" s="5"/>
      <c r="BU58" s="5"/>
      <c r="BV58" s="5"/>
      <c r="BW58" s="5"/>
      <c r="BX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</row>
    <row r="59" spans="1:101" ht="12.75">
      <c r="A59"/>
      <c r="C59"/>
      <c r="D59"/>
      <c r="E59"/>
      <c r="F59"/>
      <c r="G59"/>
      <c r="H59"/>
      <c r="I59"/>
      <c r="J59"/>
      <c r="K59"/>
      <c r="L59"/>
      <c r="V59"/>
      <c r="W59" s="5"/>
      <c r="X59" s="5"/>
      <c r="Y59" s="5"/>
      <c r="Z59" s="5"/>
      <c r="BK59" s="5"/>
      <c r="BL59" s="5"/>
      <c r="BM59" s="5"/>
      <c r="BN59" s="5"/>
      <c r="BP59" s="5"/>
      <c r="BQ59" s="5"/>
      <c r="BR59" s="5"/>
      <c r="BS59" s="5"/>
      <c r="BU59" s="5"/>
      <c r="BV59" s="5"/>
      <c r="BW59" s="5"/>
      <c r="BX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</row>
    <row r="60" spans="1:101" ht="12.75">
      <c r="A60"/>
      <c r="C60"/>
      <c r="D60"/>
      <c r="E60"/>
      <c r="F60"/>
      <c r="G60"/>
      <c r="H60"/>
      <c r="I60"/>
      <c r="J60"/>
      <c r="K60"/>
      <c r="L60"/>
      <c r="V60"/>
      <c r="W60" s="5"/>
      <c r="X60" s="5"/>
      <c r="Y60" s="5"/>
      <c r="Z60" s="5"/>
      <c r="BK60" s="5"/>
      <c r="BL60" s="5"/>
      <c r="BM60" s="5"/>
      <c r="BN60" s="5"/>
      <c r="BP60" s="5"/>
      <c r="BQ60" s="5"/>
      <c r="BR60" s="5"/>
      <c r="BS60" s="5"/>
      <c r="BU60" s="5"/>
      <c r="BV60" s="5"/>
      <c r="BW60" s="5"/>
      <c r="BX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</row>
    <row r="61" spans="1:101" ht="12.75">
      <c r="A61"/>
      <c r="C61"/>
      <c r="D61"/>
      <c r="E61"/>
      <c r="F61"/>
      <c r="G61"/>
      <c r="H61"/>
      <c r="I61"/>
      <c r="J61"/>
      <c r="K61"/>
      <c r="L61"/>
      <c r="V61"/>
      <c r="W61" s="5"/>
      <c r="X61" s="5"/>
      <c r="Y61" s="5"/>
      <c r="Z61" s="5"/>
      <c r="BK61" s="5"/>
      <c r="BL61" s="5"/>
      <c r="BM61" s="5"/>
      <c r="BN61" s="5"/>
      <c r="BP61" s="5"/>
      <c r="BQ61" s="5"/>
      <c r="BR61" s="5"/>
      <c r="BS61" s="5"/>
      <c r="BU61" s="5"/>
      <c r="BV61" s="5"/>
      <c r="BW61" s="5"/>
      <c r="BX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</row>
    <row r="62" spans="1:101" ht="12.75">
      <c r="A62"/>
      <c r="C62"/>
      <c r="D62"/>
      <c r="E62"/>
      <c r="F62"/>
      <c r="G62"/>
      <c r="H62"/>
      <c r="I62"/>
      <c r="J62"/>
      <c r="K62"/>
      <c r="L62"/>
      <c r="V62"/>
      <c r="W62" s="5"/>
      <c r="X62" s="5"/>
      <c r="Y62" s="5"/>
      <c r="Z62" s="5"/>
      <c r="BK62" s="5"/>
      <c r="BL62" s="5"/>
      <c r="BM62" s="5"/>
      <c r="BN62" s="5"/>
      <c r="BP62" s="5"/>
      <c r="BQ62" s="5"/>
      <c r="BR62" s="5"/>
      <c r="BS62" s="5"/>
      <c r="BU62" s="5"/>
      <c r="BV62" s="5"/>
      <c r="BW62" s="5"/>
      <c r="BX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</row>
    <row r="63" spans="1:101" ht="12.75">
      <c r="A63"/>
      <c r="C63"/>
      <c r="D63"/>
      <c r="E63"/>
      <c r="F63"/>
      <c r="G63"/>
      <c r="H63"/>
      <c r="I63"/>
      <c r="J63"/>
      <c r="K63"/>
      <c r="L63"/>
      <c r="V63"/>
      <c r="W63" s="5"/>
      <c r="X63" s="5"/>
      <c r="Y63" s="5"/>
      <c r="Z63" s="5"/>
      <c r="BK63" s="5"/>
      <c r="BL63" s="5"/>
      <c r="BM63" s="5"/>
      <c r="BN63" s="5"/>
      <c r="BP63" s="5"/>
      <c r="BQ63" s="5"/>
      <c r="BR63" s="5"/>
      <c r="BS63" s="5"/>
      <c r="BU63" s="5"/>
      <c r="BV63" s="5"/>
      <c r="BW63" s="5"/>
      <c r="BX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</row>
    <row r="64" spans="1:101" ht="12.75">
      <c r="A64"/>
      <c r="C64"/>
      <c r="D64"/>
      <c r="E64"/>
      <c r="F64"/>
      <c r="G64"/>
      <c r="H64"/>
      <c r="I64"/>
      <c r="J64"/>
      <c r="K64"/>
      <c r="L64"/>
      <c r="V64"/>
      <c r="W64" s="5"/>
      <c r="X64" s="5"/>
      <c r="Y64" s="5"/>
      <c r="Z64" s="5"/>
      <c r="BK64" s="5"/>
      <c r="BL64" s="5"/>
      <c r="BM64" s="5"/>
      <c r="BN64" s="5"/>
      <c r="BP64" s="5"/>
      <c r="BQ64" s="5"/>
      <c r="BR64" s="5"/>
      <c r="BS64" s="5"/>
      <c r="BU64" s="5"/>
      <c r="BV64" s="5"/>
      <c r="BW64" s="5"/>
      <c r="BX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</row>
    <row r="65" spans="1:101" ht="12.75">
      <c r="A65"/>
      <c r="C65"/>
      <c r="D65"/>
      <c r="E65"/>
      <c r="F65"/>
      <c r="G65"/>
      <c r="H65"/>
      <c r="I65"/>
      <c r="J65"/>
      <c r="K65"/>
      <c r="L65"/>
      <c r="V65"/>
      <c r="W65" s="5"/>
      <c r="X65" s="5"/>
      <c r="Y65" s="5"/>
      <c r="Z65" s="5"/>
      <c r="BK65" s="5"/>
      <c r="BL65" s="5"/>
      <c r="BM65" s="5"/>
      <c r="BN65" s="5"/>
      <c r="BP65" s="5"/>
      <c r="BQ65" s="5"/>
      <c r="BR65" s="5"/>
      <c r="BS65" s="5"/>
      <c r="BU65" s="5"/>
      <c r="BV65" s="5"/>
      <c r="BW65" s="5"/>
      <c r="BX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</row>
    <row r="66" spans="1:101" ht="12.75">
      <c r="A66"/>
      <c r="C66"/>
      <c r="D66"/>
      <c r="E66"/>
      <c r="F66"/>
      <c r="G66"/>
      <c r="H66"/>
      <c r="I66"/>
      <c r="J66"/>
      <c r="K66"/>
      <c r="L66"/>
      <c r="V66"/>
      <c r="W66" s="5"/>
      <c r="X66" s="5"/>
      <c r="Y66" s="5"/>
      <c r="Z66" s="5"/>
      <c r="BK66" s="5"/>
      <c r="BL66" s="5"/>
      <c r="BM66" s="5"/>
      <c r="BN66" s="5"/>
      <c r="BP66" s="5"/>
      <c r="BQ66" s="5"/>
      <c r="BR66" s="5"/>
      <c r="BS66" s="5"/>
      <c r="BU66" s="5"/>
      <c r="BV66" s="5"/>
      <c r="BW66" s="5"/>
      <c r="BX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</row>
    <row r="67" spans="1:101" ht="12.75">
      <c r="A67"/>
      <c r="C67"/>
      <c r="D67"/>
      <c r="E67"/>
      <c r="F67"/>
      <c r="G67"/>
      <c r="H67"/>
      <c r="I67"/>
      <c r="J67"/>
      <c r="K67"/>
      <c r="L67"/>
      <c r="V67"/>
      <c r="W67" s="5"/>
      <c r="X67" s="5"/>
      <c r="Y67" s="5"/>
      <c r="Z67" s="5"/>
      <c r="BK67" s="5"/>
      <c r="BL67" s="5"/>
      <c r="BM67" s="5"/>
      <c r="BN67" s="5"/>
      <c r="BP67" s="5"/>
      <c r="BQ67" s="5"/>
      <c r="BR67" s="5"/>
      <c r="BS67" s="5"/>
      <c r="BU67" s="5"/>
      <c r="BV67" s="5"/>
      <c r="BW67" s="5"/>
      <c r="BX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</row>
    <row r="68" spans="1:101" ht="12.75">
      <c r="A68"/>
      <c r="C68"/>
      <c r="D68"/>
      <c r="E68"/>
      <c r="F68"/>
      <c r="G68"/>
      <c r="H68"/>
      <c r="I68"/>
      <c r="J68"/>
      <c r="K68"/>
      <c r="L68"/>
      <c r="V68"/>
      <c r="W68" s="5"/>
      <c r="X68" s="5"/>
      <c r="Y68" s="5"/>
      <c r="Z68" s="5"/>
      <c r="BK68" s="5"/>
      <c r="BL68" s="5"/>
      <c r="BM68" s="5"/>
      <c r="BN68" s="5"/>
      <c r="BP68" s="5"/>
      <c r="BQ68" s="5"/>
      <c r="BR68" s="5"/>
      <c r="BS68" s="5"/>
      <c r="BU68" s="5"/>
      <c r="BV68" s="5"/>
      <c r="BW68" s="5"/>
      <c r="BX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</row>
    <row r="69" spans="1:101" ht="12.75">
      <c r="A69"/>
      <c r="C69"/>
      <c r="D69"/>
      <c r="E69"/>
      <c r="F69"/>
      <c r="G69"/>
      <c r="H69"/>
      <c r="I69"/>
      <c r="J69"/>
      <c r="K69"/>
      <c r="L69"/>
      <c r="V69"/>
      <c r="W69" s="5"/>
      <c r="X69" s="5"/>
      <c r="Y69" s="5"/>
      <c r="Z69" s="5"/>
      <c r="BK69" s="5"/>
      <c r="BL69" s="5"/>
      <c r="BM69" s="5"/>
      <c r="BN69" s="5"/>
      <c r="BP69" s="5"/>
      <c r="BQ69" s="5"/>
      <c r="BR69" s="5"/>
      <c r="BS69" s="5"/>
      <c r="BU69" s="5"/>
      <c r="BV69" s="5"/>
      <c r="BW69" s="5"/>
      <c r="BX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</row>
    <row r="70" spans="1:101" ht="12.75">
      <c r="A70"/>
      <c r="C70"/>
      <c r="D70"/>
      <c r="E70"/>
      <c r="F70"/>
      <c r="G70"/>
      <c r="H70"/>
      <c r="I70"/>
      <c r="J70"/>
      <c r="K70"/>
      <c r="L70"/>
      <c r="V70"/>
      <c r="W70" s="5"/>
      <c r="X70" s="5"/>
      <c r="Y70" s="5"/>
      <c r="Z70" s="5"/>
      <c r="BK70" s="5"/>
      <c r="BL70" s="5"/>
      <c r="BM70" s="5"/>
      <c r="BN70" s="5"/>
      <c r="BP70" s="5"/>
      <c r="BQ70" s="5"/>
      <c r="BR70" s="5"/>
      <c r="BS70" s="5"/>
      <c r="BU70" s="5"/>
      <c r="BV70" s="5"/>
      <c r="BW70" s="5"/>
      <c r="BX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</row>
    <row r="71" spans="1:101" ht="12.75">
      <c r="A71"/>
      <c r="C71"/>
      <c r="D71"/>
      <c r="E71"/>
      <c r="F71"/>
      <c r="G71"/>
      <c r="H71"/>
      <c r="I71"/>
      <c r="J71"/>
      <c r="K71"/>
      <c r="L71"/>
      <c r="V71"/>
      <c r="W71" s="5"/>
      <c r="X71" s="5"/>
      <c r="Y71" s="5"/>
      <c r="Z71" s="5"/>
      <c r="BK71" s="5"/>
      <c r="BL71" s="5"/>
      <c r="BM71" s="5"/>
      <c r="BN71" s="5"/>
      <c r="BP71" s="5"/>
      <c r="BQ71" s="5"/>
      <c r="BR71" s="5"/>
      <c r="BS71" s="5"/>
      <c r="BU71" s="5"/>
      <c r="BV71" s="5"/>
      <c r="BW71" s="5"/>
      <c r="BX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</row>
    <row r="72" spans="1:101" ht="12.75">
      <c r="A72"/>
      <c r="C72"/>
      <c r="D72"/>
      <c r="E72"/>
      <c r="F72"/>
      <c r="G72"/>
      <c r="H72"/>
      <c r="I72"/>
      <c r="J72"/>
      <c r="K72"/>
      <c r="L72"/>
      <c r="V72"/>
      <c r="W72" s="5"/>
      <c r="X72" s="5"/>
      <c r="Y72" s="5"/>
      <c r="Z72" s="5"/>
      <c r="BK72" s="5"/>
      <c r="BL72" s="5"/>
      <c r="BM72" s="5"/>
      <c r="BN72" s="5"/>
      <c r="BP72" s="5"/>
      <c r="BQ72" s="5"/>
      <c r="BR72" s="5"/>
      <c r="BS72" s="5"/>
      <c r="BU72" s="5"/>
      <c r="BV72" s="5"/>
      <c r="BW72" s="5"/>
      <c r="BX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</row>
    <row r="73" spans="1:101" ht="12.75">
      <c r="A73"/>
      <c r="C73"/>
      <c r="D73"/>
      <c r="E73"/>
      <c r="F73"/>
      <c r="G73"/>
      <c r="H73"/>
      <c r="I73"/>
      <c r="J73"/>
      <c r="K73"/>
      <c r="L73"/>
      <c r="V73"/>
      <c r="W73" s="5"/>
      <c r="X73" s="5"/>
      <c r="Y73" s="5"/>
      <c r="Z73" s="5"/>
      <c r="BK73" s="5"/>
      <c r="BL73" s="5"/>
      <c r="BM73" s="5"/>
      <c r="BN73" s="5"/>
      <c r="BP73" s="5"/>
      <c r="BQ73" s="5"/>
      <c r="BR73" s="5"/>
      <c r="BS73" s="5"/>
      <c r="BU73" s="5"/>
      <c r="BV73" s="5"/>
      <c r="BW73" s="5"/>
      <c r="BX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</row>
    <row r="74" spans="1:101" ht="12.75">
      <c r="A74"/>
      <c r="C74"/>
      <c r="D74"/>
      <c r="E74"/>
      <c r="F74"/>
      <c r="G74"/>
      <c r="H74"/>
      <c r="I74"/>
      <c r="J74"/>
      <c r="K74"/>
      <c r="L74"/>
      <c r="V74"/>
      <c r="W74" s="5"/>
      <c r="X74" s="5"/>
      <c r="Y74" s="5"/>
      <c r="Z74" s="5"/>
      <c r="BK74" s="5"/>
      <c r="BL74" s="5"/>
      <c r="BM74" s="5"/>
      <c r="BN74" s="5"/>
      <c r="BP74" s="5"/>
      <c r="BQ74" s="5"/>
      <c r="BR74" s="5"/>
      <c r="BS74" s="5"/>
      <c r="BU74" s="5"/>
      <c r="BV74" s="5"/>
      <c r="BW74" s="5"/>
      <c r="BX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</row>
    <row r="75" spans="1:101" ht="12.75">
      <c r="A75"/>
      <c r="C75"/>
      <c r="D75"/>
      <c r="E75"/>
      <c r="F75"/>
      <c r="G75"/>
      <c r="H75"/>
      <c r="I75"/>
      <c r="J75"/>
      <c r="K75"/>
      <c r="L75"/>
      <c r="V75"/>
      <c r="W75" s="5"/>
      <c r="X75" s="5"/>
      <c r="Y75" s="5"/>
      <c r="Z75" s="5"/>
      <c r="BK75" s="5"/>
      <c r="BL75" s="5"/>
      <c r="BM75" s="5"/>
      <c r="BN75" s="5"/>
      <c r="BP75" s="5"/>
      <c r="BQ75" s="5"/>
      <c r="BR75" s="5"/>
      <c r="BS75" s="5"/>
      <c r="BU75" s="5"/>
      <c r="BV75" s="5"/>
      <c r="BW75" s="5"/>
      <c r="BX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</row>
    <row r="76" spans="1:101" ht="12.75">
      <c r="A76"/>
      <c r="C76"/>
      <c r="D76"/>
      <c r="E76"/>
      <c r="F76"/>
      <c r="G76"/>
      <c r="H76"/>
      <c r="I76"/>
      <c r="J76"/>
      <c r="K76"/>
      <c r="L76"/>
      <c r="V76"/>
      <c r="W76" s="5"/>
      <c r="X76" s="5"/>
      <c r="Y76" s="5"/>
      <c r="Z76" s="5"/>
      <c r="BK76" s="5"/>
      <c r="BL76" s="5"/>
      <c r="BM76" s="5"/>
      <c r="BN76" s="5"/>
      <c r="BP76" s="5"/>
      <c r="BQ76" s="5"/>
      <c r="BR76" s="5"/>
      <c r="BS76" s="5"/>
      <c r="BU76" s="5"/>
      <c r="BV76" s="5"/>
      <c r="BW76" s="5"/>
      <c r="BX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</row>
    <row r="77" spans="3:101" ht="12.75">
      <c r="C77"/>
      <c r="D77"/>
      <c r="E77"/>
      <c r="F77"/>
      <c r="G77"/>
      <c r="H77"/>
      <c r="I77"/>
      <c r="J77"/>
      <c r="K77"/>
      <c r="L77"/>
      <c r="V77"/>
      <c r="W77" s="5"/>
      <c r="X77" s="5"/>
      <c r="Y77" s="5"/>
      <c r="Z77" s="5"/>
      <c r="BK77" s="5"/>
      <c r="BL77" s="5"/>
      <c r="BM77" s="5"/>
      <c r="BN77" s="5"/>
      <c r="BP77" s="5"/>
      <c r="BQ77" s="5"/>
      <c r="BR77" s="5"/>
      <c r="BS77" s="5"/>
      <c r="BU77" s="5"/>
      <c r="BV77" s="5"/>
      <c r="BW77" s="5"/>
      <c r="BX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</row>
    <row r="78" spans="3:101" ht="12.75">
      <c r="C78"/>
      <c r="D78"/>
      <c r="E78"/>
      <c r="F78"/>
      <c r="G78"/>
      <c r="H78"/>
      <c r="I78"/>
      <c r="J78"/>
      <c r="K78"/>
      <c r="L78"/>
      <c r="V78"/>
      <c r="W78" s="5"/>
      <c r="X78" s="5"/>
      <c r="Y78" s="5"/>
      <c r="Z78" s="5"/>
      <c r="BK78" s="5"/>
      <c r="BL78" s="5"/>
      <c r="BM78" s="5"/>
      <c r="BN78" s="5"/>
      <c r="BP78" s="5"/>
      <c r="BQ78" s="5"/>
      <c r="BR78" s="5"/>
      <c r="BS78" s="5"/>
      <c r="BU78" s="5"/>
      <c r="BV78" s="5"/>
      <c r="BW78" s="5"/>
      <c r="BX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</row>
    <row r="79" spans="3:101" ht="12.75">
      <c r="C79"/>
      <c r="D79"/>
      <c r="E79"/>
      <c r="F79"/>
      <c r="G79"/>
      <c r="H79"/>
      <c r="I79"/>
      <c r="J79"/>
      <c r="K79"/>
      <c r="L79"/>
      <c r="V79"/>
      <c r="W79" s="5"/>
      <c r="X79" s="5"/>
      <c r="Y79" s="5"/>
      <c r="Z79" s="5"/>
      <c r="BK79" s="5"/>
      <c r="BL79" s="5"/>
      <c r="BM79" s="5"/>
      <c r="BN79" s="5"/>
      <c r="BP79" s="5"/>
      <c r="BQ79" s="5"/>
      <c r="BR79" s="5"/>
      <c r="BS79" s="5"/>
      <c r="BU79" s="5"/>
      <c r="BV79" s="5"/>
      <c r="BW79" s="5"/>
      <c r="BX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</row>
    <row r="80" spans="3:101" ht="12.75">
      <c r="C80"/>
      <c r="D80"/>
      <c r="E80"/>
      <c r="F80"/>
      <c r="G80"/>
      <c r="H80"/>
      <c r="I80"/>
      <c r="J80"/>
      <c r="K80"/>
      <c r="L80"/>
      <c r="V80"/>
      <c r="W80" s="5"/>
      <c r="X80" s="5"/>
      <c r="Y80" s="5"/>
      <c r="Z80" s="5"/>
      <c r="BK80" s="5"/>
      <c r="BL80" s="5"/>
      <c r="BM80" s="5"/>
      <c r="BN80" s="5"/>
      <c r="BP80" s="5"/>
      <c r="BQ80" s="5"/>
      <c r="BR80" s="5"/>
      <c r="BS80" s="5"/>
      <c r="BU80" s="5"/>
      <c r="BV80" s="5"/>
      <c r="BW80" s="5"/>
      <c r="BX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</row>
    <row r="81" spans="3:101" ht="12.75">
      <c r="C81"/>
      <c r="D81"/>
      <c r="E81"/>
      <c r="F81"/>
      <c r="G81"/>
      <c r="H81"/>
      <c r="I81"/>
      <c r="J81"/>
      <c r="K81"/>
      <c r="L81"/>
      <c r="V81"/>
      <c r="W81" s="5"/>
      <c r="X81" s="5"/>
      <c r="Y81" s="5"/>
      <c r="Z81" s="5"/>
      <c r="BK81" s="5"/>
      <c r="BL81" s="5"/>
      <c r="BM81" s="5"/>
      <c r="BN81" s="5"/>
      <c r="BP81" s="5"/>
      <c r="BQ81" s="5"/>
      <c r="BR81" s="5"/>
      <c r="BS81" s="5"/>
      <c r="BU81" s="5"/>
      <c r="BV81" s="5"/>
      <c r="BW81" s="5"/>
      <c r="BX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</row>
    <row r="82" spans="3:101" ht="12.75">
      <c r="C82"/>
      <c r="D82"/>
      <c r="E82"/>
      <c r="F82"/>
      <c r="G82"/>
      <c r="L82"/>
      <c r="V82"/>
      <c r="W82" s="5"/>
      <c r="X82" s="5"/>
      <c r="Y82" s="5"/>
      <c r="Z82" s="5"/>
      <c r="BK82" s="5"/>
      <c r="BL82" s="5"/>
      <c r="BM82" s="5"/>
      <c r="BN82" s="5"/>
      <c r="BP82" s="5"/>
      <c r="BQ82" s="5"/>
      <c r="BR82" s="5"/>
      <c r="BS82" s="5"/>
      <c r="BU82" s="5"/>
      <c r="BV82" s="5"/>
      <c r="BW82" s="5"/>
      <c r="BX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</row>
    <row r="83" spans="23:101" ht="12.75">
      <c r="W83" s="5"/>
      <c r="X83" s="5"/>
      <c r="Y83" s="5"/>
      <c r="Z83" s="5"/>
      <c r="BK83" s="5"/>
      <c r="BL83" s="5"/>
      <c r="BM83" s="5"/>
      <c r="BN83" s="5"/>
      <c r="BP83" s="5"/>
      <c r="BQ83" s="5"/>
      <c r="BR83" s="5"/>
      <c r="BS83" s="5"/>
      <c r="BU83" s="5"/>
      <c r="BV83" s="5"/>
      <c r="BW83" s="5"/>
      <c r="BX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</row>
    <row r="84" spans="23:101" ht="12.75">
      <c r="W84" s="5"/>
      <c r="X84" s="5"/>
      <c r="Y84" s="5"/>
      <c r="Z84" s="5"/>
      <c r="BK84" s="5"/>
      <c r="BL84" s="5"/>
      <c r="BM84" s="5"/>
      <c r="BN84" s="5"/>
      <c r="BP84" s="5"/>
      <c r="BQ84" s="5"/>
      <c r="BR84" s="5"/>
      <c r="BS84" s="5"/>
      <c r="BU84" s="5"/>
      <c r="BV84" s="5"/>
      <c r="BW84" s="5"/>
      <c r="BX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</row>
    <row r="85" spans="23:101" ht="12.75">
      <c r="W85" s="5"/>
      <c r="X85" s="5"/>
      <c r="Y85" s="5"/>
      <c r="Z85" s="5"/>
      <c r="BK85" s="5"/>
      <c r="BL85" s="5"/>
      <c r="BM85" s="5"/>
      <c r="BN85" s="5"/>
      <c r="BP85" s="5"/>
      <c r="BQ85" s="5"/>
      <c r="BR85" s="5"/>
      <c r="BS85" s="5"/>
      <c r="BU85" s="5"/>
      <c r="BV85" s="5"/>
      <c r="BW85" s="5"/>
      <c r="BX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</row>
    <row r="86" spans="23:101" ht="12.75">
      <c r="W86" s="5"/>
      <c r="X86" s="5"/>
      <c r="Y86" s="5"/>
      <c r="Z86" s="5"/>
      <c r="BK86" s="5"/>
      <c r="BL86" s="5"/>
      <c r="BM86" s="5"/>
      <c r="BN86" s="5"/>
      <c r="BP86" s="5"/>
      <c r="BQ86" s="5"/>
      <c r="BR86" s="5"/>
      <c r="BS86" s="5"/>
      <c r="BU86" s="5"/>
      <c r="BV86" s="5"/>
      <c r="BW86" s="5"/>
      <c r="BX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</row>
    <row r="87" spans="23:101" ht="12.75">
      <c r="W87" s="5"/>
      <c r="X87" s="5"/>
      <c r="Y87" s="5"/>
      <c r="Z87" s="5"/>
      <c r="BK87" s="5"/>
      <c r="BL87" s="5"/>
      <c r="BM87" s="5"/>
      <c r="BN87" s="5"/>
      <c r="BP87" s="5"/>
      <c r="BQ87" s="5"/>
      <c r="BR87" s="5"/>
      <c r="BS87" s="5"/>
      <c r="BU87" s="5"/>
      <c r="BV87" s="5"/>
      <c r="BW87" s="5"/>
      <c r="BX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</row>
    <row r="88" spans="23:101" ht="12.75">
      <c r="W88" s="5"/>
      <c r="X88" s="5"/>
      <c r="Y88" s="5"/>
      <c r="Z88" s="5"/>
      <c r="BK88" s="5"/>
      <c r="BL88" s="5"/>
      <c r="BM88" s="5"/>
      <c r="BN88" s="5"/>
      <c r="BP88" s="5"/>
      <c r="BQ88" s="5"/>
      <c r="BR88" s="5"/>
      <c r="BS88" s="5"/>
      <c r="BU88" s="5"/>
      <c r="BV88" s="5"/>
      <c r="BW88" s="5"/>
      <c r="BX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</row>
    <row r="89" spans="23:101" ht="12.75">
      <c r="W89" s="5"/>
      <c r="X89" s="5"/>
      <c r="Y89" s="5"/>
      <c r="Z89" s="5"/>
      <c r="BK89" s="5"/>
      <c r="BL89" s="5"/>
      <c r="BM89" s="5"/>
      <c r="BN89" s="5"/>
      <c r="BP89" s="5"/>
      <c r="BQ89" s="5"/>
      <c r="BR89" s="5"/>
      <c r="BS89" s="5"/>
      <c r="BU89" s="5"/>
      <c r="BV89" s="5"/>
      <c r="BW89" s="5"/>
      <c r="BX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</row>
    <row r="90" spans="23:101" ht="12.75">
      <c r="W90" s="5"/>
      <c r="X90" s="5"/>
      <c r="Y90" s="5"/>
      <c r="Z90" s="5"/>
      <c r="BK90" s="5"/>
      <c r="BL90" s="5"/>
      <c r="BM90" s="5"/>
      <c r="BN90" s="5"/>
      <c r="BP90" s="5"/>
      <c r="BQ90" s="5"/>
      <c r="BR90" s="5"/>
      <c r="BS90" s="5"/>
      <c r="BU90" s="5"/>
      <c r="BV90" s="5"/>
      <c r="BW90" s="5"/>
      <c r="BX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</row>
    <row r="91" spans="23:101" ht="12.75">
      <c r="W91" s="5"/>
      <c r="X91" s="5"/>
      <c r="Y91" s="5"/>
      <c r="Z91" s="5"/>
      <c r="BK91" s="5"/>
      <c r="BL91" s="5"/>
      <c r="BM91" s="5"/>
      <c r="BN91" s="5"/>
      <c r="BP91" s="5"/>
      <c r="BQ91" s="5"/>
      <c r="BR91" s="5"/>
      <c r="BS91" s="5"/>
      <c r="BU91" s="5"/>
      <c r="BV91" s="5"/>
      <c r="BW91" s="5"/>
      <c r="BX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</row>
    <row r="92" spans="23:101" ht="12.75">
      <c r="W92" s="5"/>
      <c r="X92" s="5"/>
      <c r="Y92" s="5"/>
      <c r="Z92" s="5"/>
      <c r="BK92" s="5"/>
      <c r="BL92" s="5"/>
      <c r="BM92" s="5"/>
      <c r="BN92" s="5"/>
      <c r="BP92" s="5"/>
      <c r="BQ92" s="5"/>
      <c r="BR92" s="5"/>
      <c r="BS92" s="5"/>
      <c r="BU92" s="5"/>
      <c r="BV92" s="5"/>
      <c r="BW92" s="5"/>
      <c r="BX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</row>
    <row r="93" spans="23:101" ht="12.75">
      <c r="W93" s="5"/>
      <c r="X93" s="5"/>
      <c r="Y93" s="5"/>
      <c r="Z93" s="5"/>
      <c r="BK93" s="5"/>
      <c r="BL93" s="5"/>
      <c r="BM93" s="5"/>
      <c r="BN93" s="5"/>
      <c r="BP93" s="5"/>
      <c r="BQ93" s="5"/>
      <c r="BR93" s="5"/>
      <c r="BS93" s="5"/>
      <c r="BU93" s="5"/>
      <c r="BV93" s="5"/>
      <c r="BW93" s="5"/>
      <c r="BX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</row>
    <row r="94" spans="23:101" ht="12.75">
      <c r="W94" s="5"/>
      <c r="X94" s="5"/>
      <c r="Y94" s="5"/>
      <c r="Z94" s="5"/>
      <c r="BK94" s="5"/>
      <c r="BL94" s="5"/>
      <c r="BM94" s="5"/>
      <c r="BN94" s="5"/>
      <c r="BP94" s="5"/>
      <c r="BQ94" s="5"/>
      <c r="BR94" s="5"/>
      <c r="BS94" s="5"/>
      <c r="BU94" s="5"/>
      <c r="BV94" s="5"/>
      <c r="BW94" s="5"/>
      <c r="BX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</row>
    <row r="95" spans="23:101" ht="12.75">
      <c r="W95" s="5"/>
      <c r="X95" s="5"/>
      <c r="Y95" s="5"/>
      <c r="Z95" s="5"/>
      <c r="BK95" s="5"/>
      <c r="BL95" s="5"/>
      <c r="BM95" s="5"/>
      <c r="BN95" s="5"/>
      <c r="BP95" s="5"/>
      <c r="BQ95" s="5"/>
      <c r="BR95" s="5"/>
      <c r="BS95" s="5"/>
      <c r="BU95" s="5"/>
      <c r="BV95" s="5"/>
      <c r="BW95" s="5"/>
      <c r="BX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</row>
    <row r="96" spans="23:101" ht="12.75">
      <c r="W96" s="5"/>
      <c r="X96" s="5"/>
      <c r="Y96" s="5"/>
      <c r="Z96" s="5"/>
      <c r="BK96" s="5"/>
      <c r="BL96" s="5"/>
      <c r="BM96" s="5"/>
      <c r="BN96" s="5"/>
      <c r="BP96" s="5"/>
      <c r="BQ96" s="5"/>
      <c r="BR96" s="5"/>
      <c r="BS96" s="5"/>
      <c r="BU96" s="5"/>
      <c r="BV96" s="5"/>
      <c r="BW96" s="5"/>
      <c r="BX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</row>
    <row r="97" spans="23:101" ht="12.75">
      <c r="W97" s="5"/>
      <c r="X97" s="5"/>
      <c r="Y97" s="5"/>
      <c r="Z97" s="5"/>
      <c r="BK97" s="5"/>
      <c r="BL97" s="5"/>
      <c r="BM97" s="5"/>
      <c r="BN97" s="5"/>
      <c r="BP97" s="5"/>
      <c r="BQ97" s="5"/>
      <c r="BR97" s="5"/>
      <c r="BS97" s="5"/>
      <c r="BU97" s="5"/>
      <c r="BV97" s="5"/>
      <c r="BW97" s="5"/>
      <c r="BX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</row>
    <row r="98" spans="23:101" ht="12.75">
      <c r="W98" s="5"/>
      <c r="X98" s="5"/>
      <c r="Y98" s="5"/>
      <c r="Z98" s="5"/>
      <c r="BK98" s="5"/>
      <c r="BL98" s="5"/>
      <c r="BM98" s="5"/>
      <c r="BN98" s="5"/>
      <c r="BP98" s="5"/>
      <c r="BQ98" s="5"/>
      <c r="BR98" s="5"/>
      <c r="BS98" s="5"/>
      <c r="BU98" s="5"/>
      <c r="BV98" s="5"/>
      <c r="BW98" s="5"/>
      <c r="BX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</row>
    <row r="99" spans="23:101" ht="12.75">
      <c r="W99" s="5"/>
      <c r="X99" s="5"/>
      <c r="Y99" s="5"/>
      <c r="Z99" s="5"/>
      <c r="BK99" s="5"/>
      <c r="BL99" s="5"/>
      <c r="BM99" s="5"/>
      <c r="BN99" s="5"/>
      <c r="BP99" s="5"/>
      <c r="BQ99" s="5"/>
      <c r="BR99" s="5"/>
      <c r="BS99" s="5"/>
      <c r="BU99" s="5"/>
      <c r="BV99" s="5"/>
      <c r="BW99" s="5"/>
      <c r="BX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</row>
    <row r="100" spans="23:101" ht="12.75">
      <c r="W100" s="5"/>
      <c r="X100" s="5"/>
      <c r="Y100" s="5"/>
      <c r="Z100" s="5"/>
      <c r="BK100" s="5"/>
      <c r="BL100" s="5"/>
      <c r="BM100" s="5"/>
      <c r="BN100" s="5"/>
      <c r="BP100" s="5"/>
      <c r="BQ100" s="5"/>
      <c r="BR100" s="5"/>
      <c r="BS100" s="5"/>
      <c r="BU100" s="5"/>
      <c r="BV100" s="5"/>
      <c r="BW100" s="5"/>
      <c r="BX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</row>
    <row r="101" spans="23:101" ht="12.75">
      <c r="W101" s="5"/>
      <c r="X101" s="5"/>
      <c r="Y101" s="5"/>
      <c r="Z101" s="5"/>
      <c r="BK101" s="5"/>
      <c r="BL101" s="5"/>
      <c r="BM101" s="5"/>
      <c r="BN101" s="5"/>
      <c r="BP101" s="5"/>
      <c r="BQ101" s="5"/>
      <c r="BR101" s="5"/>
      <c r="BS101" s="5"/>
      <c r="BU101" s="5"/>
      <c r="BV101" s="5"/>
      <c r="BW101" s="5"/>
      <c r="BX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</row>
    <row r="102" spans="23:101" ht="12.75">
      <c r="W102" s="5"/>
      <c r="X102" s="5"/>
      <c r="Y102" s="5"/>
      <c r="Z102" s="5"/>
      <c r="BK102" s="5"/>
      <c r="BL102" s="5"/>
      <c r="BM102" s="5"/>
      <c r="BN102" s="5"/>
      <c r="BP102" s="5"/>
      <c r="BQ102" s="5"/>
      <c r="BR102" s="5"/>
      <c r="BS102" s="5"/>
      <c r="BU102" s="5"/>
      <c r="BV102" s="5"/>
      <c r="BW102" s="5"/>
      <c r="BX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</row>
    <row r="103" spans="23:101" ht="12.75">
      <c r="W103" s="5"/>
      <c r="X103" s="5"/>
      <c r="Y103" s="5"/>
      <c r="Z103" s="5"/>
      <c r="BK103" s="5"/>
      <c r="BL103" s="5"/>
      <c r="BM103" s="5"/>
      <c r="BN103" s="5"/>
      <c r="BP103" s="5"/>
      <c r="BQ103" s="5"/>
      <c r="BR103" s="5"/>
      <c r="BS103" s="5"/>
      <c r="BU103" s="5"/>
      <c r="BV103" s="5"/>
      <c r="BW103" s="5"/>
      <c r="BX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</row>
    <row r="104" spans="23:101" ht="12.75">
      <c r="W104" s="5"/>
      <c r="X104" s="5"/>
      <c r="Y104" s="5"/>
      <c r="Z104" s="5"/>
      <c r="BK104" s="5"/>
      <c r="BL104" s="5"/>
      <c r="BM104" s="5"/>
      <c r="BN104" s="5"/>
      <c r="BP104" s="5"/>
      <c r="BQ104" s="5"/>
      <c r="BR104" s="5"/>
      <c r="BS104" s="5"/>
      <c r="BU104" s="5"/>
      <c r="BV104" s="5"/>
      <c r="BW104" s="5"/>
      <c r="BX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</row>
    <row r="105" spans="23:101" ht="12.75">
      <c r="W105" s="5"/>
      <c r="X105" s="5"/>
      <c r="Y105" s="5"/>
      <c r="Z105" s="5"/>
      <c r="BK105" s="5"/>
      <c r="BL105" s="5"/>
      <c r="BM105" s="5"/>
      <c r="BN105" s="5"/>
      <c r="BP105" s="5"/>
      <c r="BQ105" s="5"/>
      <c r="BR105" s="5"/>
      <c r="BS105" s="5"/>
      <c r="BU105" s="5"/>
      <c r="BV105" s="5"/>
      <c r="BW105" s="5"/>
      <c r="BX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</row>
    <row r="106" spans="23:101" ht="12.75">
      <c r="W106" s="5"/>
      <c r="X106" s="5"/>
      <c r="Y106" s="5"/>
      <c r="Z106" s="5"/>
      <c r="BK106" s="5"/>
      <c r="BL106" s="5"/>
      <c r="BM106" s="5"/>
      <c r="BN106" s="5"/>
      <c r="BP106" s="5"/>
      <c r="BQ106" s="5"/>
      <c r="BR106" s="5"/>
      <c r="BS106" s="5"/>
      <c r="BU106" s="5"/>
      <c r="BV106" s="5"/>
      <c r="BW106" s="5"/>
      <c r="BX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</row>
    <row r="107" spans="23:101" ht="12.75">
      <c r="W107" s="5"/>
      <c r="X107" s="5"/>
      <c r="Y107" s="5"/>
      <c r="Z107" s="5"/>
      <c r="BK107" s="5"/>
      <c r="BL107" s="5"/>
      <c r="BM107" s="5"/>
      <c r="BN107" s="5"/>
      <c r="BP107" s="5"/>
      <c r="BQ107" s="5"/>
      <c r="BR107" s="5"/>
      <c r="BS107" s="5"/>
      <c r="BU107" s="5"/>
      <c r="BV107" s="5"/>
      <c r="BW107" s="5"/>
      <c r="BX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</row>
    <row r="108" spans="23:101" ht="12.75">
      <c r="W108" s="5"/>
      <c r="X108" s="5"/>
      <c r="Y108" s="5"/>
      <c r="Z108" s="5"/>
      <c r="BK108" s="5"/>
      <c r="BL108" s="5"/>
      <c r="BM108" s="5"/>
      <c r="BN108" s="5"/>
      <c r="BP108" s="5"/>
      <c r="BQ108" s="5"/>
      <c r="BR108" s="5"/>
      <c r="BS108" s="5"/>
      <c r="BU108" s="5"/>
      <c r="BV108" s="5"/>
      <c r="BW108" s="5"/>
      <c r="BX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</row>
    <row r="109" spans="23:101" ht="12.75">
      <c r="W109" s="5"/>
      <c r="X109" s="5"/>
      <c r="Y109" s="5"/>
      <c r="Z109" s="5"/>
      <c r="BK109" s="5"/>
      <c r="BL109" s="5"/>
      <c r="BM109" s="5"/>
      <c r="BN109" s="5"/>
      <c r="BP109" s="5"/>
      <c r="BQ109" s="5"/>
      <c r="BR109" s="5"/>
      <c r="BS109" s="5"/>
      <c r="BU109" s="5"/>
      <c r="BV109" s="5"/>
      <c r="BW109" s="5"/>
      <c r="BX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</row>
    <row r="110" spans="23:101" ht="12.75">
      <c r="W110" s="5"/>
      <c r="X110" s="5"/>
      <c r="Y110" s="5"/>
      <c r="Z110" s="5"/>
      <c r="BK110" s="5"/>
      <c r="BL110" s="5"/>
      <c r="BM110" s="5"/>
      <c r="BN110" s="5"/>
      <c r="BP110" s="5"/>
      <c r="BQ110" s="5"/>
      <c r="BR110" s="5"/>
      <c r="BS110" s="5"/>
      <c r="BU110" s="5"/>
      <c r="BV110" s="5"/>
      <c r="BW110" s="5"/>
      <c r="BX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</row>
    <row r="111" spans="23:101" ht="12.75">
      <c r="W111" s="5"/>
      <c r="X111" s="5"/>
      <c r="Y111" s="5"/>
      <c r="Z111" s="5"/>
      <c r="BK111" s="5"/>
      <c r="BL111" s="5"/>
      <c r="BM111" s="5"/>
      <c r="BN111" s="5"/>
      <c r="BP111" s="5"/>
      <c r="BQ111" s="5"/>
      <c r="BR111" s="5"/>
      <c r="BS111" s="5"/>
      <c r="BU111" s="5"/>
      <c r="BV111" s="5"/>
      <c r="BW111" s="5"/>
      <c r="BX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</row>
    <row r="112" spans="23:101" ht="12.75">
      <c r="W112" s="5"/>
      <c r="X112" s="5"/>
      <c r="Y112" s="5"/>
      <c r="Z112" s="5"/>
      <c r="BK112" s="5"/>
      <c r="BL112" s="5"/>
      <c r="BM112" s="5"/>
      <c r="BN112" s="5"/>
      <c r="BP112" s="5"/>
      <c r="BQ112" s="5"/>
      <c r="BR112" s="5"/>
      <c r="BS112" s="5"/>
      <c r="BU112" s="5"/>
      <c r="BV112" s="5"/>
      <c r="BW112" s="5"/>
      <c r="BX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</row>
    <row r="113" spans="23:101" ht="12.75">
      <c r="W113" s="5"/>
      <c r="X113" s="5"/>
      <c r="Y113" s="5"/>
      <c r="Z113" s="5"/>
      <c r="BK113" s="5"/>
      <c r="BL113" s="5"/>
      <c r="BM113" s="5"/>
      <c r="BN113" s="5"/>
      <c r="BP113" s="5"/>
      <c r="BQ113" s="5"/>
      <c r="BR113" s="5"/>
      <c r="BS113" s="5"/>
      <c r="BU113" s="5"/>
      <c r="BV113" s="5"/>
      <c r="BW113" s="5"/>
      <c r="BX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</row>
    <row r="114" spans="23:101" ht="12.75">
      <c r="W114" s="5"/>
      <c r="X114" s="5"/>
      <c r="Y114" s="5"/>
      <c r="Z114" s="5"/>
      <c r="BK114" s="5"/>
      <c r="BL114" s="5"/>
      <c r="BM114" s="5"/>
      <c r="BN114" s="5"/>
      <c r="BP114" s="5"/>
      <c r="BQ114" s="5"/>
      <c r="BR114" s="5"/>
      <c r="BS114" s="5"/>
      <c r="BU114" s="5"/>
      <c r="BV114" s="5"/>
      <c r="BW114" s="5"/>
      <c r="BX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</row>
    <row r="115" spans="23:101" ht="12.75">
      <c r="W115" s="5"/>
      <c r="X115" s="5"/>
      <c r="Y115" s="5"/>
      <c r="Z115" s="5"/>
      <c r="BK115" s="5"/>
      <c r="BL115" s="5"/>
      <c r="BM115" s="5"/>
      <c r="BN115" s="5"/>
      <c r="BP115" s="5"/>
      <c r="BQ115" s="5"/>
      <c r="BR115" s="5"/>
      <c r="BS115" s="5"/>
      <c r="BU115" s="5"/>
      <c r="BV115" s="5"/>
      <c r="BW115" s="5"/>
      <c r="BX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</row>
    <row r="116" spans="23:101" ht="12.75">
      <c r="W116" s="5"/>
      <c r="X116" s="5"/>
      <c r="Y116" s="5"/>
      <c r="Z116" s="5"/>
      <c r="BK116" s="5"/>
      <c r="BL116" s="5"/>
      <c r="BM116" s="5"/>
      <c r="BN116" s="5"/>
      <c r="BP116" s="5"/>
      <c r="BQ116" s="5"/>
      <c r="BR116" s="5"/>
      <c r="BS116" s="5"/>
      <c r="BU116" s="5"/>
      <c r="BV116" s="5"/>
      <c r="BW116" s="5"/>
      <c r="BX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</row>
    <row r="117" spans="23:101" ht="12.75">
      <c r="W117" s="5"/>
      <c r="X117" s="5"/>
      <c r="Y117" s="5"/>
      <c r="Z117" s="5"/>
      <c r="BK117" s="5"/>
      <c r="BL117" s="5"/>
      <c r="BM117" s="5"/>
      <c r="BN117" s="5"/>
      <c r="BP117" s="5"/>
      <c r="BQ117" s="5"/>
      <c r="BR117" s="5"/>
      <c r="BS117" s="5"/>
      <c r="BU117" s="5"/>
      <c r="BV117" s="5"/>
      <c r="BW117" s="5"/>
      <c r="BX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</row>
    <row r="118" spans="23:101" ht="12.75">
      <c r="W118" s="5"/>
      <c r="X118" s="5"/>
      <c r="Y118" s="5"/>
      <c r="Z118" s="5"/>
      <c r="BK118" s="5"/>
      <c r="BL118" s="5"/>
      <c r="BM118" s="5"/>
      <c r="BN118" s="5"/>
      <c r="BP118" s="5"/>
      <c r="BQ118" s="5"/>
      <c r="BR118" s="5"/>
      <c r="BS118" s="5"/>
      <c r="BU118" s="5"/>
      <c r="BV118" s="5"/>
      <c r="BW118" s="5"/>
      <c r="BX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</row>
    <row r="119" spans="23:101" ht="12.75">
      <c r="W119" s="5"/>
      <c r="X119" s="5"/>
      <c r="Y119" s="5"/>
      <c r="Z119" s="5"/>
      <c r="BK119" s="5"/>
      <c r="BL119" s="5"/>
      <c r="BM119" s="5"/>
      <c r="BN119" s="5"/>
      <c r="BP119" s="5"/>
      <c r="BQ119" s="5"/>
      <c r="BR119" s="5"/>
      <c r="BS119" s="5"/>
      <c r="BU119" s="5"/>
      <c r="BV119" s="5"/>
      <c r="BW119" s="5"/>
      <c r="BX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</row>
    <row r="120" spans="23:101" ht="12.75">
      <c r="W120" s="5"/>
      <c r="X120" s="5"/>
      <c r="Y120" s="5"/>
      <c r="Z120" s="5"/>
      <c r="BK120" s="5"/>
      <c r="BL120" s="5"/>
      <c r="BM120" s="5"/>
      <c r="BN120" s="5"/>
      <c r="BP120" s="5"/>
      <c r="BQ120" s="5"/>
      <c r="BR120" s="5"/>
      <c r="BS120" s="5"/>
      <c r="BU120" s="5"/>
      <c r="BV120" s="5"/>
      <c r="BW120" s="5"/>
      <c r="BX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</row>
    <row r="121" spans="23:101" ht="12.75">
      <c r="W121" s="5"/>
      <c r="X121" s="5"/>
      <c r="Y121" s="5"/>
      <c r="Z121" s="5"/>
      <c r="BK121" s="5"/>
      <c r="BL121" s="5"/>
      <c r="BM121" s="5"/>
      <c r="BN121" s="5"/>
      <c r="BP121" s="5"/>
      <c r="BQ121" s="5"/>
      <c r="BR121" s="5"/>
      <c r="BS121" s="5"/>
      <c r="BU121" s="5"/>
      <c r="BV121" s="5"/>
      <c r="BW121" s="5"/>
      <c r="BX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</row>
    <row r="122" spans="23:101" ht="12.75">
      <c r="W122" s="5"/>
      <c r="X122" s="5"/>
      <c r="Y122" s="5"/>
      <c r="Z122" s="5"/>
      <c r="BK122" s="5"/>
      <c r="BL122" s="5"/>
      <c r="BM122" s="5"/>
      <c r="BN122" s="5"/>
      <c r="BP122" s="5"/>
      <c r="BQ122" s="5"/>
      <c r="BR122" s="5"/>
      <c r="BS122" s="5"/>
      <c r="BU122" s="5"/>
      <c r="BV122" s="5"/>
      <c r="BW122" s="5"/>
      <c r="BX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</row>
    <row r="123" spans="23:101" ht="12.75">
      <c r="W123" s="5"/>
      <c r="X123" s="5"/>
      <c r="Y123" s="5"/>
      <c r="Z123" s="5"/>
      <c r="BK123" s="5"/>
      <c r="BL123" s="5"/>
      <c r="BM123" s="5"/>
      <c r="BN123" s="5"/>
      <c r="BP123" s="5"/>
      <c r="BQ123" s="5"/>
      <c r="BR123" s="5"/>
      <c r="BS123" s="5"/>
      <c r="BU123" s="5"/>
      <c r="BV123" s="5"/>
      <c r="BW123" s="5"/>
      <c r="BX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</row>
    <row r="124" spans="23:101" ht="12.75">
      <c r="W124" s="5"/>
      <c r="X124" s="5"/>
      <c r="Y124" s="5"/>
      <c r="Z124" s="5"/>
      <c r="BK124" s="5"/>
      <c r="BL124" s="5"/>
      <c r="BM124" s="5"/>
      <c r="BN124" s="5"/>
      <c r="BP124" s="5"/>
      <c r="BQ124" s="5"/>
      <c r="BR124" s="5"/>
      <c r="BS124" s="5"/>
      <c r="BU124" s="5"/>
      <c r="BV124" s="5"/>
      <c r="BW124" s="5"/>
      <c r="BX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</row>
    <row r="125" spans="23:101" ht="12.75">
      <c r="W125" s="5"/>
      <c r="X125" s="5"/>
      <c r="Y125" s="5"/>
      <c r="Z125" s="5"/>
      <c r="BK125" s="5"/>
      <c r="BL125" s="5"/>
      <c r="BM125" s="5"/>
      <c r="BN125" s="5"/>
      <c r="BP125" s="5"/>
      <c r="BQ125" s="5"/>
      <c r="BR125" s="5"/>
      <c r="BS125" s="5"/>
      <c r="BU125" s="5"/>
      <c r="BV125" s="5"/>
      <c r="BW125" s="5"/>
      <c r="BX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</row>
    <row r="126" spans="23:101" ht="12.75">
      <c r="W126" s="5"/>
      <c r="X126" s="5"/>
      <c r="Y126" s="5"/>
      <c r="Z126" s="5"/>
      <c r="BK126" s="5"/>
      <c r="BL126" s="5"/>
      <c r="BM126" s="5"/>
      <c r="BN126" s="5"/>
      <c r="BP126" s="5"/>
      <c r="BQ126" s="5"/>
      <c r="BR126" s="5"/>
      <c r="BS126" s="5"/>
      <c r="BU126" s="5"/>
      <c r="BV126" s="5"/>
      <c r="BW126" s="5"/>
      <c r="BX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</row>
    <row r="127" spans="23:101" ht="12.75">
      <c r="W127" s="5"/>
      <c r="X127" s="5"/>
      <c r="Y127" s="5"/>
      <c r="Z127" s="5"/>
      <c r="BK127" s="5"/>
      <c r="BL127" s="5"/>
      <c r="BM127" s="5"/>
      <c r="BN127" s="5"/>
      <c r="BP127" s="5"/>
      <c r="BQ127" s="5"/>
      <c r="BR127" s="5"/>
      <c r="BS127" s="5"/>
      <c r="BU127" s="5"/>
      <c r="BV127" s="5"/>
      <c r="BW127" s="5"/>
      <c r="BX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</row>
    <row r="128" spans="23:101" ht="12.75">
      <c r="W128" s="5"/>
      <c r="X128" s="5"/>
      <c r="Y128" s="5"/>
      <c r="Z128" s="5"/>
      <c r="BK128" s="5"/>
      <c r="BL128" s="5"/>
      <c r="BM128" s="5"/>
      <c r="BN128" s="5"/>
      <c r="BP128" s="5"/>
      <c r="BQ128" s="5"/>
      <c r="BR128" s="5"/>
      <c r="BS128" s="5"/>
      <c r="BU128" s="5"/>
      <c r="BV128" s="5"/>
      <c r="BW128" s="5"/>
      <c r="BX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</row>
    <row r="129" spans="23:101" ht="12.75">
      <c r="W129" s="5"/>
      <c r="X129" s="5"/>
      <c r="Y129" s="5"/>
      <c r="Z129" s="5"/>
      <c r="BK129" s="5"/>
      <c r="BL129" s="5"/>
      <c r="BM129" s="5"/>
      <c r="BN129" s="5"/>
      <c r="BP129" s="5"/>
      <c r="BQ129" s="5"/>
      <c r="BR129" s="5"/>
      <c r="BS129" s="5"/>
      <c r="BU129" s="5"/>
      <c r="BV129" s="5"/>
      <c r="BW129" s="5"/>
      <c r="BX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</row>
    <row r="130" spans="23:101" ht="12.75">
      <c r="W130" s="5"/>
      <c r="X130" s="5"/>
      <c r="Y130" s="5"/>
      <c r="Z130" s="5"/>
      <c r="BK130" s="5"/>
      <c r="BL130" s="5"/>
      <c r="BM130" s="5"/>
      <c r="BN130" s="5"/>
      <c r="BP130" s="5"/>
      <c r="BQ130" s="5"/>
      <c r="BR130" s="5"/>
      <c r="BS130" s="5"/>
      <c r="BU130" s="5"/>
      <c r="BV130" s="5"/>
      <c r="BW130" s="5"/>
      <c r="BX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</row>
    <row r="131" spans="23:101" ht="12.75">
      <c r="W131" s="5"/>
      <c r="X131" s="5"/>
      <c r="Y131" s="5"/>
      <c r="Z131" s="5"/>
      <c r="BK131" s="5"/>
      <c r="BL131" s="5"/>
      <c r="BM131" s="5"/>
      <c r="BN131" s="5"/>
      <c r="BP131" s="5"/>
      <c r="BQ131" s="5"/>
      <c r="BR131" s="5"/>
      <c r="BS131" s="5"/>
      <c r="BU131" s="5"/>
      <c r="BV131" s="5"/>
      <c r="BW131" s="5"/>
      <c r="BX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</row>
    <row r="132" spans="23:101" ht="12.75">
      <c r="W132" s="5"/>
      <c r="X132" s="5"/>
      <c r="Y132" s="5"/>
      <c r="Z132" s="5"/>
      <c r="BK132" s="5"/>
      <c r="BL132" s="5"/>
      <c r="BM132" s="5"/>
      <c r="BN132" s="5"/>
      <c r="BP132" s="5"/>
      <c r="BQ132" s="5"/>
      <c r="BR132" s="5"/>
      <c r="BS132" s="5"/>
      <c r="BU132" s="5"/>
      <c r="BV132" s="5"/>
      <c r="BW132" s="5"/>
      <c r="BX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</row>
    <row r="133" spans="23:101" ht="12.75">
      <c r="W133" s="5"/>
      <c r="X133" s="5"/>
      <c r="Y133" s="5"/>
      <c r="Z133" s="5"/>
      <c r="BK133" s="5"/>
      <c r="BL133" s="5"/>
      <c r="BM133" s="5"/>
      <c r="BN133" s="5"/>
      <c r="BP133" s="5"/>
      <c r="BQ133" s="5"/>
      <c r="BR133" s="5"/>
      <c r="BS133" s="5"/>
      <c r="BU133" s="5"/>
      <c r="BV133" s="5"/>
      <c r="BW133" s="5"/>
      <c r="BX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</row>
    <row r="134" spans="23:101" ht="12.75">
      <c r="W134" s="5"/>
      <c r="X134" s="5"/>
      <c r="Y134" s="5"/>
      <c r="Z134" s="5"/>
      <c r="BK134" s="5"/>
      <c r="BL134" s="5"/>
      <c r="BM134" s="5"/>
      <c r="BN134" s="5"/>
      <c r="BP134" s="5"/>
      <c r="BQ134" s="5"/>
      <c r="BR134" s="5"/>
      <c r="BS134" s="5"/>
      <c r="BU134" s="5"/>
      <c r="BV134" s="5"/>
      <c r="BW134" s="5"/>
      <c r="BX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</row>
    <row r="135" spans="23:101" ht="12.75">
      <c r="W135" s="5"/>
      <c r="X135" s="5"/>
      <c r="Y135" s="5"/>
      <c r="Z135" s="5"/>
      <c r="BK135" s="5"/>
      <c r="BL135" s="5"/>
      <c r="BM135" s="5"/>
      <c r="BN135" s="5"/>
      <c r="BP135" s="5"/>
      <c r="BQ135" s="5"/>
      <c r="BR135" s="5"/>
      <c r="BS135" s="5"/>
      <c r="BU135" s="5"/>
      <c r="BV135" s="5"/>
      <c r="BW135" s="5"/>
      <c r="BX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</row>
    <row r="136" spans="23:101" ht="12.75">
      <c r="W136" s="5"/>
      <c r="X136" s="5"/>
      <c r="Y136" s="5"/>
      <c r="Z136" s="5"/>
      <c r="BK136" s="5"/>
      <c r="BL136" s="5"/>
      <c r="BM136" s="5"/>
      <c r="BN136" s="5"/>
      <c r="BP136" s="5"/>
      <c r="BQ136" s="5"/>
      <c r="BR136" s="5"/>
      <c r="BS136" s="5"/>
      <c r="BU136" s="5"/>
      <c r="BV136" s="5"/>
      <c r="BW136" s="5"/>
      <c r="BX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</row>
    <row r="137" spans="23:101" ht="12.75">
      <c r="W137" s="5"/>
      <c r="X137" s="5"/>
      <c r="Y137" s="5"/>
      <c r="Z137" s="5"/>
      <c r="BK137" s="5"/>
      <c r="BL137" s="5"/>
      <c r="BM137" s="5"/>
      <c r="BN137" s="5"/>
      <c r="BP137" s="5"/>
      <c r="BQ137" s="5"/>
      <c r="BR137" s="5"/>
      <c r="BS137" s="5"/>
      <c r="BU137" s="5"/>
      <c r="BV137" s="5"/>
      <c r="BW137" s="5"/>
      <c r="BX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</row>
    <row r="138" spans="23:101" ht="12.75">
      <c r="W138" s="5"/>
      <c r="X138" s="5"/>
      <c r="Y138" s="5"/>
      <c r="Z138" s="5"/>
      <c r="BK138" s="5"/>
      <c r="BL138" s="5"/>
      <c r="BM138" s="5"/>
      <c r="BN138" s="5"/>
      <c r="BP138" s="5"/>
      <c r="BQ138" s="5"/>
      <c r="BR138" s="5"/>
      <c r="BS138" s="5"/>
      <c r="BU138" s="5"/>
      <c r="BV138" s="5"/>
      <c r="BW138" s="5"/>
      <c r="BX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</row>
    <row r="139" spans="23:101" ht="12.75">
      <c r="W139" s="5"/>
      <c r="X139" s="5"/>
      <c r="Y139" s="5"/>
      <c r="Z139" s="5"/>
      <c r="BK139" s="5"/>
      <c r="BL139" s="5"/>
      <c r="BM139" s="5"/>
      <c r="BN139" s="5"/>
      <c r="BP139" s="5"/>
      <c r="BQ139" s="5"/>
      <c r="BR139" s="5"/>
      <c r="BS139" s="5"/>
      <c r="BU139" s="5"/>
      <c r="BV139" s="5"/>
      <c r="BW139" s="5"/>
      <c r="BX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</row>
    <row r="140" spans="23:101" ht="12.75">
      <c r="W140" s="5"/>
      <c r="X140" s="5"/>
      <c r="Y140" s="5"/>
      <c r="Z140" s="5"/>
      <c r="BK140" s="5"/>
      <c r="BL140" s="5"/>
      <c r="BM140" s="5"/>
      <c r="BN140" s="5"/>
      <c r="BP140" s="5"/>
      <c r="BQ140" s="5"/>
      <c r="BR140" s="5"/>
      <c r="BS140" s="5"/>
      <c r="BU140" s="5"/>
      <c r="BV140" s="5"/>
      <c r="BW140" s="5"/>
      <c r="BX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</row>
    <row r="141" spans="23:101" ht="12.75">
      <c r="W141" s="5"/>
      <c r="X141" s="5"/>
      <c r="Y141" s="5"/>
      <c r="Z141" s="5"/>
      <c r="BK141" s="5"/>
      <c r="BL141" s="5"/>
      <c r="BM141" s="5"/>
      <c r="BN141" s="5"/>
      <c r="BP141" s="5"/>
      <c r="BQ141" s="5"/>
      <c r="BR141" s="5"/>
      <c r="BS141" s="5"/>
      <c r="BU141" s="5"/>
      <c r="BV141" s="5"/>
      <c r="BW141" s="5"/>
      <c r="BX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</row>
    <row r="142" spans="23:101" ht="12.75">
      <c r="W142" s="5"/>
      <c r="X142" s="5"/>
      <c r="Y142" s="5"/>
      <c r="Z142" s="5"/>
      <c r="BK142" s="5"/>
      <c r="BL142" s="5"/>
      <c r="BM142" s="5"/>
      <c r="BN142" s="5"/>
      <c r="BP142" s="5"/>
      <c r="BQ142" s="5"/>
      <c r="BR142" s="5"/>
      <c r="BS142" s="5"/>
      <c r="BU142" s="5"/>
      <c r="BV142" s="5"/>
      <c r="BW142" s="5"/>
      <c r="BX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</row>
    <row r="143" spans="23:101" ht="12.75">
      <c r="W143" s="5"/>
      <c r="X143" s="5"/>
      <c r="Y143" s="5"/>
      <c r="Z143" s="5"/>
      <c r="BK143" s="5"/>
      <c r="BL143" s="5"/>
      <c r="BM143" s="5"/>
      <c r="BN143" s="5"/>
      <c r="BP143" s="5"/>
      <c r="BQ143" s="5"/>
      <c r="BR143" s="5"/>
      <c r="BS143" s="5"/>
      <c r="BU143" s="5"/>
      <c r="BV143" s="5"/>
      <c r="BW143" s="5"/>
      <c r="BX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</row>
    <row r="144" spans="23:101" ht="12.75">
      <c r="W144" s="5"/>
      <c r="X144" s="5"/>
      <c r="Y144" s="5"/>
      <c r="Z144" s="5"/>
      <c r="BK144" s="5"/>
      <c r="BL144" s="5"/>
      <c r="BM144" s="5"/>
      <c r="BN144" s="5"/>
      <c r="BP144" s="5"/>
      <c r="BQ144" s="5"/>
      <c r="BR144" s="5"/>
      <c r="BS144" s="5"/>
      <c r="BU144" s="5"/>
      <c r="BV144" s="5"/>
      <c r="BW144" s="5"/>
      <c r="BX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</row>
    <row r="145" spans="23:101" ht="12.75">
      <c r="W145" s="5"/>
      <c r="X145" s="5"/>
      <c r="Y145" s="5"/>
      <c r="Z145" s="5"/>
      <c r="BK145" s="5"/>
      <c r="BL145" s="5"/>
      <c r="BM145" s="5"/>
      <c r="BN145" s="5"/>
      <c r="BP145" s="5"/>
      <c r="BQ145" s="5"/>
      <c r="BR145" s="5"/>
      <c r="BS145" s="5"/>
      <c r="BU145" s="5"/>
      <c r="BV145" s="5"/>
      <c r="BW145" s="5"/>
      <c r="BX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</row>
    <row r="146" spans="23:101" ht="12.75">
      <c r="W146" s="5"/>
      <c r="X146" s="5"/>
      <c r="Y146" s="5"/>
      <c r="Z146" s="5"/>
      <c r="BK146" s="5"/>
      <c r="BL146" s="5"/>
      <c r="BM146" s="5"/>
      <c r="BN146" s="5"/>
      <c r="BP146" s="5"/>
      <c r="BQ146" s="5"/>
      <c r="BR146" s="5"/>
      <c r="BS146" s="5"/>
      <c r="BU146" s="5"/>
      <c r="BV146" s="5"/>
      <c r="BW146" s="5"/>
      <c r="BX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</row>
    <row r="147" spans="23:101" ht="12.75">
      <c r="W147" s="5"/>
      <c r="X147" s="5"/>
      <c r="Y147" s="5"/>
      <c r="Z147" s="5"/>
      <c r="BK147" s="5"/>
      <c r="BL147" s="5"/>
      <c r="BM147" s="5"/>
      <c r="BN147" s="5"/>
      <c r="BP147" s="5"/>
      <c r="BQ147" s="5"/>
      <c r="BR147" s="5"/>
      <c r="BS147" s="5"/>
      <c r="BU147" s="5"/>
      <c r="BV147" s="5"/>
      <c r="BW147" s="5"/>
      <c r="BX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</row>
    <row r="148" spans="23:101" ht="12.75">
      <c r="W148" s="5"/>
      <c r="X148" s="5"/>
      <c r="Y148" s="5"/>
      <c r="Z148" s="5"/>
      <c r="BK148" s="5"/>
      <c r="BL148" s="5"/>
      <c r="BM148" s="5"/>
      <c r="BN148" s="5"/>
      <c r="BP148" s="5"/>
      <c r="BQ148" s="5"/>
      <c r="BR148" s="5"/>
      <c r="BS148" s="5"/>
      <c r="BU148" s="5"/>
      <c r="BV148" s="5"/>
      <c r="BW148" s="5"/>
      <c r="BX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</row>
    <row r="149" spans="23:101" ht="12.75">
      <c r="W149" s="5"/>
      <c r="X149" s="5"/>
      <c r="Y149" s="5"/>
      <c r="Z149" s="5"/>
      <c r="BK149" s="5"/>
      <c r="BL149" s="5"/>
      <c r="BM149" s="5"/>
      <c r="BN149" s="5"/>
      <c r="BP149" s="5"/>
      <c r="BQ149" s="5"/>
      <c r="BR149" s="5"/>
      <c r="BS149" s="5"/>
      <c r="BU149" s="5"/>
      <c r="BV149" s="5"/>
      <c r="BW149" s="5"/>
      <c r="BX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</row>
    <row r="150" spans="23:101" ht="12.75">
      <c r="W150" s="5"/>
      <c r="X150" s="5"/>
      <c r="Y150" s="5"/>
      <c r="Z150" s="5"/>
      <c r="BK150" s="5"/>
      <c r="BL150" s="5"/>
      <c r="BM150" s="5"/>
      <c r="BN150" s="5"/>
      <c r="BP150" s="5"/>
      <c r="BQ150" s="5"/>
      <c r="BR150" s="5"/>
      <c r="BS150" s="5"/>
      <c r="BU150" s="5"/>
      <c r="BV150" s="5"/>
      <c r="BW150" s="5"/>
      <c r="BX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</row>
    <row r="151" spans="23:101" ht="12.75">
      <c r="W151" s="5"/>
      <c r="X151" s="5"/>
      <c r="Y151" s="5"/>
      <c r="Z151" s="5"/>
      <c r="BK151" s="5"/>
      <c r="BL151" s="5"/>
      <c r="BM151" s="5"/>
      <c r="BN151" s="5"/>
      <c r="BP151" s="5"/>
      <c r="BQ151" s="5"/>
      <c r="BR151" s="5"/>
      <c r="BS151" s="5"/>
      <c r="BU151" s="5"/>
      <c r="BV151" s="5"/>
      <c r="BW151" s="5"/>
      <c r="BX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</row>
    <row r="152" spans="23:101" ht="12.75">
      <c r="W152" s="5"/>
      <c r="X152" s="5"/>
      <c r="Y152" s="5"/>
      <c r="Z152" s="5"/>
      <c r="BK152" s="5"/>
      <c r="BL152" s="5"/>
      <c r="BM152" s="5"/>
      <c r="BN152" s="5"/>
      <c r="BP152" s="5"/>
      <c r="BQ152" s="5"/>
      <c r="BR152" s="5"/>
      <c r="BS152" s="5"/>
      <c r="BU152" s="5"/>
      <c r="BV152" s="5"/>
      <c r="BW152" s="5"/>
      <c r="BX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</row>
    <row r="153" spans="23:101" ht="12.75">
      <c r="W153" s="5"/>
      <c r="X153" s="5"/>
      <c r="Y153" s="5"/>
      <c r="Z153" s="5"/>
      <c r="BK153" s="5"/>
      <c r="BL153" s="5"/>
      <c r="BM153" s="5"/>
      <c r="BN153" s="5"/>
      <c r="BP153" s="5"/>
      <c r="BQ153" s="5"/>
      <c r="BR153" s="5"/>
      <c r="BS153" s="5"/>
      <c r="BU153" s="5"/>
      <c r="BV153" s="5"/>
      <c r="BW153" s="5"/>
      <c r="BX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</row>
    <row r="154" spans="23:101" ht="12.75">
      <c r="W154" s="5"/>
      <c r="X154" s="5"/>
      <c r="Y154" s="5"/>
      <c r="Z154" s="5"/>
      <c r="BK154" s="5"/>
      <c r="BL154" s="5"/>
      <c r="BM154" s="5"/>
      <c r="BN154" s="5"/>
      <c r="BP154" s="5"/>
      <c r="BQ154" s="5"/>
      <c r="BR154" s="5"/>
      <c r="BS154" s="5"/>
      <c r="BU154" s="5"/>
      <c r="BV154" s="5"/>
      <c r="BW154" s="5"/>
      <c r="BX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</row>
    <row r="155" spans="23:101" ht="12.75">
      <c r="W155" s="5"/>
      <c r="X155" s="5"/>
      <c r="Y155" s="5"/>
      <c r="Z155" s="5"/>
      <c r="BK155" s="5"/>
      <c r="BL155" s="5"/>
      <c r="BM155" s="5"/>
      <c r="BN155" s="5"/>
      <c r="BP155" s="5"/>
      <c r="BQ155" s="5"/>
      <c r="BR155" s="5"/>
      <c r="BS155" s="5"/>
      <c r="BU155" s="5"/>
      <c r="BV155" s="5"/>
      <c r="BW155" s="5"/>
      <c r="BX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</row>
    <row r="156" spans="23:101" ht="12.75">
      <c r="W156" s="5"/>
      <c r="X156" s="5"/>
      <c r="Y156" s="5"/>
      <c r="Z156" s="5"/>
      <c r="BK156" s="5"/>
      <c r="BL156" s="5"/>
      <c r="BM156" s="5"/>
      <c r="BN156" s="5"/>
      <c r="BP156" s="5"/>
      <c r="BQ156" s="5"/>
      <c r="BR156" s="5"/>
      <c r="BS156" s="5"/>
      <c r="BU156" s="5"/>
      <c r="BV156" s="5"/>
      <c r="BW156" s="5"/>
      <c r="BX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</row>
    <row r="157" spans="23:101" ht="12.75">
      <c r="W157" s="5"/>
      <c r="X157" s="5"/>
      <c r="Y157" s="5"/>
      <c r="Z157" s="5"/>
      <c r="BK157" s="5"/>
      <c r="BL157" s="5"/>
      <c r="BM157" s="5"/>
      <c r="BN157" s="5"/>
      <c r="BP157" s="5"/>
      <c r="BQ157" s="5"/>
      <c r="BR157" s="5"/>
      <c r="BS157" s="5"/>
      <c r="BU157" s="5"/>
      <c r="BV157" s="5"/>
      <c r="BW157" s="5"/>
      <c r="BX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</row>
    <row r="158" spans="23:101" ht="12.75">
      <c r="W158" s="5"/>
      <c r="X158" s="5"/>
      <c r="Y158" s="5"/>
      <c r="Z158" s="5"/>
      <c r="BK158" s="5"/>
      <c r="BL158" s="5"/>
      <c r="BM158" s="5"/>
      <c r="BN158" s="5"/>
      <c r="BP158" s="5"/>
      <c r="BQ158" s="5"/>
      <c r="BR158" s="5"/>
      <c r="BS158" s="5"/>
      <c r="BU158" s="5"/>
      <c r="BV158" s="5"/>
      <c r="BW158" s="5"/>
      <c r="BX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</row>
    <row r="159" spans="23:101" ht="12.75">
      <c r="W159" s="5"/>
      <c r="X159" s="5"/>
      <c r="Y159" s="5"/>
      <c r="Z159" s="5"/>
      <c r="BK159" s="5"/>
      <c r="BL159" s="5"/>
      <c r="BM159" s="5"/>
      <c r="BN159" s="5"/>
      <c r="BP159" s="5"/>
      <c r="BQ159" s="5"/>
      <c r="BR159" s="5"/>
      <c r="BS159" s="5"/>
      <c r="BU159" s="5"/>
      <c r="BV159" s="5"/>
      <c r="BW159" s="5"/>
      <c r="BX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</row>
    <row r="160" spans="23:101" ht="12.75">
      <c r="W160" s="5"/>
      <c r="X160" s="5"/>
      <c r="Y160" s="5"/>
      <c r="Z160" s="5"/>
      <c r="BK160" s="5"/>
      <c r="BL160" s="5"/>
      <c r="BM160" s="5"/>
      <c r="BN160" s="5"/>
      <c r="BP160" s="5"/>
      <c r="BQ160" s="5"/>
      <c r="BR160" s="5"/>
      <c r="BS160" s="5"/>
      <c r="BU160" s="5"/>
      <c r="BV160" s="5"/>
      <c r="BW160" s="5"/>
      <c r="BX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</row>
    <row r="161" spans="23:101" ht="12.75">
      <c r="W161" s="5"/>
      <c r="X161" s="5"/>
      <c r="Y161" s="5"/>
      <c r="Z161" s="5"/>
      <c r="BK161" s="5"/>
      <c r="BL161" s="5"/>
      <c r="BM161" s="5"/>
      <c r="BN161" s="5"/>
      <c r="BP161" s="5"/>
      <c r="BQ161" s="5"/>
      <c r="BR161" s="5"/>
      <c r="BS161" s="5"/>
      <c r="BU161" s="5"/>
      <c r="BV161" s="5"/>
      <c r="BW161" s="5"/>
      <c r="BX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</row>
    <row r="162" spans="23:101" ht="12.75">
      <c r="W162" s="5"/>
      <c r="X162" s="5"/>
      <c r="Y162" s="5"/>
      <c r="Z162" s="5"/>
      <c r="BK162" s="5"/>
      <c r="BL162" s="5"/>
      <c r="BM162" s="5"/>
      <c r="BN162" s="5"/>
      <c r="BP162" s="5"/>
      <c r="BQ162" s="5"/>
      <c r="BR162" s="5"/>
      <c r="BS162" s="5"/>
      <c r="BU162" s="5"/>
      <c r="BV162" s="5"/>
      <c r="BW162" s="5"/>
      <c r="BX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</row>
    <row r="163" spans="23:101" ht="12.75">
      <c r="W163" s="5"/>
      <c r="X163" s="5"/>
      <c r="Y163" s="5"/>
      <c r="Z163" s="5"/>
      <c r="BK163" s="5"/>
      <c r="BL163" s="5"/>
      <c r="BM163" s="5"/>
      <c r="BN163" s="5"/>
      <c r="BP163" s="5"/>
      <c r="BQ163" s="5"/>
      <c r="BR163" s="5"/>
      <c r="BS163" s="5"/>
      <c r="BU163" s="5"/>
      <c r="BV163" s="5"/>
      <c r="BW163" s="5"/>
      <c r="BX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</row>
    <row r="164" spans="23:101" ht="12.75">
      <c r="W164" s="5"/>
      <c r="X164" s="5"/>
      <c r="Y164" s="5"/>
      <c r="Z164" s="5"/>
      <c r="BK164" s="5"/>
      <c r="BL164" s="5"/>
      <c r="BM164" s="5"/>
      <c r="BN164" s="5"/>
      <c r="BP164" s="5"/>
      <c r="BQ164" s="5"/>
      <c r="BR164" s="5"/>
      <c r="BS164" s="5"/>
      <c r="BU164" s="5"/>
      <c r="BV164" s="5"/>
      <c r="BW164" s="5"/>
      <c r="BX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</row>
    <row r="165" spans="23:101" ht="12.75">
      <c r="W165" s="5"/>
      <c r="X165" s="5"/>
      <c r="Y165" s="5"/>
      <c r="Z165" s="5"/>
      <c r="BK165" s="5"/>
      <c r="BL165" s="5"/>
      <c r="BM165" s="5"/>
      <c r="BN165" s="5"/>
      <c r="BP165" s="5"/>
      <c r="BQ165" s="5"/>
      <c r="BR165" s="5"/>
      <c r="BS165" s="5"/>
      <c r="BU165" s="5"/>
      <c r="BV165" s="5"/>
      <c r="BW165" s="5"/>
      <c r="BX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</row>
    <row r="166" spans="23:101" ht="12.75">
      <c r="W166" s="5"/>
      <c r="X166" s="5"/>
      <c r="Y166" s="5"/>
      <c r="Z166" s="5"/>
      <c r="BK166" s="5"/>
      <c r="BL166" s="5"/>
      <c r="BM166" s="5"/>
      <c r="BN166" s="5"/>
      <c r="BP166" s="5"/>
      <c r="BQ166" s="5"/>
      <c r="BR166" s="5"/>
      <c r="BS166" s="5"/>
      <c r="BU166" s="5"/>
      <c r="BV166" s="5"/>
      <c r="BW166" s="5"/>
      <c r="BX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</row>
    <row r="167" spans="23:101" ht="12.75">
      <c r="W167" s="5"/>
      <c r="X167" s="5"/>
      <c r="Y167" s="5"/>
      <c r="Z167" s="5"/>
      <c r="BK167" s="5"/>
      <c r="BL167" s="5"/>
      <c r="BM167" s="5"/>
      <c r="BN167" s="5"/>
      <c r="BP167" s="5"/>
      <c r="BQ167" s="5"/>
      <c r="BR167" s="5"/>
      <c r="BS167" s="5"/>
      <c r="BU167" s="5"/>
      <c r="BV167" s="5"/>
      <c r="BW167" s="5"/>
      <c r="BX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</row>
    <row r="168" spans="23:101" ht="12.75">
      <c r="W168" s="5"/>
      <c r="X168" s="5"/>
      <c r="Y168" s="5"/>
      <c r="Z168" s="5"/>
      <c r="BK168" s="5"/>
      <c r="BL168" s="5"/>
      <c r="BM168" s="5"/>
      <c r="BN168" s="5"/>
      <c r="BP168" s="5"/>
      <c r="BQ168" s="5"/>
      <c r="BR168" s="5"/>
      <c r="BS168" s="5"/>
      <c r="BU168" s="5"/>
      <c r="BV168" s="5"/>
      <c r="BW168" s="5"/>
      <c r="BX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</row>
    <row r="169" spans="23:101" ht="12.75">
      <c r="W169" s="5"/>
      <c r="X169" s="5"/>
      <c r="Y169" s="5"/>
      <c r="Z169" s="5"/>
      <c r="BK169" s="5"/>
      <c r="BL169" s="5"/>
      <c r="BM169" s="5"/>
      <c r="BN169" s="5"/>
      <c r="BP169" s="5"/>
      <c r="BQ169" s="5"/>
      <c r="BR169" s="5"/>
      <c r="BS169" s="5"/>
      <c r="BU169" s="5"/>
      <c r="BV169" s="5"/>
      <c r="BW169" s="5"/>
      <c r="BX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</row>
    <row r="170" spans="23:101" ht="12.75">
      <c r="W170" s="5"/>
      <c r="X170" s="5"/>
      <c r="Y170" s="5"/>
      <c r="Z170" s="5"/>
      <c r="BK170" s="5"/>
      <c r="BL170" s="5"/>
      <c r="BM170" s="5"/>
      <c r="BN170" s="5"/>
      <c r="BP170" s="5"/>
      <c r="BQ170" s="5"/>
      <c r="BR170" s="5"/>
      <c r="BS170" s="5"/>
      <c r="BU170" s="5"/>
      <c r="BV170" s="5"/>
      <c r="BW170" s="5"/>
      <c r="BX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</row>
    <row r="171" spans="23:101" ht="12.75">
      <c r="W171" s="5"/>
      <c r="X171" s="5"/>
      <c r="Y171" s="5"/>
      <c r="Z171" s="5"/>
      <c r="BK171" s="5"/>
      <c r="BL171" s="5"/>
      <c r="BM171" s="5"/>
      <c r="BN171" s="5"/>
      <c r="BP171" s="5"/>
      <c r="BQ171" s="5"/>
      <c r="BR171" s="5"/>
      <c r="BS171" s="5"/>
      <c r="BU171" s="5"/>
      <c r="BV171" s="5"/>
      <c r="BW171" s="5"/>
      <c r="BX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</row>
    <row r="172" spans="23:101" ht="12.75">
      <c r="W172" s="5"/>
      <c r="X172" s="5"/>
      <c r="Y172" s="5"/>
      <c r="Z172" s="5"/>
      <c r="BK172" s="5"/>
      <c r="BL172" s="5"/>
      <c r="BM172" s="5"/>
      <c r="BN172" s="5"/>
      <c r="BP172" s="5"/>
      <c r="BQ172" s="5"/>
      <c r="BR172" s="5"/>
      <c r="BS172" s="5"/>
      <c r="BU172" s="5"/>
      <c r="BV172" s="5"/>
      <c r="BW172" s="5"/>
      <c r="BX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</row>
    <row r="173" spans="23:101" ht="12.75">
      <c r="W173" s="5"/>
      <c r="X173" s="5"/>
      <c r="Y173" s="5"/>
      <c r="Z173" s="5"/>
      <c r="BK173" s="5"/>
      <c r="BL173" s="5"/>
      <c r="BM173" s="5"/>
      <c r="BN173" s="5"/>
      <c r="BP173" s="5"/>
      <c r="BQ173" s="5"/>
      <c r="BR173" s="5"/>
      <c r="BS173" s="5"/>
      <c r="BU173" s="5"/>
      <c r="BV173" s="5"/>
      <c r="BW173" s="5"/>
      <c r="BX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</row>
    <row r="174" spans="23:101" ht="12.75">
      <c r="W174" s="5"/>
      <c r="X174" s="5"/>
      <c r="Y174" s="5"/>
      <c r="Z174" s="5"/>
      <c r="BK174" s="5"/>
      <c r="BL174" s="5"/>
      <c r="BM174" s="5"/>
      <c r="BN174" s="5"/>
      <c r="BP174" s="5"/>
      <c r="BQ174" s="5"/>
      <c r="BR174" s="5"/>
      <c r="BS174" s="5"/>
      <c r="BU174" s="5"/>
      <c r="BV174" s="5"/>
      <c r="BW174" s="5"/>
      <c r="BX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</row>
    <row r="175" spans="23:101" ht="12.75">
      <c r="W175" s="5"/>
      <c r="X175" s="5"/>
      <c r="Y175" s="5"/>
      <c r="Z175" s="5"/>
      <c r="BK175" s="5"/>
      <c r="BL175" s="5"/>
      <c r="BM175" s="5"/>
      <c r="BN175" s="5"/>
      <c r="BP175" s="5"/>
      <c r="BQ175" s="5"/>
      <c r="BR175" s="5"/>
      <c r="BS175" s="5"/>
      <c r="BU175" s="5"/>
      <c r="BV175" s="5"/>
      <c r="BW175" s="5"/>
      <c r="BX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</row>
    <row r="176" spans="23:101" ht="12.75">
      <c r="W176" s="5"/>
      <c r="X176" s="5"/>
      <c r="Y176" s="5"/>
      <c r="Z176" s="5"/>
      <c r="BK176" s="5"/>
      <c r="BL176" s="5"/>
      <c r="BM176" s="5"/>
      <c r="BN176" s="5"/>
      <c r="BP176" s="5"/>
      <c r="BQ176" s="5"/>
      <c r="BR176" s="5"/>
      <c r="BS176" s="5"/>
      <c r="BU176" s="5"/>
      <c r="BV176" s="5"/>
      <c r="BW176" s="5"/>
      <c r="BX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</row>
    <row r="177" spans="23:101" ht="12.75">
      <c r="W177" s="5"/>
      <c r="X177" s="5"/>
      <c r="Y177" s="5"/>
      <c r="Z177" s="5"/>
      <c r="BK177" s="5"/>
      <c r="BL177" s="5"/>
      <c r="BM177" s="5"/>
      <c r="BN177" s="5"/>
      <c r="BP177" s="5"/>
      <c r="BQ177" s="5"/>
      <c r="BR177" s="5"/>
      <c r="BS177" s="5"/>
      <c r="BU177" s="5"/>
      <c r="BV177" s="5"/>
      <c r="BW177" s="5"/>
      <c r="BX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</row>
    <row r="178" spans="23:101" ht="12.75">
      <c r="W178" s="5"/>
      <c r="X178" s="5"/>
      <c r="Y178" s="5"/>
      <c r="Z178" s="5"/>
      <c r="BK178" s="5"/>
      <c r="BL178" s="5"/>
      <c r="BM178" s="5"/>
      <c r="BN178" s="5"/>
      <c r="BP178" s="5"/>
      <c r="BQ178" s="5"/>
      <c r="BR178" s="5"/>
      <c r="BS178" s="5"/>
      <c r="BU178" s="5"/>
      <c r="BV178" s="5"/>
      <c r="BW178" s="5"/>
      <c r="BX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</row>
    <row r="179" spans="23:101" ht="12.75">
      <c r="W179" s="5"/>
      <c r="X179" s="5"/>
      <c r="Y179" s="5"/>
      <c r="Z179" s="5"/>
      <c r="BK179" s="5"/>
      <c r="BL179" s="5"/>
      <c r="BM179" s="5"/>
      <c r="BN179" s="5"/>
      <c r="BP179" s="5"/>
      <c r="BQ179" s="5"/>
      <c r="BR179" s="5"/>
      <c r="BS179" s="5"/>
      <c r="BU179" s="5"/>
      <c r="BV179" s="5"/>
      <c r="BW179" s="5"/>
      <c r="BX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</row>
    <row r="180" spans="23:101" ht="12.75">
      <c r="W180" s="5"/>
      <c r="X180" s="5"/>
      <c r="Y180" s="5"/>
      <c r="Z180" s="5"/>
      <c r="BK180" s="5"/>
      <c r="BL180" s="5"/>
      <c r="BM180" s="5"/>
      <c r="BN180" s="5"/>
      <c r="BP180" s="5"/>
      <c r="BQ180" s="5"/>
      <c r="BR180" s="5"/>
      <c r="BS180" s="5"/>
      <c r="BU180" s="5"/>
      <c r="BV180" s="5"/>
      <c r="BW180" s="5"/>
      <c r="BX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</row>
    <row r="181" spans="23:101" ht="12.75">
      <c r="W181" s="5"/>
      <c r="X181" s="5"/>
      <c r="Y181" s="5"/>
      <c r="Z181" s="5"/>
      <c r="BK181" s="5"/>
      <c r="BL181" s="5"/>
      <c r="BM181" s="5"/>
      <c r="BN181" s="5"/>
      <c r="BP181" s="5"/>
      <c r="BQ181" s="5"/>
      <c r="BR181" s="5"/>
      <c r="BS181" s="5"/>
      <c r="BU181" s="5"/>
      <c r="BV181" s="5"/>
      <c r="BW181" s="5"/>
      <c r="BX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</row>
    <row r="182" spans="23:101" ht="12.75">
      <c r="W182" s="5"/>
      <c r="X182" s="5"/>
      <c r="Y182" s="5"/>
      <c r="Z182" s="5"/>
      <c r="BK182" s="5"/>
      <c r="BL182" s="5"/>
      <c r="BM182" s="5"/>
      <c r="BN182" s="5"/>
      <c r="BP182" s="5"/>
      <c r="BQ182" s="5"/>
      <c r="BR182" s="5"/>
      <c r="BS182" s="5"/>
      <c r="BU182" s="5"/>
      <c r="BV182" s="5"/>
      <c r="BW182" s="5"/>
      <c r="BX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</row>
    <row r="183" spans="23:101" ht="12.75">
      <c r="W183" s="5"/>
      <c r="X183" s="5"/>
      <c r="Y183" s="5"/>
      <c r="Z183" s="5"/>
      <c r="BK183" s="5"/>
      <c r="BL183" s="5"/>
      <c r="BM183" s="5"/>
      <c r="BN183" s="5"/>
      <c r="BP183" s="5"/>
      <c r="BQ183" s="5"/>
      <c r="BR183" s="5"/>
      <c r="BS183" s="5"/>
      <c r="BU183" s="5"/>
      <c r="BV183" s="5"/>
      <c r="BW183" s="5"/>
      <c r="BX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</row>
    <row r="184" spans="23:101" ht="12.75">
      <c r="W184" s="5"/>
      <c r="X184" s="5"/>
      <c r="Y184" s="5"/>
      <c r="Z184" s="5"/>
      <c r="BK184" s="5"/>
      <c r="BL184" s="5"/>
      <c r="BM184" s="5"/>
      <c r="BN184" s="5"/>
      <c r="BP184" s="5"/>
      <c r="BQ184" s="5"/>
      <c r="BR184" s="5"/>
      <c r="BS184" s="5"/>
      <c r="BU184" s="5"/>
      <c r="BV184" s="5"/>
      <c r="BW184" s="5"/>
      <c r="BX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</row>
    <row r="185" spans="23:101" ht="12.75">
      <c r="W185" s="5"/>
      <c r="X185" s="5"/>
      <c r="Y185" s="5"/>
      <c r="Z185" s="5"/>
      <c r="BK185" s="5"/>
      <c r="BL185" s="5"/>
      <c r="BM185" s="5"/>
      <c r="BN185" s="5"/>
      <c r="BP185" s="5"/>
      <c r="BQ185" s="5"/>
      <c r="BR185" s="5"/>
      <c r="BS185" s="5"/>
      <c r="BU185" s="5"/>
      <c r="BV185" s="5"/>
      <c r="BW185" s="5"/>
      <c r="BX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</row>
    <row r="186" spans="23:101" ht="12.75">
      <c r="W186" s="5"/>
      <c r="X186" s="5"/>
      <c r="Y186" s="5"/>
      <c r="Z186" s="5"/>
      <c r="BK186" s="5"/>
      <c r="BL186" s="5"/>
      <c r="BM186" s="5"/>
      <c r="BN186" s="5"/>
      <c r="BP186" s="5"/>
      <c r="BQ186" s="5"/>
      <c r="BR186" s="5"/>
      <c r="BS186" s="5"/>
      <c r="BU186" s="5"/>
      <c r="BV186" s="5"/>
      <c r="BW186" s="5"/>
      <c r="BX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</row>
    <row r="187" spans="23:101" ht="12.75">
      <c r="W187" s="5"/>
      <c r="X187" s="5"/>
      <c r="Y187" s="5"/>
      <c r="Z187" s="5"/>
      <c r="BK187" s="5"/>
      <c r="BL187" s="5"/>
      <c r="BM187" s="5"/>
      <c r="BN187" s="5"/>
      <c r="BP187" s="5"/>
      <c r="BQ187" s="5"/>
      <c r="BR187" s="5"/>
      <c r="BS187" s="5"/>
      <c r="BU187" s="5"/>
      <c r="BV187" s="5"/>
      <c r="BW187" s="5"/>
      <c r="BX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</row>
    <row r="188" spans="23:101" ht="12.75">
      <c r="W188" s="5"/>
      <c r="X188" s="5"/>
      <c r="Y188" s="5"/>
      <c r="Z188" s="5"/>
      <c r="BK188" s="5"/>
      <c r="BL188" s="5"/>
      <c r="BM188" s="5"/>
      <c r="BN188" s="5"/>
      <c r="BP188" s="5"/>
      <c r="BQ188" s="5"/>
      <c r="BR188" s="5"/>
      <c r="BS188" s="5"/>
      <c r="BU188" s="5"/>
      <c r="BV188" s="5"/>
      <c r="BW188" s="5"/>
      <c r="BX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</row>
    <row r="189" spans="23:101" ht="12.75">
      <c r="W189" s="5"/>
      <c r="X189" s="5"/>
      <c r="Y189" s="5"/>
      <c r="Z189" s="5"/>
      <c r="BK189" s="5"/>
      <c r="BL189" s="5"/>
      <c r="BM189" s="5"/>
      <c r="BN189" s="5"/>
      <c r="BP189" s="5"/>
      <c r="BQ189" s="5"/>
      <c r="BR189" s="5"/>
      <c r="BS189" s="5"/>
      <c r="BU189" s="5"/>
      <c r="BV189" s="5"/>
      <c r="BW189" s="5"/>
      <c r="BX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</row>
    <row r="190" spans="23:101" ht="12.75">
      <c r="W190" s="5"/>
      <c r="X190" s="5"/>
      <c r="Y190" s="5"/>
      <c r="Z190" s="5"/>
      <c r="BK190" s="5"/>
      <c r="BL190" s="5"/>
      <c r="BM190" s="5"/>
      <c r="BN190" s="5"/>
      <c r="BP190" s="5"/>
      <c r="BQ190" s="5"/>
      <c r="BR190" s="5"/>
      <c r="BS190" s="5"/>
      <c r="BU190" s="5"/>
      <c r="BV190" s="5"/>
      <c r="BW190" s="5"/>
      <c r="BX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</row>
    <row r="191" spans="23:101" ht="12.75">
      <c r="W191" s="5"/>
      <c r="X191" s="5"/>
      <c r="Y191" s="5"/>
      <c r="Z191" s="5"/>
      <c r="BK191" s="5"/>
      <c r="BL191" s="5"/>
      <c r="BM191" s="5"/>
      <c r="BN191" s="5"/>
      <c r="BP191" s="5"/>
      <c r="BQ191" s="5"/>
      <c r="BR191" s="5"/>
      <c r="BS191" s="5"/>
      <c r="BU191" s="5"/>
      <c r="BV191" s="5"/>
      <c r="BW191" s="5"/>
      <c r="BX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</row>
    <row r="192" spans="23:101" ht="12.75">
      <c r="W192" s="5"/>
      <c r="X192" s="5"/>
      <c r="Y192" s="5"/>
      <c r="Z192" s="5"/>
      <c r="BK192" s="5"/>
      <c r="BL192" s="5"/>
      <c r="BM192" s="5"/>
      <c r="BN192" s="5"/>
      <c r="BP192" s="5"/>
      <c r="BQ192" s="5"/>
      <c r="BR192" s="5"/>
      <c r="BS192" s="5"/>
      <c r="BU192" s="5"/>
      <c r="BV192" s="5"/>
      <c r="BW192" s="5"/>
      <c r="BX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</row>
    <row r="193" spans="23:101" ht="12.75">
      <c r="W193" s="5"/>
      <c r="X193" s="5"/>
      <c r="Y193" s="5"/>
      <c r="Z193" s="5"/>
      <c r="BK193" s="5"/>
      <c r="BL193" s="5"/>
      <c r="BM193" s="5"/>
      <c r="BN193" s="5"/>
      <c r="BP193" s="5"/>
      <c r="BQ193" s="5"/>
      <c r="BR193" s="5"/>
      <c r="BS193" s="5"/>
      <c r="BU193" s="5"/>
      <c r="BV193" s="5"/>
      <c r="BW193" s="5"/>
      <c r="BX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</row>
    <row r="194" spans="23:101" ht="12.75">
      <c r="W194" s="5"/>
      <c r="X194" s="5"/>
      <c r="Y194" s="5"/>
      <c r="Z194" s="5"/>
      <c r="BK194" s="5"/>
      <c r="BL194" s="5"/>
      <c r="BM194" s="5"/>
      <c r="BN194" s="5"/>
      <c r="BP194" s="5"/>
      <c r="BQ194" s="5"/>
      <c r="BR194" s="5"/>
      <c r="BS194" s="5"/>
      <c r="BU194" s="5"/>
      <c r="BV194" s="5"/>
      <c r="BW194" s="5"/>
      <c r="BX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</row>
    <row r="195" spans="23:101" ht="12.75">
      <c r="W195" s="5"/>
      <c r="X195" s="5"/>
      <c r="Y195" s="5"/>
      <c r="Z195" s="5"/>
      <c r="BK195" s="5"/>
      <c r="BL195" s="5"/>
      <c r="BM195" s="5"/>
      <c r="BN195" s="5"/>
      <c r="BP195" s="5"/>
      <c r="BQ195" s="5"/>
      <c r="BR195" s="5"/>
      <c r="BS195" s="5"/>
      <c r="BU195" s="5"/>
      <c r="BV195" s="5"/>
      <c r="BW195" s="5"/>
      <c r="BX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</row>
    <row r="196" spans="23:101" ht="12.75">
      <c r="W196" s="5"/>
      <c r="X196" s="5"/>
      <c r="Y196" s="5"/>
      <c r="Z196" s="5"/>
      <c r="BK196" s="5"/>
      <c r="BL196" s="5"/>
      <c r="BM196" s="5"/>
      <c r="BN196" s="5"/>
      <c r="BP196" s="5"/>
      <c r="BQ196" s="5"/>
      <c r="BR196" s="5"/>
      <c r="BS196" s="5"/>
      <c r="BU196" s="5"/>
      <c r="BV196" s="5"/>
      <c r="BW196" s="5"/>
      <c r="BX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</row>
    <row r="197" spans="23:101" ht="12.75">
      <c r="W197" s="5"/>
      <c r="X197" s="5"/>
      <c r="Y197" s="5"/>
      <c r="Z197" s="5"/>
      <c r="BK197" s="5"/>
      <c r="BL197" s="5"/>
      <c r="BM197" s="5"/>
      <c r="BN197" s="5"/>
      <c r="BP197" s="5"/>
      <c r="BQ197" s="5"/>
      <c r="BR197" s="5"/>
      <c r="BS197" s="5"/>
      <c r="BU197" s="5"/>
      <c r="BV197" s="5"/>
      <c r="BW197" s="5"/>
      <c r="BX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</row>
    <row r="198" spans="23:101" ht="12.75">
      <c r="W198" s="5"/>
      <c r="X198" s="5"/>
      <c r="Y198" s="5"/>
      <c r="Z198" s="5"/>
      <c r="BK198" s="5"/>
      <c r="BL198" s="5"/>
      <c r="BM198" s="5"/>
      <c r="BN198" s="5"/>
      <c r="BP198" s="5"/>
      <c r="BQ198" s="5"/>
      <c r="BR198" s="5"/>
      <c r="BS198" s="5"/>
      <c r="BU198" s="5"/>
      <c r="BV198" s="5"/>
      <c r="BW198" s="5"/>
      <c r="BX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</row>
    <row r="199" spans="23:101" ht="12.75">
      <c r="W199" s="5"/>
      <c r="X199" s="5"/>
      <c r="Y199" s="5"/>
      <c r="Z199" s="5"/>
      <c r="BK199" s="5"/>
      <c r="BL199" s="5"/>
      <c r="BM199" s="5"/>
      <c r="BN199" s="5"/>
      <c r="BP199" s="5"/>
      <c r="BQ199" s="5"/>
      <c r="BR199" s="5"/>
      <c r="BS199" s="5"/>
      <c r="BU199" s="5"/>
      <c r="BV199" s="5"/>
      <c r="BW199" s="5"/>
      <c r="BX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</row>
    <row r="200" spans="23:101" ht="12.75">
      <c r="W200" s="5"/>
      <c r="X200" s="5"/>
      <c r="Y200" s="5"/>
      <c r="Z200" s="5"/>
      <c r="BK200" s="5"/>
      <c r="BL200" s="5"/>
      <c r="BM200" s="5"/>
      <c r="BN200" s="5"/>
      <c r="BP200" s="5"/>
      <c r="BQ200" s="5"/>
      <c r="BR200" s="5"/>
      <c r="BS200" s="5"/>
      <c r="BU200" s="5"/>
      <c r="BV200" s="5"/>
      <c r="BW200" s="5"/>
      <c r="BX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</row>
    <row r="201" spans="23:101" ht="12.75">
      <c r="W201" s="5"/>
      <c r="X201" s="5"/>
      <c r="Y201" s="5"/>
      <c r="Z201" s="5"/>
      <c r="BK201" s="5"/>
      <c r="BL201" s="5"/>
      <c r="BM201" s="5"/>
      <c r="BN201" s="5"/>
      <c r="BP201" s="5"/>
      <c r="BQ201" s="5"/>
      <c r="BR201" s="5"/>
      <c r="BS201" s="5"/>
      <c r="BU201" s="5"/>
      <c r="BV201" s="5"/>
      <c r="BW201" s="5"/>
      <c r="BX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</row>
    <row r="202" spans="23:101" ht="12.75">
      <c r="W202" s="5"/>
      <c r="X202" s="5"/>
      <c r="Y202" s="5"/>
      <c r="Z202" s="5"/>
      <c r="BK202" s="5"/>
      <c r="BL202" s="5"/>
      <c r="BM202" s="5"/>
      <c r="BN202" s="5"/>
      <c r="BP202" s="5"/>
      <c r="BQ202" s="5"/>
      <c r="BR202" s="5"/>
      <c r="BS202" s="5"/>
      <c r="BU202" s="5"/>
      <c r="BV202" s="5"/>
      <c r="BW202" s="5"/>
      <c r="BX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</row>
    <row r="203" spans="23:101" ht="12.75">
      <c r="W203" s="5"/>
      <c r="X203" s="5"/>
      <c r="Y203" s="5"/>
      <c r="Z203" s="5"/>
      <c r="BK203" s="5"/>
      <c r="BL203" s="5"/>
      <c r="BM203" s="5"/>
      <c r="BN203" s="5"/>
      <c r="BP203" s="5"/>
      <c r="BQ203" s="5"/>
      <c r="BR203" s="5"/>
      <c r="BS203" s="5"/>
      <c r="BU203" s="5"/>
      <c r="BV203" s="5"/>
      <c r="BW203" s="5"/>
      <c r="BX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</row>
    <row r="204" spans="23:101" ht="12.75">
      <c r="W204" s="5"/>
      <c r="X204" s="5"/>
      <c r="Y204" s="5"/>
      <c r="Z204" s="5"/>
      <c r="BK204" s="5"/>
      <c r="BL204" s="5"/>
      <c r="BM204" s="5"/>
      <c r="BN204" s="5"/>
      <c r="BP204" s="5"/>
      <c r="BQ204" s="5"/>
      <c r="BR204" s="5"/>
      <c r="BS204" s="5"/>
      <c r="BU204" s="5"/>
      <c r="BV204" s="5"/>
      <c r="BW204" s="5"/>
      <c r="BX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</row>
    <row r="205" spans="23:101" ht="12.75">
      <c r="W205" s="5"/>
      <c r="X205" s="5"/>
      <c r="Y205" s="5"/>
      <c r="Z205" s="5"/>
      <c r="BK205" s="5"/>
      <c r="BL205" s="5"/>
      <c r="BM205" s="5"/>
      <c r="BN205" s="5"/>
      <c r="BP205" s="5"/>
      <c r="BQ205" s="5"/>
      <c r="BR205" s="5"/>
      <c r="BS205" s="5"/>
      <c r="BU205" s="5"/>
      <c r="BV205" s="5"/>
      <c r="BW205" s="5"/>
      <c r="BX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</row>
    <row r="206" spans="23:101" ht="12.75">
      <c r="W206" s="5"/>
      <c r="X206" s="5"/>
      <c r="Y206" s="5"/>
      <c r="Z206" s="5"/>
      <c r="BK206" s="5"/>
      <c r="BL206" s="5"/>
      <c r="BM206" s="5"/>
      <c r="BN206" s="5"/>
      <c r="BP206" s="5"/>
      <c r="BQ206" s="5"/>
      <c r="BR206" s="5"/>
      <c r="BS206" s="5"/>
      <c r="BU206" s="5"/>
      <c r="BV206" s="5"/>
      <c r="BW206" s="5"/>
      <c r="BX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</row>
    <row r="207" spans="23:101" ht="12.75">
      <c r="W207" s="5"/>
      <c r="X207" s="5"/>
      <c r="Y207" s="5"/>
      <c r="Z207" s="5"/>
      <c r="BK207" s="5"/>
      <c r="BL207" s="5"/>
      <c r="BM207" s="5"/>
      <c r="BN207" s="5"/>
      <c r="BP207" s="5"/>
      <c r="BQ207" s="5"/>
      <c r="BR207" s="5"/>
      <c r="BS207" s="5"/>
      <c r="BU207" s="5"/>
      <c r="BV207" s="5"/>
      <c r="BW207" s="5"/>
      <c r="BX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</row>
    <row r="208" spans="23:101" ht="12.75">
      <c r="W208" s="5"/>
      <c r="X208" s="5"/>
      <c r="Y208" s="5"/>
      <c r="Z208" s="5"/>
      <c r="BK208" s="5"/>
      <c r="BL208" s="5"/>
      <c r="BM208" s="5"/>
      <c r="BN208" s="5"/>
      <c r="BP208" s="5"/>
      <c r="BQ208" s="5"/>
      <c r="BR208" s="5"/>
      <c r="BS208" s="5"/>
      <c r="BU208" s="5"/>
      <c r="BV208" s="5"/>
      <c r="BW208" s="5"/>
      <c r="BX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</row>
    <row r="209" spans="23:101" ht="12.75">
      <c r="W209" s="5"/>
      <c r="X209" s="5"/>
      <c r="Y209" s="5"/>
      <c r="Z209" s="5"/>
      <c r="BK209" s="5"/>
      <c r="BL209" s="5"/>
      <c r="BM209" s="5"/>
      <c r="BN209" s="5"/>
      <c r="BP209" s="5"/>
      <c r="BQ209" s="5"/>
      <c r="BR209" s="5"/>
      <c r="BS209" s="5"/>
      <c r="BU209" s="5"/>
      <c r="BV209" s="5"/>
      <c r="BW209" s="5"/>
      <c r="BX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</row>
    <row r="210" spans="23:101" ht="12.75">
      <c r="W210" s="5"/>
      <c r="X210" s="5"/>
      <c r="Y210" s="5"/>
      <c r="Z210" s="5"/>
      <c r="BK210" s="5"/>
      <c r="BL210" s="5"/>
      <c r="BM210" s="5"/>
      <c r="BN210" s="5"/>
      <c r="BP210" s="5"/>
      <c r="BQ210" s="5"/>
      <c r="BR210" s="5"/>
      <c r="BS210" s="5"/>
      <c r="BU210" s="5"/>
      <c r="BV210" s="5"/>
      <c r="BW210" s="5"/>
      <c r="BX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</row>
    <row r="211" spans="23:101" ht="12.75">
      <c r="W211" s="5"/>
      <c r="X211" s="5"/>
      <c r="Y211" s="5"/>
      <c r="Z211" s="5"/>
      <c r="BK211" s="5"/>
      <c r="BL211" s="5"/>
      <c r="BM211" s="5"/>
      <c r="BN211" s="5"/>
      <c r="BP211" s="5"/>
      <c r="BQ211" s="5"/>
      <c r="BR211" s="5"/>
      <c r="BS211" s="5"/>
      <c r="BU211" s="5"/>
      <c r="BV211" s="5"/>
      <c r="BW211" s="5"/>
      <c r="BX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</row>
    <row r="212" spans="23:101" ht="12.75">
      <c r="W212" s="5"/>
      <c r="X212" s="5"/>
      <c r="Y212" s="5"/>
      <c r="Z212" s="5"/>
      <c r="BK212" s="5"/>
      <c r="BL212" s="5"/>
      <c r="BM212" s="5"/>
      <c r="BN212" s="5"/>
      <c r="BP212" s="5"/>
      <c r="BQ212" s="5"/>
      <c r="BR212" s="5"/>
      <c r="BS212" s="5"/>
      <c r="BU212" s="5"/>
      <c r="BV212" s="5"/>
      <c r="BW212" s="5"/>
      <c r="BX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</row>
    <row r="213" spans="23:101" ht="12.75">
      <c r="W213" s="5"/>
      <c r="X213" s="5"/>
      <c r="Y213" s="5"/>
      <c r="Z213" s="5"/>
      <c r="BK213" s="5"/>
      <c r="BL213" s="5"/>
      <c r="BM213" s="5"/>
      <c r="BN213" s="5"/>
      <c r="BP213" s="5"/>
      <c r="BQ213" s="5"/>
      <c r="BR213" s="5"/>
      <c r="BS213" s="5"/>
      <c r="BU213" s="5"/>
      <c r="BV213" s="5"/>
      <c r="BW213" s="5"/>
      <c r="BX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</row>
    <row r="214" spans="23:101" ht="12.75">
      <c r="W214" s="5"/>
      <c r="X214" s="5"/>
      <c r="Y214" s="5"/>
      <c r="Z214" s="5"/>
      <c r="BK214" s="5"/>
      <c r="BL214" s="5"/>
      <c r="BM214" s="5"/>
      <c r="BN214" s="5"/>
      <c r="BP214" s="5"/>
      <c r="BQ214" s="5"/>
      <c r="BR214" s="5"/>
      <c r="BS214" s="5"/>
      <c r="BU214" s="5"/>
      <c r="BV214" s="5"/>
      <c r="BW214" s="5"/>
      <c r="BX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</row>
    <row r="215" spans="23:101" ht="12.75">
      <c r="W215" s="5"/>
      <c r="X215" s="5"/>
      <c r="Y215" s="5"/>
      <c r="Z215" s="5"/>
      <c r="BK215" s="5"/>
      <c r="BL215" s="5"/>
      <c r="BM215" s="5"/>
      <c r="BN215" s="5"/>
      <c r="BP215" s="5"/>
      <c r="BQ215" s="5"/>
      <c r="BR215" s="5"/>
      <c r="BS215" s="5"/>
      <c r="BU215" s="5"/>
      <c r="BV215" s="5"/>
      <c r="BW215" s="5"/>
      <c r="BX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</row>
    <row r="216" spans="23:101" ht="12.75">
      <c r="W216" s="5"/>
      <c r="X216" s="5"/>
      <c r="Y216" s="5"/>
      <c r="Z216" s="5"/>
      <c r="BK216" s="5"/>
      <c r="BL216" s="5"/>
      <c r="BM216" s="5"/>
      <c r="BN216" s="5"/>
      <c r="BP216" s="5"/>
      <c r="BQ216" s="5"/>
      <c r="BR216" s="5"/>
      <c r="BS216" s="5"/>
      <c r="BU216" s="5"/>
      <c r="BV216" s="5"/>
      <c r="BW216" s="5"/>
      <c r="BX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</row>
    <row r="217" spans="23:101" ht="12.75">
      <c r="W217" s="5"/>
      <c r="X217" s="5"/>
      <c r="Y217" s="5"/>
      <c r="Z217" s="5"/>
      <c r="BK217" s="5"/>
      <c r="BL217" s="5"/>
      <c r="BM217" s="5"/>
      <c r="BN217" s="5"/>
      <c r="BP217" s="5"/>
      <c r="BQ217" s="5"/>
      <c r="BR217" s="5"/>
      <c r="BS217" s="5"/>
      <c r="BU217" s="5"/>
      <c r="BV217" s="5"/>
      <c r="BW217" s="5"/>
      <c r="BX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</row>
    <row r="218" spans="23:101" ht="12.75">
      <c r="W218" s="5"/>
      <c r="X218" s="5"/>
      <c r="Y218" s="5"/>
      <c r="Z218" s="5"/>
      <c r="BK218" s="5"/>
      <c r="BL218" s="5"/>
      <c r="BM218" s="5"/>
      <c r="BN218" s="5"/>
      <c r="BP218" s="5"/>
      <c r="BQ218" s="5"/>
      <c r="BR218" s="5"/>
      <c r="BS218" s="5"/>
      <c r="BU218" s="5"/>
      <c r="BV218" s="5"/>
      <c r="BW218" s="5"/>
      <c r="BX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</row>
    <row r="219" spans="23:101" ht="12.75">
      <c r="W219" s="5"/>
      <c r="X219" s="5"/>
      <c r="Y219" s="5"/>
      <c r="Z219" s="5"/>
      <c r="BK219" s="5"/>
      <c r="BL219" s="5"/>
      <c r="BM219" s="5"/>
      <c r="BN219" s="5"/>
      <c r="BP219" s="5"/>
      <c r="BQ219" s="5"/>
      <c r="BR219" s="5"/>
      <c r="BS219" s="5"/>
      <c r="BU219" s="5"/>
      <c r="BV219" s="5"/>
      <c r="BW219" s="5"/>
      <c r="BX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</row>
    <row r="220" spans="23:101" ht="12.75">
      <c r="W220" s="5"/>
      <c r="X220" s="5"/>
      <c r="Y220" s="5"/>
      <c r="Z220" s="5"/>
      <c r="BK220" s="5"/>
      <c r="BL220" s="5"/>
      <c r="BM220" s="5"/>
      <c r="BN220" s="5"/>
      <c r="BP220" s="5"/>
      <c r="BQ220" s="5"/>
      <c r="BR220" s="5"/>
      <c r="BS220" s="5"/>
      <c r="BU220" s="5"/>
      <c r="BV220" s="5"/>
      <c r="BW220" s="5"/>
      <c r="BX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</row>
    <row r="221" spans="23:101" ht="12.75">
      <c r="W221" s="5"/>
      <c r="X221" s="5"/>
      <c r="Y221" s="5"/>
      <c r="Z221" s="5"/>
      <c r="BK221" s="5"/>
      <c r="BL221" s="5"/>
      <c r="BM221" s="5"/>
      <c r="BN221" s="5"/>
      <c r="BP221" s="5"/>
      <c r="BQ221" s="5"/>
      <c r="BR221" s="5"/>
      <c r="BS221" s="5"/>
      <c r="BU221" s="5"/>
      <c r="BV221" s="5"/>
      <c r="BW221" s="5"/>
      <c r="BX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</row>
    <row r="222" spans="23:101" ht="12.75">
      <c r="W222" s="5"/>
      <c r="X222" s="5"/>
      <c r="Y222" s="5"/>
      <c r="Z222" s="5"/>
      <c r="BK222" s="5"/>
      <c r="BL222" s="5"/>
      <c r="BM222" s="5"/>
      <c r="BN222" s="5"/>
      <c r="BP222" s="5"/>
      <c r="BQ222" s="5"/>
      <c r="BR222" s="5"/>
      <c r="BS222" s="5"/>
      <c r="BU222" s="5"/>
      <c r="BV222" s="5"/>
      <c r="BW222" s="5"/>
      <c r="BX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</row>
    <row r="223" spans="23:101" ht="12.75">
      <c r="W223" s="5"/>
      <c r="X223" s="5"/>
      <c r="Y223" s="5"/>
      <c r="Z223" s="5"/>
      <c r="BK223" s="5"/>
      <c r="BL223" s="5"/>
      <c r="BM223" s="5"/>
      <c r="BN223" s="5"/>
      <c r="BP223" s="5"/>
      <c r="BQ223" s="5"/>
      <c r="BR223" s="5"/>
      <c r="BS223" s="5"/>
      <c r="BU223" s="5"/>
      <c r="BV223" s="5"/>
      <c r="BW223" s="5"/>
      <c r="BX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</row>
    <row r="224" spans="23:101" ht="12.75">
      <c r="W224" s="5"/>
      <c r="X224" s="5"/>
      <c r="Y224" s="5"/>
      <c r="Z224" s="5"/>
      <c r="BK224" s="5"/>
      <c r="BL224" s="5"/>
      <c r="BM224" s="5"/>
      <c r="BN224" s="5"/>
      <c r="BP224" s="5"/>
      <c r="BQ224" s="5"/>
      <c r="BR224" s="5"/>
      <c r="BS224" s="5"/>
      <c r="BU224" s="5"/>
      <c r="BV224" s="5"/>
      <c r="BW224" s="5"/>
      <c r="BX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</row>
    <row r="225" spans="23:101" ht="12.75">
      <c r="W225" s="5"/>
      <c r="X225" s="5"/>
      <c r="Y225" s="5"/>
      <c r="Z225" s="5"/>
      <c r="BK225" s="5"/>
      <c r="BL225" s="5"/>
      <c r="BM225" s="5"/>
      <c r="BN225" s="5"/>
      <c r="BP225" s="5"/>
      <c r="BQ225" s="5"/>
      <c r="BR225" s="5"/>
      <c r="BS225" s="5"/>
      <c r="BU225" s="5"/>
      <c r="BV225" s="5"/>
      <c r="BW225" s="5"/>
      <c r="BX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</row>
    <row r="226" spans="23:101" ht="12.75">
      <c r="W226" s="5"/>
      <c r="X226" s="5"/>
      <c r="Y226" s="5"/>
      <c r="Z226" s="5"/>
      <c r="BK226" s="5"/>
      <c r="BL226" s="5"/>
      <c r="BM226" s="5"/>
      <c r="BN226" s="5"/>
      <c r="BP226" s="5"/>
      <c r="BQ226" s="5"/>
      <c r="BR226" s="5"/>
      <c r="BS226" s="5"/>
      <c r="BU226" s="5"/>
      <c r="BV226" s="5"/>
      <c r="BW226" s="5"/>
      <c r="BX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</row>
    <row r="227" spans="23:101" ht="12.75">
      <c r="W227" s="5"/>
      <c r="X227" s="5"/>
      <c r="Y227" s="5"/>
      <c r="Z227" s="5"/>
      <c r="BK227" s="5"/>
      <c r="BL227" s="5"/>
      <c r="BM227" s="5"/>
      <c r="BN227" s="5"/>
      <c r="BP227" s="5"/>
      <c r="BQ227" s="5"/>
      <c r="BR227" s="5"/>
      <c r="BS227" s="5"/>
      <c r="BU227" s="5"/>
      <c r="BV227" s="5"/>
      <c r="BW227" s="5"/>
      <c r="BX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</row>
    <row r="228" spans="23:101" ht="12.75">
      <c r="W228" s="5"/>
      <c r="X228" s="5"/>
      <c r="Y228" s="5"/>
      <c r="Z228" s="5"/>
      <c r="BK228" s="5"/>
      <c r="BL228" s="5"/>
      <c r="BM228" s="5"/>
      <c r="BN228" s="5"/>
      <c r="BP228" s="5"/>
      <c r="BQ228" s="5"/>
      <c r="BR228" s="5"/>
      <c r="BS228" s="5"/>
      <c r="BU228" s="5"/>
      <c r="BV228" s="5"/>
      <c r="BW228" s="5"/>
      <c r="BX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</row>
    <row r="229" spans="23:101" ht="12.75">
      <c r="W229" s="5"/>
      <c r="X229" s="5"/>
      <c r="Y229" s="5"/>
      <c r="Z229" s="5"/>
      <c r="BK229" s="5"/>
      <c r="BL229" s="5"/>
      <c r="BM229" s="5"/>
      <c r="BN229" s="5"/>
      <c r="BP229" s="5"/>
      <c r="BQ229" s="5"/>
      <c r="BR229" s="5"/>
      <c r="BS229" s="5"/>
      <c r="BU229" s="5"/>
      <c r="BV229" s="5"/>
      <c r="BW229" s="5"/>
      <c r="BX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</row>
    <row r="230" spans="23:101" ht="12.75">
      <c r="W230" s="5"/>
      <c r="X230" s="5"/>
      <c r="Y230" s="5"/>
      <c r="Z230" s="5"/>
      <c r="BK230" s="5"/>
      <c r="BL230" s="5"/>
      <c r="BM230" s="5"/>
      <c r="BN230" s="5"/>
      <c r="BP230" s="5"/>
      <c r="BQ230" s="5"/>
      <c r="BR230" s="5"/>
      <c r="BS230" s="5"/>
      <c r="BU230" s="5"/>
      <c r="BV230" s="5"/>
      <c r="BW230" s="5"/>
      <c r="BX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</row>
    <row r="231" spans="23:101" ht="12.75">
      <c r="W231" s="5"/>
      <c r="X231" s="5"/>
      <c r="Y231" s="5"/>
      <c r="Z231" s="5"/>
      <c r="BK231" s="5"/>
      <c r="BL231" s="5"/>
      <c r="BM231" s="5"/>
      <c r="BN231" s="5"/>
      <c r="BP231" s="5"/>
      <c r="BQ231" s="5"/>
      <c r="BR231" s="5"/>
      <c r="BS231" s="5"/>
      <c r="BU231" s="5"/>
      <c r="BV231" s="5"/>
      <c r="BW231" s="5"/>
      <c r="BX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</row>
    <row r="232" spans="23:101" ht="12.75">
      <c r="W232" s="5"/>
      <c r="X232" s="5"/>
      <c r="Y232" s="5"/>
      <c r="Z232" s="5"/>
      <c r="BK232" s="5"/>
      <c r="BL232" s="5"/>
      <c r="BM232" s="5"/>
      <c r="BN232" s="5"/>
      <c r="BP232" s="5"/>
      <c r="BQ232" s="5"/>
      <c r="BR232" s="5"/>
      <c r="BS232" s="5"/>
      <c r="BU232" s="5"/>
      <c r="BV232" s="5"/>
      <c r="BW232" s="5"/>
      <c r="BX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</row>
    <row r="233" spans="23:101" ht="12.75">
      <c r="W233" s="5"/>
      <c r="X233" s="5"/>
      <c r="Y233" s="5"/>
      <c r="Z233" s="5"/>
      <c r="BK233" s="5"/>
      <c r="BL233" s="5"/>
      <c r="BM233" s="5"/>
      <c r="BN233" s="5"/>
      <c r="BP233" s="5"/>
      <c r="BQ233" s="5"/>
      <c r="BR233" s="5"/>
      <c r="BS233" s="5"/>
      <c r="BU233" s="5"/>
      <c r="BV233" s="5"/>
      <c r="BW233" s="5"/>
      <c r="BX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</row>
    <row r="234" spans="23:101" ht="12.75">
      <c r="W234" s="5"/>
      <c r="X234" s="5"/>
      <c r="Y234" s="5"/>
      <c r="Z234" s="5"/>
      <c r="BK234" s="5"/>
      <c r="BL234" s="5"/>
      <c r="BM234" s="5"/>
      <c r="BN234" s="5"/>
      <c r="BP234" s="5"/>
      <c r="BQ234" s="5"/>
      <c r="BR234" s="5"/>
      <c r="BS234" s="5"/>
      <c r="BU234" s="5"/>
      <c r="BV234" s="5"/>
      <c r="BW234" s="5"/>
      <c r="BX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</row>
    <row r="235" spans="23:101" ht="12.75">
      <c r="W235" s="5"/>
      <c r="X235" s="5"/>
      <c r="Y235" s="5"/>
      <c r="Z235" s="5"/>
      <c r="BK235" s="5"/>
      <c r="BL235" s="5"/>
      <c r="BM235" s="5"/>
      <c r="BN235" s="5"/>
      <c r="BP235" s="5"/>
      <c r="BQ235" s="5"/>
      <c r="BR235" s="5"/>
      <c r="BS235" s="5"/>
      <c r="BU235" s="5"/>
      <c r="BV235" s="5"/>
      <c r="BW235" s="5"/>
      <c r="BX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</row>
    <row r="236" spans="23:101" ht="12.75">
      <c r="W236" s="5"/>
      <c r="X236" s="5"/>
      <c r="Y236" s="5"/>
      <c r="Z236" s="5"/>
      <c r="BK236" s="5"/>
      <c r="BL236" s="5"/>
      <c r="BM236" s="5"/>
      <c r="BN236" s="5"/>
      <c r="BP236" s="5"/>
      <c r="BQ236" s="5"/>
      <c r="BR236" s="5"/>
      <c r="BS236" s="5"/>
      <c r="BU236" s="5"/>
      <c r="BV236" s="5"/>
      <c r="BW236" s="5"/>
      <c r="BX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</row>
    <row r="237" spans="23:101" ht="12.75">
      <c r="W237" s="5"/>
      <c r="X237" s="5"/>
      <c r="Y237" s="5"/>
      <c r="Z237" s="5"/>
      <c r="BK237" s="5"/>
      <c r="BL237" s="5"/>
      <c r="BM237" s="5"/>
      <c r="BN237" s="5"/>
      <c r="BP237" s="5"/>
      <c r="BQ237" s="5"/>
      <c r="BR237" s="5"/>
      <c r="BS237" s="5"/>
      <c r="BU237" s="5"/>
      <c r="BV237" s="5"/>
      <c r="BW237" s="5"/>
      <c r="BX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</row>
    <row r="238" spans="23:101" ht="12.75">
      <c r="W238" s="5"/>
      <c r="X238" s="5"/>
      <c r="Y238" s="5"/>
      <c r="Z238" s="5"/>
      <c r="BK238" s="5"/>
      <c r="BL238" s="5"/>
      <c r="BM238" s="5"/>
      <c r="BN238" s="5"/>
      <c r="BP238" s="5"/>
      <c r="BQ238" s="5"/>
      <c r="BR238" s="5"/>
      <c r="BS238" s="5"/>
      <c r="BU238" s="5"/>
      <c r="BV238" s="5"/>
      <c r="BW238" s="5"/>
      <c r="BX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</row>
    <row r="239" spans="23:101" ht="12.75">
      <c r="W239" s="5"/>
      <c r="X239" s="5"/>
      <c r="Y239" s="5"/>
      <c r="Z239" s="5"/>
      <c r="BK239" s="5"/>
      <c r="BL239" s="5"/>
      <c r="BM239" s="5"/>
      <c r="BN239" s="5"/>
      <c r="BP239" s="5"/>
      <c r="BQ239" s="5"/>
      <c r="BR239" s="5"/>
      <c r="BS239" s="5"/>
      <c r="BU239" s="5"/>
      <c r="BV239" s="5"/>
      <c r="BW239" s="5"/>
      <c r="BX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</row>
    <row r="240" spans="23:101" ht="12.75">
      <c r="W240" s="5"/>
      <c r="X240" s="5"/>
      <c r="Y240" s="5"/>
      <c r="Z240" s="5"/>
      <c r="BK240" s="5"/>
      <c r="BL240" s="5"/>
      <c r="BM240" s="5"/>
      <c r="BN240" s="5"/>
      <c r="BP240" s="5"/>
      <c r="BQ240" s="5"/>
      <c r="BR240" s="5"/>
      <c r="BS240" s="5"/>
      <c r="BU240" s="5"/>
      <c r="BV240" s="5"/>
      <c r="BW240" s="5"/>
      <c r="BX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</row>
    <row r="241" spans="23:101" ht="12.75">
      <c r="W241" s="5"/>
      <c r="X241" s="5"/>
      <c r="Y241" s="5"/>
      <c r="Z241" s="5"/>
      <c r="BK241" s="5"/>
      <c r="BL241" s="5"/>
      <c r="BM241" s="5"/>
      <c r="BN241" s="5"/>
      <c r="BP241" s="5"/>
      <c r="BQ241" s="5"/>
      <c r="BR241" s="5"/>
      <c r="BS241" s="5"/>
      <c r="BU241" s="5"/>
      <c r="BV241" s="5"/>
      <c r="BW241" s="5"/>
      <c r="BX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</row>
    <row r="242" spans="23:101" ht="12.75">
      <c r="W242" s="5"/>
      <c r="X242" s="5"/>
      <c r="Y242" s="5"/>
      <c r="Z242" s="5"/>
      <c r="BK242" s="5"/>
      <c r="BL242" s="5"/>
      <c r="BM242" s="5"/>
      <c r="BN242" s="5"/>
      <c r="BP242" s="5"/>
      <c r="BQ242" s="5"/>
      <c r="BR242" s="5"/>
      <c r="BS242" s="5"/>
      <c r="BU242" s="5"/>
      <c r="BV242" s="5"/>
      <c r="BW242" s="5"/>
      <c r="BX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</row>
    <row r="243" spans="23:101" ht="12.75">
      <c r="W243" s="5"/>
      <c r="X243" s="5"/>
      <c r="Y243" s="5"/>
      <c r="Z243" s="5"/>
      <c r="BK243" s="5"/>
      <c r="BL243" s="5"/>
      <c r="BM243" s="5"/>
      <c r="BN243" s="5"/>
      <c r="BP243" s="5"/>
      <c r="BQ243" s="5"/>
      <c r="BR243" s="5"/>
      <c r="BS243" s="5"/>
      <c r="BU243" s="5"/>
      <c r="BV243" s="5"/>
      <c r="BW243" s="5"/>
      <c r="BX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</row>
    <row r="244" spans="23:101" ht="12.75">
      <c r="W244" s="5"/>
      <c r="X244" s="5"/>
      <c r="Y244" s="5"/>
      <c r="Z244" s="5"/>
      <c r="BK244" s="5"/>
      <c r="BL244" s="5"/>
      <c r="BM244" s="5"/>
      <c r="BN244" s="5"/>
      <c r="BP244" s="5"/>
      <c r="BQ244" s="5"/>
      <c r="BR244" s="5"/>
      <c r="BS244" s="5"/>
      <c r="BU244" s="5"/>
      <c r="BV244" s="5"/>
      <c r="BW244" s="5"/>
      <c r="BX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</row>
    <row r="245" spans="23:101" ht="12.75">
      <c r="W245" s="5"/>
      <c r="X245" s="5"/>
      <c r="Y245" s="5"/>
      <c r="Z245" s="5"/>
      <c r="BK245" s="5"/>
      <c r="BL245" s="5"/>
      <c r="BM245" s="5"/>
      <c r="BN245" s="5"/>
      <c r="BP245" s="5"/>
      <c r="BQ245" s="5"/>
      <c r="BR245" s="5"/>
      <c r="BS245" s="5"/>
      <c r="BU245" s="5"/>
      <c r="BV245" s="5"/>
      <c r="BW245" s="5"/>
      <c r="BX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</row>
    <row r="246" spans="23:101" ht="12.75">
      <c r="W246" s="5"/>
      <c r="X246" s="5"/>
      <c r="Y246" s="5"/>
      <c r="Z246" s="5"/>
      <c r="BK246" s="5"/>
      <c r="BL246" s="5"/>
      <c r="BM246" s="5"/>
      <c r="BN246" s="5"/>
      <c r="BP246" s="5"/>
      <c r="BQ246" s="5"/>
      <c r="BR246" s="5"/>
      <c r="BS246" s="5"/>
      <c r="BU246" s="5"/>
      <c r="BV246" s="5"/>
      <c r="BW246" s="5"/>
      <c r="BX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</row>
    <row r="247" spans="23:101" ht="12.75">
      <c r="W247" s="5"/>
      <c r="X247" s="5"/>
      <c r="Y247" s="5"/>
      <c r="Z247" s="5"/>
      <c r="BK247" s="5"/>
      <c r="BL247" s="5"/>
      <c r="BM247" s="5"/>
      <c r="BN247" s="5"/>
      <c r="BP247" s="5"/>
      <c r="BQ247" s="5"/>
      <c r="BR247" s="5"/>
      <c r="BS247" s="5"/>
      <c r="BU247" s="5"/>
      <c r="BV247" s="5"/>
      <c r="BW247" s="5"/>
      <c r="BX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</row>
    <row r="248" spans="23:101" ht="12.75">
      <c r="W248" s="5"/>
      <c r="X248" s="5"/>
      <c r="Y248" s="5"/>
      <c r="Z248" s="5"/>
      <c r="BK248" s="5"/>
      <c r="BL248" s="5"/>
      <c r="BM248" s="5"/>
      <c r="BN248" s="5"/>
      <c r="BP248" s="5"/>
      <c r="BQ248" s="5"/>
      <c r="BR248" s="5"/>
      <c r="BS248" s="5"/>
      <c r="BU248" s="5"/>
      <c r="BV248" s="5"/>
      <c r="BW248" s="5"/>
      <c r="BX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</row>
    <row r="249" spans="23:101" ht="12.75">
      <c r="W249" s="5"/>
      <c r="X249" s="5"/>
      <c r="Y249" s="5"/>
      <c r="Z249" s="5"/>
      <c r="BK249" s="5"/>
      <c r="BL249" s="5"/>
      <c r="BM249" s="5"/>
      <c r="BN249" s="5"/>
      <c r="BP249" s="5"/>
      <c r="BQ249" s="5"/>
      <c r="BR249" s="5"/>
      <c r="BS249" s="5"/>
      <c r="BU249" s="5"/>
      <c r="BV249" s="5"/>
      <c r="BW249" s="5"/>
      <c r="BX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</row>
    <row r="250" spans="23:101" ht="12.75">
      <c r="W250" s="5"/>
      <c r="X250" s="5"/>
      <c r="Y250" s="5"/>
      <c r="Z250" s="5"/>
      <c r="BK250" s="5"/>
      <c r="BL250" s="5"/>
      <c r="BM250" s="5"/>
      <c r="BN250" s="5"/>
      <c r="BP250" s="5"/>
      <c r="BQ250" s="5"/>
      <c r="BR250" s="5"/>
      <c r="BS250" s="5"/>
      <c r="BU250" s="5"/>
      <c r="BV250" s="5"/>
      <c r="BW250" s="5"/>
      <c r="BX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</row>
    <row r="251" spans="23:101" ht="12.75">
      <c r="W251" s="5"/>
      <c r="X251" s="5"/>
      <c r="Y251" s="5"/>
      <c r="Z251" s="5"/>
      <c r="BK251" s="5"/>
      <c r="BL251" s="5"/>
      <c r="BM251" s="5"/>
      <c r="BN251" s="5"/>
      <c r="BP251" s="5"/>
      <c r="BQ251" s="5"/>
      <c r="BR251" s="5"/>
      <c r="BS251" s="5"/>
      <c r="BU251" s="5"/>
      <c r="BV251" s="5"/>
      <c r="BW251" s="5"/>
      <c r="BX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</row>
    <row r="252" spans="23:101" ht="12.75">
      <c r="W252" s="5"/>
      <c r="X252" s="5"/>
      <c r="Y252" s="5"/>
      <c r="Z252" s="5"/>
      <c r="BK252" s="5"/>
      <c r="BL252" s="5"/>
      <c r="BM252" s="5"/>
      <c r="BN252" s="5"/>
      <c r="BP252" s="5"/>
      <c r="BQ252" s="5"/>
      <c r="BR252" s="5"/>
      <c r="BS252" s="5"/>
      <c r="BU252" s="5"/>
      <c r="BV252" s="5"/>
      <c r="BW252" s="5"/>
      <c r="BX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</row>
    <row r="253" spans="23:101" ht="12.75">
      <c r="W253" s="5"/>
      <c r="X253" s="5"/>
      <c r="Y253" s="5"/>
      <c r="Z253" s="5"/>
      <c r="BK253" s="5"/>
      <c r="BL253" s="5"/>
      <c r="BM253" s="5"/>
      <c r="BN253" s="5"/>
      <c r="BP253" s="5"/>
      <c r="BQ253" s="5"/>
      <c r="BR253" s="5"/>
      <c r="BS253" s="5"/>
      <c r="BU253" s="5"/>
      <c r="BV253" s="5"/>
      <c r="BW253" s="5"/>
      <c r="BX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</row>
    <row r="254" spans="23:101" ht="12.75">
      <c r="W254" s="5"/>
      <c r="X254" s="5"/>
      <c r="Y254" s="5"/>
      <c r="Z254" s="5"/>
      <c r="BK254" s="5"/>
      <c r="BL254" s="5"/>
      <c r="BM254" s="5"/>
      <c r="BN254" s="5"/>
      <c r="BP254" s="5"/>
      <c r="BQ254" s="5"/>
      <c r="BR254" s="5"/>
      <c r="BS254" s="5"/>
      <c r="BU254" s="5"/>
      <c r="BV254" s="5"/>
      <c r="BW254" s="5"/>
      <c r="BX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</row>
    <row r="255" spans="23:101" ht="12.75">
      <c r="W255" s="5"/>
      <c r="X255" s="5"/>
      <c r="Y255" s="5"/>
      <c r="Z255" s="5"/>
      <c r="BK255" s="5"/>
      <c r="BL255" s="5"/>
      <c r="BM255" s="5"/>
      <c r="BN255" s="5"/>
      <c r="BP255" s="5"/>
      <c r="BQ255" s="5"/>
      <c r="BR255" s="5"/>
      <c r="BS255" s="5"/>
      <c r="BU255" s="5"/>
      <c r="BV255" s="5"/>
      <c r="BW255" s="5"/>
      <c r="BX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</row>
    <row r="256" spans="23:101" ht="12.75">
      <c r="W256" s="5"/>
      <c r="X256" s="5"/>
      <c r="Y256" s="5"/>
      <c r="Z256" s="5"/>
      <c r="BK256" s="5"/>
      <c r="BL256" s="5"/>
      <c r="BM256" s="5"/>
      <c r="BN256" s="5"/>
      <c r="BP256" s="5"/>
      <c r="BQ256" s="5"/>
      <c r="BR256" s="5"/>
      <c r="BS256" s="5"/>
      <c r="BU256" s="5"/>
      <c r="BV256" s="5"/>
      <c r="BW256" s="5"/>
      <c r="BX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</row>
    <row r="257" spans="23:101" ht="12.75">
      <c r="W257" s="5"/>
      <c r="X257" s="5"/>
      <c r="Y257" s="5"/>
      <c r="Z257" s="5"/>
      <c r="BK257" s="5"/>
      <c r="BL257" s="5"/>
      <c r="BM257" s="5"/>
      <c r="BN257" s="5"/>
      <c r="BP257" s="5"/>
      <c r="BQ257" s="5"/>
      <c r="BR257" s="5"/>
      <c r="BS257" s="5"/>
      <c r="BU257" s="5"/>
      <c r="BV257" s="5"/>
      <c r="BW257" s="5"/>
      <c r="BX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</row>
    <row r="258" spans="23:101" ht="12.75">
      <c r="W258" s="5"/>
      <c r="X258" s="5"/>
      <c r="Y258" s="5"/>
      <c r="Z258" s="5"/>
      <c r="BK258" s="5"/>
      <c r="BL258" s="5"/>
      <c r="BM258" s="5"/>
      <c r="BN258" s="5"/>
      <c r="BP258" s="5"/>
      <c r="BQ258" s="5"/>
      <c r="BR258" s="5"/>
      <c r="BS258" s="5"/>
      <c r="BU258" s="5"/>
      <c r="BV258" s="5"/>
      <c r="BW258" s="5"/>
      <c r="BX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</row>
    <row r="259" spans="23:101" ht="12.75">
      <c r="W259" s="5"/>
      <c r="X259" s="5"/>
      <c r="Y259" s="5"/>
      <c r="Z259" s="5"/>
      <c r="BK259" s="5"/>
      <c r="BL259" s="5"/>
      <c r="BM259" s="5"/>
      <c r="BN259" s="5"/>
      <c r="BP259" s="5"/>
      <c r="BQ259" s="5"/>
      <c r="BR259" s="5"/>
      <c r="BS259" s="5"/>
      <c r="BU259" s="5"/>
      <c r="BV259" s="5"/>
      <c r="BW259" s="5"/>
      <c r="BX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</row>
    <row r="260" spans="23:101" ht="12.75">
      <c r="W260" s="5"/>
      <c r="X260" s="5"/>
      <c r="Y260" s="5"/>
      <c r="Z260" s="5"/>
      <c r="BK260" s="5"/>
      <c r="BL260" s="5"/>
      <c r="BM260" s="5"/>
      <c r="BN260" s="5"/>
      <c r="BP260" s="5"/>
      <c r="BQ260" s="5"/>
      <c r="BR260" s="5"/>
      <c r="BS260" s="5"/>
      <c r="BU260" s="5"/>
      <c r="BV260" s="5"/>
      <c r="BW260" s="5"/>
      <c r="BX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</row>
    <row r="261" spans="23:101" ht="12.75">
      <c r="W261" s="5"/>
      <c r="X261" s="5"/>
      <c r="Y261" s="5"/>
      <c r="Z261" s="5"/>
      <c r="BK261" s="5"/>
      <c r="BL261" s="5"/>
      <c r="BM261" s="5"/>
      <c r="BN261" s="5"/>
      <c r="BP261" s="5"/>
      <c r="BQ261" s="5"/>
      <c r="BR261" s="5"/>
      <c r="BS261" s="5"/>
      <c r="BU261" s="5"/>
      <c r="BV261" s="5"/>
      <c r="BW261" s="5"/>
      <c r="BX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</row>
    <row r="262" spans="23:101" ht="12.75">
      <c r="W262" s="5"/>
      <c r="X262" s="5"/>
      <c r="Y262" s="5"/>
      <c r="Z262" s="5"/>
      <c r="BK262" s="5"/>
      <c r="BL262" s="5"/>
      <c r="BM262" s="5"/>
      <c r="BN262" s="5"/>
      <c r="BP262" s="5"/>
      <c r="BQ262" s="5"/>
      <c r="BR262" s="5"/>
      <c r="BS262" s="5"/>
      <c r="BU262" s="5"/>
      <c r="BV262" s="5"/>
      <c r="BW262" s="5"/>
      <c r="BX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</row>
    <row r="263" spans="23:101" ht="12.75">
      <c r="W263" s="5"/>
      <c r="X263" s="5"/>
      <c r="Y263" s="5"/>
      <c r="Z263" s="5"/>
      <c r="BK263" s="5"/>
      <c r="BL263" s="5"/>
      <c r="BM263" s="5"/>
      <c r="BN263" s="5"/>
      <c r="BP263" s="5"/>
      <c r="BQ263" s="5"/>
      <c r="BR263" s="5"/>
      <c r="BS263" s="5"/>
      <c r="BU263" s="5"/>
      <c r="BV263" s="5"/>
      <c r="BW263" s="5"/>
      <c r="BX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</row>
    <row r="264" spans="23:101" ht="12.75">
      <c r="W264" s="5"/>
      <c r="X264" s="5"/>
      <c r="Y264" s="5"/>
      <c r="Z264" s="5"/>
      <c r="BK264" s="5"/>
      <c r="BL264" s="5"/>
      <c r="BM264" s="5"/>
      <c r="BN264" s="5"/>
      <c r="BP264" s="5"/>
      <c r="BQ264" s="5"/>
      <c r="BR264" s="5"/>
      <c r="BS264" s="5"/>
      <c r="BU264" s="5"/>
      <c r="BV264" s="5"/>
      <c r="BW264" s="5"/>
      <c r="BX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</row>
    <row r="265" spans="23:101" ht="12.75">
      <c r="W265" s="5"/>
      <c r="X265" s="5"/>
      <c r="Y265" s="5"/>
      <c r="Z265" s="5"/>
      <c r="BK265" s="5"/>
      <c r="BL265" s="5"/>
      <c r="BM265" s="5"/>
      <c r="BN265" s="5"/>
      <c r="BP265" s="5"/>
      <c r="BQ265" s="5"/>
      <c r="BR265" s="5"/>
      <c r="BS265" s="5"/>
      <c r="BU265" s="5"/>
      <c r="BV265" s="5"/>
      <c r="BW265" s="5"/>
      <c r="BX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</row>
    <row r="266" spans="23:101" ht="12.75">
      <c r="W266" s="5"/>
      <c r="X266" s="5"/>
      <c r="Y266" s="5"/>
      <c r="Z266" s="5"/>
      <c r="BK266" s="5"/>
      <c r="BL266" s="5"/>
      <c r="BM266" s="5"/>
      <c r="BN266" s="5"/>
      <c r="BP266" s="5"/>
      <c r="BQ266" s="5"/>
      <c r="BR266" s="5"/>
      <c r="BS266" s="5"/>
      <c r="BU266" s="5"/>
      <c r="BV266" s="5"/>
      <c r="BW266" s="5"/>
      <c r="BX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</row>
    <row r="267" spans="23:101" ht="12.75">
      <c r="W267" s="5"/>
      <c r="X267" s="5"/>
      <c r="Y267" s="5"/>
      <c r="Z267" s="5"/>
      <c r="BK267" s="5"/>
      <c r="BL267" s="5"/>
      <c r="BM267" s="5"/>
      <c r="BN267" s="5"/>
      <c r="BP267" s="5"/>
      <c r="BQ267" s="5"/>
      <c r="BR267" s="5"/>
      <c r="BS267" s="5"/>
      <c r="BU267" s="5"/>
      <c r="BV267" s="5"/>
      <c r="BW267" s="5"/>
      <c r="BX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</row>
    <row r="268" spans="23:101" ht="12.75">
      <c r="W268" s="5"/>
      <c r="X268" s="5"/>
      <c r="Y268" s="5"/>
      <c r="Z268" s="5"/>
      <c r="BK268" s="5"/>
      <c r="BL268" s="5"/>
      <c r="BM268" s="5"/>
      <c r="BN268" s="5"/>
      <c r="BP268" s="5"/>
      <c r="BQ268" s="5"/>
      <c r="BR268" s="5"/>
      <c r="BS268" s="5"/>
      <c r="BU268" s="5"/>
      <c r="BV268" s="5"/>
      <c r="BW268" s="5"/>
      <c r="BX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</row>
    <row r="269" spans="23:101" ht="12.75">
      <c r="W269" s="5"/>
      <c r="X269" s="5"/>
      <c r="Y269" s="5"/>
      <c r="Z269" s="5"/>
      <c r="BK269" s="5"/>
      <c r="BL269" s="5"/>
      <c r="BM269" s="5"/>
      <c r="BN269" s="5"/>
      <c r="BP269" s="5"/>
      <c r="BQ269" s="5"/>
      <c r="BR269" s="5"/>
      <c r="BS269" s="5"/>
      <c r="BU269" s="5"/>
      <c r="BV269" s="5"/>
      <c r="BW269" s="5"/>
      <c r="BX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</row>
    <row r="270" spans="23:101" ht="12.75">
      <c r="W270" s="5"/>
      <c r="X270" s="5"/>
      <c r="Y270" s="5"/>
      <c r="Z270" s="5"/>
      <c r="BK270" s="5"/>
      <c r="BL270" s="5"/>
      <c r="BM270" s="5"/>
      <c r="BN270" s="5"/>
      <c r="BP270" s="5"/>
      <c r="BQ270" s="5"/>
      <c r="BR270" s="5"/>
      <c r="BS270" s="5"/>
      <c r="BU270" s="5"/>
      <c r="BV270" s="5"/>
      <c r="BW270" s="5"/>
      <c r="BX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</row>
    <row r="271" spans="23:101" ht="12.75">
      <c r="W271" s="5"/>
      <c r="X271" s="5"/>
      <c r="Y271" s="5"/>
      <c r="Z271" s="5"/>
      <c r="BK271" s="5"/>
      <c r="BL271" s="5"/>
      <c r="BM271" s="5"/>
      <c r="BN271" s="5"/>
      <c r="BP271" s="5"/>
      <c r="BQ271" s="5"/>
      <c r="BR271" s="5"/>
      <c r="BS271" s="5"/>
      <c r="BU271" s="5"/>
      <c r="BV271" s="5"/>
      <c r="BW271" s="5"/>
      <c r="BX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</row>
    <row r="272" spans="23:101" ht="12.75">
      <c r="W272" s="5"/>
      <c r="X272" s="5"/>
      <c r="Y272" s="5"/>
      <c r="Z272" s="5"/>
      <c r="BK272" s="5"/>
      <c r="BL272" s="5"/>
      <c r="BM272" s="5"/>
      <c r="BN272" s="5"/>
      <c r="BP272" s="5"/>
      <c r="BQ272" s="5"/>
      <c r="BR272" s="5"/>
      <c r="BS272" s="5"/>
      <c r="BU272" s="5"/>
      <c r="BV272" s="5"/>
      <c r="BW272" s="5"/>
      <c r="BX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</row>
    <row r="273" spans="23:101" ht="12.75">
      <c r="W273" s="5"/>
      <c r="X273" s="5"/>
      <c r="Y273" s="5"/>
      <c r="Z273" s="5"/>
      <c r="BK273" s="5"/>
      <c r="BL273" s="5"/>
      <c r="BM273" s="5"/>
      <c r="BN273" s="5"/>
      <c r="BP273" s="5"/>
      <c r="BQ273" s="5"/>
      <c r="BR273" s="5"/>
      <c r="BS273" s="5"/>
      <c r="BU273" s="5"/>
      <c r="BV273" s="5"/>
      <c r="BW273" s="5"/>
      <c r="BX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</row>
    <row r="274" spans="23:101" ht="12.75">
      <c r="W274" s="5"/>
      <c r="X274" s="5"/>
      <c r="Y274" s="5"/>
      <c r="Z274" s="5"/>
      <c r="BK274" s="5"/>
      <c r="BL274" s="5"/>
      <c r="BM274" s="5"/>
      <c r="BN274" s="5"/>
      <c r="BP274" s="5"/>
      <c r="BQ274" s="5"/>
      <c r="BR274" s="5"/>
      <c r="BS274" s="5"/>
      <c r="BU274" s="5"/>
      <c r="BV274" s="5"/>
      <c r="BW274" s="5"/>
      <c r="BX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</row>
    <row r="275" spans="23:101" ht="12.75">
      <c r="W275" s="5"/>
      <c r="X275" s="5"/>
      <c r="Y275" s="5"/>
      <c r="Z275" s="5"/>
      <c r="BK275" s="5"/>
      <c r="BL275" s="5"/>
      <c r="BM275" s="5"/>
      <c r="BN275" s="5"/>
      <c r="BP275" s="5"/>
      <c r="BQ275" s="5"/>
      <c r="BR275" s="5"/>
      <c r="BS275" s="5"/>
      <c r="BU275" s="5"/>
      <c r="BV275" s="5"/>
      <c r="BW275" s="5"/>
      <c r="BX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</row>
    <row r="276" spans="23:101" ht="12.75">
      <c r="W276" s="5"/>
      <c r="X276" s="5"/>
      <c r="Y276" s="5"/>
      <c r="Z276" s="5"/>
      <c r="BK276" s="5"/>
      <c r="BL276" s="5"/>
      <c r="BM276" s="5"/>
      <c r="BN276" s="5"/>
      <c r="BP276" s="5"/>
      <c r="BQ276" s="5"/>
      <c r="BR276" s="5"/>
      <c r="BS276" s="5"/>
      <c r="BU276" s="5"/>
      <c r="BV276" s="5"/>
      <c r="BW276" s="5"/>
      <c r="BX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</row>
    <row r="277" spans="23:101" ht="12.75">
      <c r="W277" s="5"/>
      <c r="X277" s="5"/>
      <c r="Y277" s="5"/>
      <c r="Z277" s="5"/>
      <c r="BK277" s="5"/>
      <c r="BL277" s="5"/>
      <c r="BM277" s="5"/>
      <c r="BN277" s="5"/>
      <c r="BP277" s="5"/>
      <c r="BQ277" s="5"/>
      <c r="BR277" s="5"/>
      <c r="BS277" s="5"/>
      <c r="BU277" s="5"/>
      <c r="BV277" s="5"/>
      <c r="BW277" s="5"/>
      <c r="BX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</row>
    <row r="278" spans="23:101" ht="12.75">
      <c r="W278" s="5"/>
      <c r="X278" s="5"/>
      <c r="Y278" s="5"/>
      <c r="Z278" s="5"/>
      <c r="BK278" s="5"/>
      <c r="BL278" s="5"/>
      <c r="BM278" s="5"/>
      <c r="BN278" s="5"/>
      <c r="BP278" s="5"/>
      <c r="BQ278" s="5"/>
      <c r="BR278" s="5"/>
      <c r="BS278" s="5"/>
      <c r="BU278" s="5"/>
      <c r="BV278" s="5"/>
      <c r="BW278" s="5"/>
      <c r="BX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</row>
    <row r="279" spans="23:101" ht="12.75">
      <c r="W279" s="5"/>
      <c r="X279" s="5"/>
      <c r="Y279" s="5"/>
      <c r="Z279" s="5"/>
      <c r="BK279" s="5"/>
      <c r="BL279" s="5"/>
      <c r="BM279" s="5"/>
      <c r="BN279" s="5"/>
      <c r="BP279" s="5"/>
      <c r="BQ279" s="5"/>
      <c r="BR279" s="5"/>
      <c r="BS279" s="5"/>
      <c r="BU279" s="5"/>
      <c r="BV279" s="5"/>
      <c r="BW279" s="5"/>
      <c r="BX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</row>
    <row r="280" spans="23:101" ht="12.75">
      <c r="W280" s="5"/>
      <c r="X280" s="5"/>
      <c r="Y280" s="5"/>
      <c r="Z280" s="5"/>
      <c r="BK280" s="5"/>
      <c r="BL280" s="5"/>
      <c r="BM280" s="5"/>
      <c r="BN280" s="5"/>
      <c r="BP280" s="5"/>
      <c r="BQ280" s="5"/>
      <c r="BR280" s="5"/>
      <c r="BS280" s="5"/>
      <c r="BU280" s="5"/>
      <c r="BV280" s="5"/>
      <c r="BW280" s="5"/>
      <c r="BX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</row>
    <row r="281" spans="23:101" ht="12.75">
      <c r="W281" s="5"/>
      <c r="X281" s="5"/>
      <c r="Y281" s="5"/>
      <c r="Z281" s="5"/>
      <c r="BK281" s="5"/>
      <c r="BL281" s="5"/>
      <c r="BM281" s="5"/>
      <c r="BN281" s="5"/>
      <c r="BP281" s="5"/>
      <c r="BQ281" s="5"/>
      <c r="BR281" s="5"/>
      <c r="BS281" s="5"/>
      <c r="BU281" s="5"/>
      <c r="BV281" s="5"/>
      <c r="BW281" s="5"/>
      <c r="BX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</row>
    <row r="282" spans="23:101" ht="12.75">
      <c r="W282" s="5"/>
      <c r="X282" s="5"/>
      <c r="Y282" s="5"/>
      <c r="Z282" s="5"/>
      <c r="BK282" s="5"/>
      <c r="BL282" s="5"/>
      <c r="BM282" s="5"/>
      <c r="BN282" s="5"/>
      <c r="BP282" s="5"/>
      <c r="BQ282" s="5"/>
      <c r="BR282" s="5"/>
      <c r="BS282" s="5"/>
      <c r="BU282" s="5"/>
      <c r="BV282" s="5"/>
      <c r="BW282" s="5"/>
      <c r="BX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</row>
    <row r="283" spans="23:101" ht="12.75">
      <c r="W283" s="5"/>
      <c r="X283" s="5"/>
      <c r="Y283" s="5"/>
      <c r="Z283" s="5"/>
      <c r="BK283" s="5"/>
      <c r="BL283" s="5"/>
      <c r="BM283" s="5"/>
      <c r="BN283" s="5"/>
      <c r="BP283" s="5"/>
      <c r="BQ283" s="5"/>
      <c r="BR283" s="5"/>
      <c r="BS283" s="5"/>
      <c r="BU283" s="5"/>
      <c r="BV283" s="5"/>
      <c r="BW283" s="5"/>
      <c r="BX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</row>
    <row r="284" spans="23:101" ht="12.75">
      <c r="W284" s="5"/>
      <c r="X284" s="5"/>
      <c r="Y284" s="5"/>
      <c r="Z284" s="5"/>
      <c r="BK284" s="5"/>
      <c r="BL284" s="5"/>
      <c r="BM284" s="5"/>
      <c r="BN284" s="5"/>
      <c r="BP284" s="5"/>
      <c r="BQ284" s="5"/>
      <c r="BR284" s="5"/>
      <c r="BS284" s="5"/>
      <c r="BU284" s="5"/>
      <c r="BV284" s="5"/>
      <c r="BW284" s="5"/>
      <c r="BX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</row>
    <row r="285" spans="23:101" ht="12.75">
      <c r="W285" s="5"/>
      <c r="X285" s="5"/>
      <c r="Y285" s="5"/>
      <c r="Z285" s="5"/>
      <c r="BK285" s="5"/>
      <c r="BL285" s="5"/>
      <c r="BM285" s="5"/>
      <c r="BN285" s="5"/>
      <c r="BP285" s="5"/>
      <c r="BQ285" s="5"/>
      <c r="BR285" s="5"/>
      <c r="BS285" s="5"/>
      <c r="BU285" s="5"/>
      <c r="BV285" s="5"/>
      <c r="BW285" s="5"/>
      <c r="BX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</row>
    <row r="286" spans="23:101" ht="12.75">
      <c r="W286" s="5"/>
      <c r="X286" s="5"/>
      <c r="Y286" s="5"/>
      <c r="Z286" s="5"/>
      <c r="BK286" s="5"/>
      <c r="BL286" s="5"/>
      <c r="BM286" s="5"/>
      <c r="BN286" s="5"/>
      <c r="BP286" s="5"/>
      <c r="BQ286" s="5"/>
      <c r="BR286" s="5"/>
      <c r="BS286" s="5"/>
      <c r="BU286" s="5"/>
      <c r="BV286" s="5"/>
      <c r="BW286" s="5"/>
      <c r="BX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</row>
    <row r="287" spans="23:101" ht="12.75">
      <c r="W287" s="5"/>
      <c r="X287" s="5"/>
      <c r="Y287" s="5"/>
      <c r="Z287" s="5"/>
      <c r="BK287" s="5"/>
      <c r="BL287" s="5"/>
      <c r="BM287" s="5"/>
      <c r="BN287" s="5"/>
      <c r="BP287" s="5"/>
      <c r="BQ287" s="5"/>
      <c r="BR287" s="5"/>
      <c r="BS287" s="5"/>
      <c r="BU287" s="5"/>
      <c r="BV287" s="5"/>
      <c r="BW287" s="5"/>
      <c r="BX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</row>
    <row r="288" spans="23:101" ht="12.75">
      <c r="W288" s="5"/>
      <c r="X288" s="5"/>
      <c r="Y288" s="5"/>
      <c r="Z288" s="5"/>
      <c r="BK288" s="5"/>
      <c r="BL288" s="5"/>
      <c r="BM288" s="5"/>
      <c r="BN288" s="5"/>
      <c r="BP288" s="5"/>
      <c r="BQ288" s="5"/>
      <c r="BR288" s="5"/>
      <c r="BS288" s="5"/>
      <c r="BU288" s="5"/>
      <c r="BV288" s="5"/>
      <c r="BW288" s="5"/>
      <c r="BX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</row>
    <row r="289" spans="23:101" ht="12.75">
      <c r="W289" s="5"/>
      <c r="X289" s="5"/>
      <c r="Y289" s="5"/>
      <c r="Z289" s="5"/>
      <c r="BK289" s="5"/>
      <c r="BL289" s="5"/>
      <c r="BM289" s="5"/>
      <c r="BN289" s="5"/>
      <c r="BP289" s="5"/>
      <c r="BQ289" s="5"/>
      <c r="BR289" s="5"/>
      <c r="BS289" s="5"/>
      <c r="BU289" s="5"/>
      <c r="BV289" s="5"/>
      <c r="BW289" s="5"/>
      <c r="BX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</row>
    <row r="290" spans="23:101" ht="12.75">
      <c r="W290" s="5"/>
      <c r="X290" s="5"/>
      <c r="Y290" s="5"/>
      <c r="Z290" s="5"/>
      <c r="BK290" s="5"/>
      <c r="BL290" s="5"/>
      <c r="BM290" s="5"/>
      <c r="BN290" s="5"/>
      <c r="BP290" s="5"/>
      <c r="BQ290" s="5"/>
      <c r="BR290" s="5"/>
      <c r="BS290" s="5"/>
      <c r="BU290" s="5"/>
      <c r="BV290" s="5"/>
      <c r="BW290" s="5"/>
      <c r="BX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</row>
    <row r="291" spans="23:101" ht="12.75">
      <c r="W291" s="5"/>
      <c r="X291" s="5"/>
      <c r="Y291" s="5"/>
      <c r="Z291" s="5"/>
      <c r="BK291" s="5"/>
      <c r="BL291" s="5"/>
      <c r="BM291" s="5"/>
      <c r="BN291" s="5"/>
      <c r="BP291" s="5"/>
      <c r="BQ291" s="5"/>
      <c r="BR291" s="5"/>
      <c r="BS291" s="5"/>
      <c r="BU291" s="5"/>
      <c r="BV291" s="5"/>
      <c r="BW291" s="5"/>
      <c r="BX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</row>
    <row r="292" spans="23:101" ht="12.75">
      <c r="W292" s="5"/>
      <c r="X292" s="5"/>
      <c r="Y292" s="5"/>
      <c r="Z292" s="5"/>
      <c r="BK292" s="5"/>
      <c r="BL292" s="5"/>
      <c r="BM292" s="5"/>
      <c r="BN292" s="5"/>
      <c r="BP292" s="5"/>
      <c r="BQ292" s="5"/>
      <c r="BR292" s="5"/>
      <c r="BS292" s="5"/>
      <c r="BU292" s="5"/>
      <c r="BV292" s="5"/>
      <c r="BW292" s="5"/>
      <c r="BX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</row>
    <row r="293" spans="23:101" ht="12.75">
      <c r="W293" s="5"/>
      <c r="X293" s="5"/>
      <c r="Y293" s="5"/>
      <c r="Z293" s="5"/>
      <c r="BK293" s="5"/>
      <c r="BL293" s="5"/>
      <c r="BM293" s="5"/>
      <c r="BN293" s="5"/>
      <c r="BP293" s="5"/>
      <c r="BQ293" s="5"/>
      <c r="BR293" s="5"/>
      <c r="BS293" s="5"/>
      <c r="BU293" s="5"/>
      <c r="BV293" s="5"/>
      <c r="BW293" s="5"/>
      <c r="BX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</row>
    <row r="294" spans="23:101" ht="12.75">
      <c r="W294" s="5"/>
      <c r="X294" s="5"/>
      <c r="Y294" s="5"/>
      <c r="Z294" s="5"/>
      <c r="BK294" s="5"/>
      <c r="BL294" s="5"/>
      <c r="BM294" s="5"/>
      <c r="BN294" s="5"/>
      <c r="BP294" s="5"/>
      <c r="BQ294" s="5"/>
      <c r="BR294" s="5"/>
      <c r="BS294" s="5"/>
      <c r="BU294" s="5"/>
      <c r="BV294" s="5"/>
      <c r="BW294" s="5"/>
      <c r="BX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</row>
    <row r="295" spans="23:101" ht="12.75">
      <c r="W295" s="5"/>
      <c r="X295" s="5"/>
      <c r="Y295" s="5"/>
      <c r="Z295" s="5"/>
      <c r="BK295" s="5"/>
      <c r="BL295" s="5"/>
      <c r="BM295" s="5"/>
      <c r="BN295" s="5"/>
      <c r="BP295" s="5"/>
      <c r="BQ295" s="5"/>
      <c r="BR295" s="5"/>
      <c r="BS295" s="5"/>
      <c r="BU295" s="5"/>
      <c r="BV295" s="5"/>
      <c r="BW295" s="5"/>
      <c r="BX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</row>
    <row r="296" spans="23:101" ht="12.75">
      <c r="W296" s="5"/>
      <c r="X296" s="5"/>
      <c r="Y296" s="5"/>
      <c r="Z296" s="5"/>
      <c r="BK296" s="5"/>
      <c r="BL296" s="5"/>
      <c r="BM296" s="5"/>
      <c r="BN296" s="5"/>
      <c r="BP296" s="5"/>
      <c r="BQ296" s="5"/>
      <c r="BR296" s="5"/>
      <c r="BS296" s="5"/>
      <c r="BU296" s="5"/>
      <c r="BV296" s="5"/>
      <c r="BW296" s="5"/>
      <c r="BX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</row>
    <row r="297" spans="23:101" ht="12.75">
      <c r="W297" s="5"/>
      <c r="X297" s="5"/>
      <c r="Y297" s="5"/>
      <c r="Z297" s="5"/>
      <c r="BK297" s="5"/>
      <c r="BL297" s="5"/>
      <c r="BM297" s="5"/>
      <c r="BN297" s="5"/>
      <c r="BP297" s="5"/>
      <c r="BQ297" s="5"/>
      <c r="BR297" s="5"/>
      <c r="BS297" s="5"/>
      <c r="BU297" s="5"/>
      <c r="BV297" s="5"/>
      <c r="BW297" s="5"/>
      <c r="BX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</row>
    <row r="298" spans="23:101" ht="12.75">
      <c r="W298" s="5"/>
      <c r="X298" s="5"/>
      <c r="Y298" s="5"/>
      <c r="Z298" s="5"/>
      <c r="BK298" s="5"/>
      <c r="BL298" s="5"/>
      <c r="BM298" s="5"/>
      <c r="BN298" s="5"/>
      <c r="BP298" s="5"/>
      <c r="BQ298" s="5"/>
      <c r="BR298" s="5"/>
      <c r="BS298" s="5"/>
      <c r="BU298" s="5"/>
      <c r="BV298" s="5"/>
      <c r="BW298" s="5"/>
      <c r="BX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</row>
    <row r="299" spans="23:101" ht="12.75">
      <c r="W299" s="5"/>
      <c r="X299" s="5"/>
      <c r="Y299" s="5"/>
      <c r="Z299" s="5"/>
      <c r="BK299" s="5"/>
      <c r="BL299" s="5"/>
      <c r="BM299" s="5"/>
      <c r="BN299" s="5"/>
      <c r="BP299" s="5"/>
      <c r="BQ299" s="5"/>
      <c r="BR299" s="5"/>
      <c r="BS299" s="5"/>
      <c r="BU299" s="5"/>
      <c r="BV299" s="5"/>
      <c r="BW299" s="5"/>
      <c r="BX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</row>
    <row r="300" spans="23:101" ht="12.75">
      <c r="W300" s="5"/>
      <c r="X300" s="5"/>
      <c r="Y300" s="5"/>
      <c r="Z300" s="5"/>
      <c r="BK300" s="5"/>
      <c r="BL300" s="5"/>
      <c r="BM300" s="5"/>
      <c r="BN300" s="5"/>
      <c r="BP300" s="5"/>
      <c r="BQ300" s="5"/>
      <c r="BR300" s="5"/>
      <c r="BS300" s="5"/>
      <c r="BU300" s="5"/>
      <c r="BV300" s="5"/>
      <c r="BW300" s="5"/>
      <c r="BX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</row>
    <row r="301" spans="23:101" ht="12.75">
      <c r="W301" s="5"/>
      <c r="X301" s="5"/>
      <c r="Y301" s="5"/>
      <c r="Z301" s="5"/>
      <c r="BK301" s="5"/>
      <c r="BL301" s="5"/>
      <c r="BM301" s="5"/>
      <c r="BN301" s="5"/>
      <c r="BP301" s="5"/>
      <c r="BQ301" s="5"/>
      <c r="BR301" s="5"/>
      <c r="BS301" s="5"/>
      <c r="BU301" s="5"/>
      <c r="BV301" s="5"/>
      <c r="BW301" s="5"/>
      <c r="BX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</row>
    <row r="302" spans="23:101" ht="12.75">
      <c r="W302" s="5"/>
      <c r="X302" s="5"/>
      <c r="Y302" s="5"/>
      <c r="Z302" s="5"/>
      <c r="BK302" s="5"/>
      <c r="BL302" s="5"/>
      <c r="BM302" s="5"/>
      <c r="BN302" s="5"/>
      <c r="BP302" s="5"/>
      <c r="BQ302" s="5"/>
      <c r="BR302" s="5"/>
      <c r="BS302" s="5"/>
      <c r="BU302" s="5"/>
      <c r="BV302" s="5"/>
      <c r="BW302" s="5"/>
      <c r="BX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</row>
    <row r="303" spans="23:101" ht="12.75">
      <c r="W303" s="5"/>
      <c r="X303" s="5"/>
      <c r="Y303" s="5"/>
      <c r="Z303" s="5"/>
      <c r="BK303" s="5"/>
      <c r="BL303" s="5"/>
      <c r="BM303" s="5"/>
      <c r="BN303" s="5"/>
      <c r="BP303" s="5"/>
      <c r="BQ303" s="5"/>
      <c r="BR303" s="5"/>
      <c r="BS303" s="5"/>
      <c r="BU303" s="5"/>
      <c r="BV303" s="5"/>
      <c r="BW303" s="5"/>
      <c r="BX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</row>
    <row r="304" spans="23:101" ht="12.75">
      <c r="W304" s="5"/>
      <c r="X304" s="5"/>
      <c r="Y304" s="5"/>
      <c r="Z304" s="5"/>
      <c r="BK304" s="5"/>
      <c r="BL304" s="5"/>
      <c r="BM304" s="5"/>
      <c r="BN304" s="5"/>
      <c r="BP304" s="5"/>
      <c r="BQ304" s="5"/>
      <c r="BR304" s="5"/>
      <c r="BS304" s="5"/>
      <c r="BU304" s="5"/>
      <c r="BV304" s="5"/>
      <c r="BW304" s="5"/>
      <c r="BX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</row>
    <row r="305" spans="23:101" ht="12.75">
      <c r="W305" s="5"/>
      <c r="X305" s="5"/>
      <c r="Y305" s="5"/>
      <c r="Z305" s="5"/>
      <c r="BK305" s="5"/>
      <c r="BL305" s="5"/>
      <c r="BM305" s="5"/>
      <c r="BN305" s="5"/>
      <c r="BP305" s="5"/>
      <c r="BQ305" s="5"/>
      <c r="BR305" s="5"/>
      <c r="BS305" s="5"/>
      <c r="BU305" s="5"/>
      <c r="BV305" s="5"/>
      <c r="BW305" s="5"/>
      <c r="BX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</row>
    <row r="306" spans="23:101" ht="12.75">
      <c r="W306" s="5"/>
      <c r="X306" s="5"/>
      <c r="Y306" s="5"/>
      <c r="Z306" s="5"/>
      <c r="BK306" s="5"/>
      <c r="BL306" s="5"/>
      <c r="BM306" s="5"/>
      <c r="BN306" s="5"/>
      <c r="BP306" s="5"/>
      <c r="BQ306" s="5"/>
      <c r="BR306" s="5"/>
      <c r="BS306" s="5"/>
      <c r="BU306" s="5"/>
      <c r="BV306" s="5"/>
      <c r="BW306" s="5"/>
      <c r="BX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</row>
    <row r="307" spans="23:101" ht="12.75">
      <c r="W307" s="5"/>
      <c r="X307" s="5"/>
      <c r="Y307" s="5"/>
      <c r="Z307" s="5"/>
      <c r="BK307" s="5"/>
      <c r="BL307" s="5"/>
      <c r="BM307" s="5"/>
      <c r="BN307" s="5"/>
      <c r="BP307" s="5"/>
      <c r="BQ307" s="5"/>
      <c r="BR307" s="5"/>
      <c r="BS307" s="5"/>
      <c r="BU307" s="5"/>
      <c r="BV307" s="5"/>
      <c r="BW307" s="5"/>
      <c r="BX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</row>
    <row r="308" spans="23:101" ht="12.75">
      <c r="W308" s="5"/>
      <c r="X308" s="5"/>
      <c r="Y308" s="5"/>
      <c r="Z308" s="5"/>
      <c r="BK308" s="5"/>
      <c r="BL308" s="5"/>
      <c r="BM308" s="5"/>
      <c r="BN308" s="5"/>
      <c r="BP308" s="5"/>
      <c r="BQ308" s="5"/>
      <c r="BR308" s="5"/>
      <c r="BS308" s="5"/>
      <c r="BU308" s="5"/>
      <c r="BV308" s="5"/>
      <c r="BW308" s="5"/>
      <c r="BX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</row>
    <row r="309" spans="23:101" ht="12.75">
      <c r="W309" s="5"/>
      <c r="X309" s="5"/>
      <c r="Y309" s="5"/>
      <c r="Z309" s="5"/>
      <c r="BK309" s="5"/>
      <c r="BL309" s="5"/>
      <c r="BM309" s="5"/>
      <c r="BN309" s="5"/>
      <c r="BP309" s="5"/>
      <c r="BQ309" s="5"/>
      <c r="BR309" s="5"/>
      <c r="BS309" s="5"/>
      <c r="BU309" s="5"/>
      <c r="BV309" s="5"/>
      <c r="BW309" s="5"/>
      <c r="BX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</row>
    <row r="310" spans="23:101" ht="12.75">
      <c r="W310" s="5"/>
      <c r="X310" s="5"/>
      <c r="Y310" s="5"/>
      <c r="Z310" s="5"/>
      <c r="BK310" s="5"/>
      <c r="BL310" s="5"/>
      <c r="BM310" s="5"/>
      <c r="BN310" s="5"/>
      <c r="BP310" s="5"/>
      <c r="BQ310" s="5"/>
      <c r="BR310" s="5"/>
      <c r="BS310" s="5"/>
      <c r="BU310" s="5"/>
      <c r="BV310" s="5"/>
      <c r="BW310" s="5"/>
      <c r="BX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</row>
    <row r="311" spans="23:101" ht="12.75">
      <c r="W311" s="5"/>
      <c r="X311" s="5"/>
      <c r="Y311" s="5"/>
      <c r="Z311" s="5"/>
      <c r="BK311" s="5"/>
      <c r="BL311" s="5"/>
      <c r="BM311" s="5"/>
      <c r="BN311" s="5"/>
      <c r="BP311" s="5"/>
      <c r="BQ311" s="5"/>
      <c r="BR311" s="5"/>
      <c r="BS311" s="5"/>
      <c r="BU311" s="5"/>
      <c r="BV311" s="5"/>
      <c r="BW311" s="5"/>
      <c r="BX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</row>
    <row r="312" spans="23:101" ht="12.75">
      <c r="W312" s="5"/>
      <c r="X312" s="5"/>
      <c r="Y312" s="5"/>
      <c r="Z312" s="5"/>
      <c r="BK312" s="5"/>
      <c r="BL312" s="5"/>
      <c r="BM312" s="5"/>
      <c r="BN312" s="5"/>
      <c r="BP312" s="5"/>
      <c r="BQ312" s="5"/>
      <c r="BR312" s="5"/>
      <c r="BS312" s="5"/>
      <c r="BU312" s="5"/>
      <c r="BV312" s="5"/>
      <c r="BW312" s="5"/>
      <c r="BX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</row>
    <row r="313" spans="23:101" ht="12.75">
      <c r="W313" s="5"/>
      <c r="X313" s="5"/>
      <c r="Y313" s="5"/>
      <c r="Z313" s="5"/>
      <c r="BK313" s="5"/>
      <c r="BL313" s="5"/>
      <c r="BM313" s="5"/>
      <c r="BN313" s="5"/>
      <c r="BP313" s="5"/>
      <c r="BQ313" s="5"/>
      <c r="BR313" s="5"/>
      <c r="BS313" s="5"/>
      <c r="BU313" s="5"/>
      <c r="BV313" s="5"/>
      <c r="BW313" s="5"/>
      <c r="BX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</row>
    <row r="314" spans="23:101" ht="12.75">
      <c r="W314" s="5"/>
      <c r="X314" s="5"/>
      <c r="Y314" s="5"/>
      <c r="Z314" s="5"/>
      <c r="BK314" s="5"/>
      <c r="BL314" s="5"/>
      <c r="BM314" s="5"/>
      <c r="BN314" s="5"/>
      <c r="BP314" s="5"/>
      <c r="BQ314" s="5"/>
      <c r="BR314" s="5"/>
      <c r="BS314" s="5"/>
      <c r="BU314" s="5"/>
      <c r="BV314" s="5"/>
      <c r="BW314" s="5"/>
      <c r="BX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</row>
    <row r="315" spans="23:101" ht="12.75">
      <c r="W315" s="5"/>
      <c r="X315" s="5"/>
      <c r="Y315" s="5"/>
      <c r="Z315" s="5"/>
      <c r="BK315" s="5"/>
      <c r="BL315" s="5"/>
      <c r="BM315" s="5"/>
      <c r="BN315" s="5"/>
      <c r="BP315" s="5"/>
      <c r="BQ315" s="5"/>
      <c r="BR315" s="5"/>
      <c r="BS315" s="5"/>
      <c r="BU315" s="5"/>
      <c r="BV315" s="5"/>
      <c r="BW315" s="5"/>
      <c r="BX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</row>
    <row r="316" spans="23:101" ht="12.75">
      <c r="W316" s="5"/>
      <c r="X316" s="5"/>
      <c r="Y316" s="5"/>
      <c r="Z316" s="5"/>
      <c r="BK316" s="5"/>
      <c r="BL316" s="5"/>
      <c r="BM316" s="5"/>
      <c r="BN316" s="5"/>
      <c r="BP316" s="5"/>
      <c r="BQ316" s="5"/>
      <c r="BR316" s="5"/>
      <c r="BS316" s="5"/>
      <c r="BU316" s="5"/>
      <c r="BV316" s="5"/>
      <c r="BW316" s="5"/>
      <c r="BX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</row>
    <row r="317" spans="23:101" ht="12.75">
      <c r="W317" s="5"/>
      <c r="X317" s="5"/>
      <c r="Y317" s="5"/>
      <c r="Z317" s="5"/>
      <c r="BK317" s="5"/>
      <c r="BL317" s="5"/>
      <c r="BM317" s="5"/>
      <c r="BN317" s="5"/>
      <c r="BP317" s="5"/>
      <c r="BQ317" s="5"/>
      <c r="BR317" s="5"/>
      <c r="BS317" s="5"/>
      <c r="BU317" s="5"/>
      <c r="BV317" s="5"/>
      <c r="BW317" s="5"/>
      <c r="BX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</row>
    <row r="318" spans="23:101" ht="12.75">
      <c r="W318" s="5"/>
      <c r="X318" s="5"/>
      <c r="Y318" s="5"/>
      <c r="Z318" s="5"/>
      <c r="BK318" s="5"/>
      <c r="BL318" s="5"/>
      <c r="BM318" s="5"/>
      <c r="BN318" s="5"/>
      <c r="BP318" s="5"/>
      <c r="BQ318" s="5"/>
      <c r="BR318" s="5"/>
      <c r="BS318" s="5"/>
      <c r="BU318" s="5"/>
      <c r="BV318" s="5"/>
      <c r="BW318" s="5"/>
      <c r="BX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</row>
    <row r="319" spans="23:101" ht="12.75">
      <c r="W319" s="5"/>
      <c r="X319" s="5"/>
      <c r="Y319" s="5"/>
      <c r="Z319" s="5"/>
      <c r="BK319" s="5"/>
      <c r="BL319" s="5"/>
      <c r="BM319" s="5"/>
      <c r="BN319" s="5"/>
      <c r="BP319" s="5"/>
      <c r="BQ319" s="5"/>
      <c r="BR319" s="5"/>
      <c r="BS319" s="5"/>
      <c r="BU319" s="5"/>
      <c r="BV319" s="5"/>
      <c r="BW319" s="5"/>
      <c r="BX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</row>
    <row r="320" spans="23:101" ht="12.75">
      <c r="W320" s="5"/>
      <c r="X320" s="5"/>
      <c r="Y320" s="5"/>
      <c r="Z320" s="5"/>
      <c r="BK320" s="5"/>
      <c r="BL320" s="5"/>
      <c r="BM320" s="5"/>
      <c r="BN320" s="5"/>
      <c r="BP320" s="5"/>
      <c r="BQ320" s="5"/>
      <c r="BR320" s="5"/>
      <c r="BS320" s="5"/>
      <c r="BU320" s="5"/>
      <c r="BV320" s="5"/>
      <c r="BW320" s="5"/>
      <c r="BX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</row>
    <row r="321" spans="23:101" ht="12.75">
      <c r="W321" s="5"/>
      <c r="X321" s="5"/>
      <c r="Y321" s="5"/>
      <c r="Z321" s="5"/>
      <c r="BK321" s="5"/>
      <c r="BL321" s="5"/>
      <c r="BM321" s="5"/>
      <c r="BN321" s="5"/>
      <c r="BP321" s="5"/>
      <c r="BQ321" s="5"/>
      <c r="BR321" s="5"/>
      <c r="BS321" s="5"/>
      <c r="BU321" s="5"/>
      <c r="BV321" s="5"/>
      <c r="BW321" s="5"/>
      <c r="BX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</row>
    <row r="322" spans="23:101" ht="12.75">
      <c r="W322" s="5"/>
      <c r="X322" s="5"/>
      <c r="Y322" s="5"/>
      <c r="Z322" s="5"/>
      <c r="BK322" s="5"/>
      <c r="BL322" s="5"/>
      <c r="BM322" s="5"/>
      <c r="BN322" s="5"/>
      <c r="BP322" s="5"/>
      <c r="BQ322" s="5"/>
      <c r="BR322" s="5"/>
      <c r="BS322" s="5"/>
      <c r="BU322" s="5"/>
      <c r="BV322" s="5"/>
      <c r="BW322" s="5"/>
      <c r="BX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</row>
    <row r="323" spans="23:101" ht="12.75">
      <c r="W323" s="5"/>
      <c r="X323" s="5"/>
      <c r="Y323" s="5"/>
      <c r="Z323" s="5"/>
      <c r="BK323" s="5"/>
      <c r="BL323" s="5"/>
      <c r="BM323" s="5"/>
      <c r="BN323" s="5"/>
      <c r="BP323" s="5"/>
      <c r="BQ323" s="5"/>
      <c r="BR323" s="5"/>
      <c r="BS323" s="5"/>
      <c r="BU323" s="5"/>
      <c r="BV323" s="5"/>
      <c r="BW323" s="5"/>
      <c r="BX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</row>
    <row r="324" spans="23:101" ht="12.75">
      <c r="W324" s="5"/>
      <c r="X324" s="5"/>
      <c r="Y324" s="5"/>
      <c r="Z324" s="5"/>
      <c r="BK324" s="5"/>
      <c r="BL324" s="5"/>
      <c r="BM324" s="5"/>
      <c r="BN324" s="5"/>
      <c r="BP324" s="5"/>
      <c r="BQ324" s="5"/>
      <c r="BR324" s="5"/>
      <c r="BS324" s="5"/>
      <c r="BU324" s="5"/>
      <c r="BV324" s="5"/>
      <c r="BW324" s="5"/>
      <c r="BX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</row>
    <row r="325" spans="23:101" ht="12.75">
      <c r="W325" s="5"/>
      <c r="X325" s="5"/>
      <c r="Y325" s="5"/>
      <c r="Z325" s="5"/>
      <c r="BK325" s="5"/>
      <c r="BL325" s="5"/>
      <c r="BM325" s="5"/>
      <c r="BN325" s="5"/>
      <c r="BP325" s="5"/>
      <c r="BQ325" s="5"/>
      <c r="BR325" s="5"/>
      <c r="BS325" s="5"/>
      <c r="BU325" s="5"/>
      <c r="BV325" s="5"/>
      <c r="BW325" s="5"/>
      <c r="BX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</row>
    <row r="326" spans="23:101" ht="12.75">
      <c r="W326" s="5"/>
      <c r="X326" s="5"/>
      <c r="Y326" s="5"/>
      <c r="Z326" s="5"/>
      <c r="BK326" s="5"/>
      <c r="BL326" s="5"/>
      <c r="BM326" s="5"/>
      <c r="BN326" s="5"/>
      <c r="BP326" s="5"/>
      <c r="BQ326" s="5"/>
      <c r="BR326" s="5"/>
      <c r="BS326" s="5"/>
      <c r="BU326" s="5"/>
      <c r="BV326" s="5"/>
      <c r="BW326" s="5"/>
      <c r="BX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</row>
    <row r="327" spans="23:101" ht="12.75">
      <c r="W327" s="5"/>
      <c r="X327" s="5"/>
      <c r="Y327" s="5"/>
      <c r="Z327" s="5"/>
      <c r="BK327" s="5"/>
      <c r="BL327" s="5"/>
      <c r="BM327" s="5"/>
      <c r="BN327" s="5"/>
      <c r="BP327" s="5"/>
      <c r="BQ327" s="5"/>
      <c r="BR327" s="5"/>
      <c r="BS327" s="5"/>
      <c r="BU327" s="5"/>
      <c r="BV327" s="5"/>
      <c r="BW327" s="5"/>
      <c r="BX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</row>
    <row r="328" spans="23:101" ht="12.75">
      <c r="W328" s="5"/>
      <c r="X328" s="5"/>
      <c r="Y328" s="5"/>
      <c r="Z328" s="5"/>
      <c r="BK328" s="5"/>
      <c r="BL328" s="5"/>
      <c r="BM328" s="5"/>
      <c r="BN328" s="5"/>
      <c r="BP328" s="5"/>
      <c r="BQ328" s="5"/>
      <c r="BR328" s="5"/>
      <c r="BS328" s="5"/>
      <c r="BU328" s="5"/>
      <c r="BV328" s="5"/>
      <c r="BW328" s="5"/>
      <c r="BX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</row>
    <row r="329" spans="23:101" ht="12.75">
      <c r="W329" s="5"/>
      <c r="X329" s="5"/>
      <c r="Y329" s="5"/>
      <c r="Z329" s="5"/>
      <c r="BK329" s="5"/>
      <c r="BL329" s="5"/>
      <c r="BM329" s="5"/>
      <c r="BN329" s="5"/>
      <c r="BP329" s="5"/>
      <c r="BQ329" s="5"/>
      <c r="BR329" s="5"/>
      <c r="BS329" s="5"/>
      <c r="BU329" s="5"/>
      <c r="BV329" s="5"/>
      <c r="BW329" s="5"/>
      <c r="BX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</row>
    <row r="330" spans="23:101" ht="12.75">
      <c r="W330" s="5"/>
      <c r="X330" s="5"/>
      <c r="Y330" s="5"/>
      <c r="Z330" s="5"/>
      <c r="BK330" s="5"/>
      <c r="BL330" s="5"/>
      <c r="BM330" s="5"/>
      <c r="BN330" s="5"/>
      <c r="BP330" s="5"/>
      <c r="BQ330" s="5"/>
      <c r="BR330" s="5"/>
      <c r="BS330" s="5"/>
      <c r="BU330" s="5"/>
      <c r="BV330" s="5"/>
      <c r="BW330" s="5"/>
      <c r="BX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</row>
    <row r="331" spans="23:101" ht="12.75">
      <c r="W331" s="5"/>
      <c r="X331" s="5"/>
      <c r="Y331" s="5"/>
      <c r="Z331" s="5"/>
      <c r="BK331" s="5"/>
      <c r="BL331" s="5"/>
      <c r="BM331" s="5"/>
      <c r="BN331" s="5"/>
      <c r="BP331" s="5"/>
      <c r="BQ331" s="5"/>
      <c r="BR331" s="5"/>
      <c r="BS331" s="5"/>
      <c r="BU331" s="5"/>
      <c r="BV331" s="5"/>
      <c r="BW331" s="5"/>
      <c r="BX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</row>
    <row r="332" spans="23:101" ht="12.75">
      <c r="W332" s="5"/>
      <c r="X332" s="5"/>
      <c r="Y332" s="5"/>
      <c r="Z332" s="5"/>
      <c r="BK332" s="5"/>
      <c r="BL332" s="5"/>
      <c r="BM332" s="5"/>
      <c r="BN332" s="5"/>
      <c r="BP332" s="5"/>
      <c r="BQ332" s="5"/>
      <c r="BR332" s="5"/>
      <c r="BS332" s="5"/>
      <c r="BU332" s="5"/>
      <c r="BV332" s="5"/>
      <c r="BW332" s="5"/>
      <c r="BX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</row>
    <row r="333" spans="23:101" ht="12.75">
      <c r="W333" s="5"/>
      <c r="X333" s="5"/>
      <c r="Y333" s="5"/>
      <c r="Z333" s="5"/>
      <c r="BK333" s="5"/>
      <c r="BL333" s="5"/>
      <c r="BM333" s="5"/>
      <c r="BN333" s="5"/>
      <c r="BP333" s="5"/>
      <c r="BQ333" s="5"/>
      <c r="BR333" s="5"/>
      <c r="BS333" s="5"/>
      <c r="BU333" s="5"/>
      <c r="BV333" s="5"/>
      <c r="BW333" s="5"/>
      <c r="BX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</row>
    <row r="334" spans="23:101" ht="12.75">
      <c r="W334" s="5"/>
      <c r="X334" s="5"/>
      <c r="Y334" s="5"/>
      <c r="Z334" s="5"/>
      <c r="BK334" s="5"/>
      <c r="BL334" s="5"/>
      <c r="BM334" s="5"/>
      <c r="BN334" s="5"/>
      <c r="BP334" s="5"/>
      <c r="BQ334" s="5"/>
      <c r="BR334" s="5"/>
      <c r="BS334" s="5"/>
      <c r="BU334" s="5"/>
      <c r="BV334" s="5"/>
      <c r="BW334" s="5"/>
      <c r="BX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</row>
    <row r="335" spans="23:101" ht="12.75">
      <c r="W335" s="5"/>
      <c r="X335" s="5"/>
      <c r="Y335" s="5"/>
      <c r="Z335" s="5"/>
      <c r="BK335" s="5"/>
      <c r="BL335" s="5"/>
      <c r="BM335" s="5"/>
      <c r="BN335" s="5"/>
      <c r="BP335" s="5"/>
      <c r="BQ335" s="5"/>
      <c r="BR335" s="5"/>
      <c r="BS335" s="5"/>
      <c r="BU335" s="5"/>
      <c r="BV335" s="5"/>
      <c r="BW335" s="5"/>
      <c r="BX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</row>
    <row r="336" spans="23:101" ht="12.75">
      <c r="W336" s="5"/>
      <c r="X336" s="5"/>
      <c r="Y336" s="5"/>
      <c r="Z336" s="5"/>
      <c r="BK336" s="5"/>
      <c r="BL336" s="5"/>
      <c r="BM336" s="5"/>
      <c r="BN336" s="5"/>
      <c r="BP336" s="5"/>
      <c r="BQ336" s="5"/>
      <c r="BR336" s="5"/>
      <c r="BS336" s="5"/>
      <c r="BU336" s="5"/>
      <c r="BV336" s="5"/>
      <c r="BW336" s="5"/>
      <c r="BX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</row>
    <row r="337" spans="23:101" ht="12.75">
      <c r="W337" s="5"/>
      <c r="X337" s="5"/>
      <c r="Y337" s="5"/>
      <c r="Z337" s="5"/>
      <c r="BK337" s="5"/>
      <c r="BL337" s="5"/>
      <c r="BM337" s="5"/>
      <c r="BN337" s="5"/>
      <c r="BP337" s="5"/>
      <c r="BQ337" s="5"/>
      <c r="BR337" s="5"/>
      <c r="BS337" s="5"/>
      <c r="BU337" s="5"/>
      <c r="BV337" s="5"/>
      <c r="BW337" s="5"/>
      <c r="BX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</row>
    <row r="338" spans="23:101" ht="12.75">
      <c r="W338" s="5"/>
      <c r="X338" s="5"/>
      <c r="Y338" s="5"/>
      <c r="Z338" s="5"/>
      <c r="BK338" s="5"/>
      <c r="BL338" s="5"/>
      <c r="BM338" s="5"/>
      <c r="BN338" s="5"/>
      <c r="BP338" s="5"/>
      <c r="BQ338" s="5"/>
      <c r="BR338" s="5"/>
      <c r="BS338" s="5"/>
      <c r="BU338" s="5"/>
      <c r="BV338" s="5"/>
      <c r="BW338" s="5"/>
      <c r="BX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</row>
    <row r="339" spans="23:101" ht="12.75">
      <c r="W339" s="5"/>
      <c r="X339" s="5"/>
      <c r="Y339" s="5"/>
      <c r="Z339" s="5"/>
      <c r="BK339" s="5"/>
      <c r="BL339" s="5"/>
      <c r="BM339" s="5"/>
      <c r="BN339" s="5"/>
      <c r="BP339" s="5"/>
      <c r="BQ339" s="5"/>
      <c r="BR339" s="5"/>
      <c r="BS339" s="5"/>
      <c r="BU339" s="5"/>
      <c r="BV339" s="5"/>
      <c r="BW339" s="5"/>
      <c r="BX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</row>
    <row r="340" spans="23:101" ht="12.75">
      <c r="W340" s="5"/>
      <c r="X340" s="5"/>
      <c r="Y340" s="5"/>
      <c r="Z340" s="5"/>
      <c r="BK340" s="5"/>
      <c r="BL340" s="5"/>
      <c r="BM340" s="5"/>
      <c r="BN340" s="5"/>
      <c r="BP340" s="5"/>
      <c r="BQ340" s="5"/>
      <c r="BR340" s="5"/>
      <c r="BS340" s="5"/>
      <c r="BU340" s="5"/>
      <c r="BV340" s="5"/>
      <c r="BW340" s="5"/>
      <c r="BX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</row>
    <row r="341" spans="23:101" ht="12.75">
      <c r="W341" s="5"/>
      <c r="X341" s="5"/>
      <c r="Y341" s="5"/>
      <c r="Z341" s="5"/>
      <c r="BK341" s="5"/>
      <c r="BL341" s="5"/>
      <c r="BM341" s="5"/>
      <c r="BN341" s="5"/>
      <c r="BP341" s="5"/>
      <c r="BQ341" s="5"/>
      <c r="BR341" s="5"/>
      <c r="BS341" s="5"/>
      <c r="BU341" s="5"/>
      <c r="BV341" s="5"/>
      <c r="BW341" s="5"/>
      <c r="BX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</row>
    <row r="342" spans="23:101" ht="12.75">
      <c r="W342" s="5"/>
      <c r="X342" s="5"/>
      <c r="Y342" s="5"/>
      <c r="Z342" s="5"/>
      <c r="BK342" s="5"/>
      <c r="BL342" s="5"/>
      <c r="BM342" s="5"/>
      <c r="BN342" s="5"/>
      <c r="BP342" s="5"/>
      <c r="BQ342" s="5"/>
      <c r="BR342" s="5"/>
      <c r="BS342" s="5"/>
      <c r="BU342" s="5"/>
      <c r="BV342" s="5"/>
      <c r="BW342" s="5"/>
      <c r="BX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</row>
    <row r="343" spans="23:101" ht="12.75">
      <c r="W343" s="5"/>
      <c r="X343" s="5"/>
      <c r="Y343" s="5"/>
      <c r="Z343" s="5"/>
      <c r="BK343" s="5"/>
      <c r="BL343" s="5"/>
      <c r="BM343" s="5"/>
      <c r="BN343" s="5"/>
      <c r="BP343" s="5"/>
      <c r="BQ343" s="5"/>
      <c r="BR343" s="5"/>
      <c r="BS343" s="5"/>
      <c r="BU343" s="5"/>
      <c r="BV343" s="5"/>
      <c r="BW343" s="5"/>
      <c r="BX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</row>
    <row r="344" spans="23:101" ht="12.75">
      <c r="W344" s="5"/>
      <c r="X344" s="5"/>
      <c r="Y344" s="5"/>
      <c r="Z344" s="5"/>
      <c r="BK344" s="5"/>
      <c r="BL344" s="5"/>
      <c r="BM344" s="5"/>
      <c r="BN344" s="5"/>
      <c r="BP344" s="5"/>
      <c r="BQ344" s="5"/>
      <c r="BR344" s="5"/>
      <c r="BS344" s="5"/>
      <c r="BU344" s="5"/>
      <c r="BV344" s="5"/>
      <c r="BW344" s="5"/>
      <c r="BX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</row>
    <row r="345" spans="23:101" ht="12.75">
      <c r="W345" s="5"/>
      <c r="X345" s="5"/>
      <c r="Y345" s="5"/>
      <c r="Z345" s="5"/>
      <c r="BK345" s="5"/>
      <c r="BL345" s="5"/>
      <c r="BM345" s="5"/>
      <c r="BN345" s="5"/>
      <c r="BP345" s="5"/>
      <c r="BQ345" s="5"/>
      <c r="BR345" s="5"/>
      <c r="BS345" s="5"/>
      <c r="BU345" s="5"/>
      <c r="BV345" s="5"/>
      <c r="BW345" s="5"/>
      <c r="BX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</row>
    <row r="346" spans="23:101" ht="12.75">
      <c r="W346" s="5"/>
      <c r="X346" s="5"/>
      <c r="Y346" s="5"/>
      <c r="Z346" s="5"/>
      <c r="BK346" s="5"/>
      <c r="BL346" s="5"/>
      <c r="BM346" s="5"/>
      <c r="BN346" s="5"/>
      <c r="BP346" s="5"/>
      <c r="BQ346" s="5"/>
      <c r="BR346" s="5"/>
      <c r="BS346" s="5"/>
      <c r="BU346" s="5"/>
      <c r="BV346" s="5"/>
      <c r="BW346" s="5"/>
      <c r="BX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</row>
    <row r="347" spans="23:101" ht="12.75">
      <c r="W347" s="5"/>
      <c r="X347" s="5"/>
      <c r="Y347" s="5"/>
      <c r="Z347" s="5"/>
      <c r="BK347" s="5"/>
      <c r="BL347" s="5"/>
      <c r="BM347" s="5"/>
      <c r="BN347" s="5"/>
      <c r="BP347" s="5"/>
      <c r="BQ347" s="5"/>
      <c r="BR347" s="5"/>
      <c r="BS347" s="5"/>
      <c r="BU347" s="5"/>
      <c r="BV347" s="5"/>
      <c r="BW347" s="5"/>
      <c r="BX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</row>
    <row r="348" spans="23:101" ht="12.75">
      <c r="W348" s="5"/>
      <c r="X348" s="5"/>
      <c r="Y348" s="5"/>
      <c r="Z348" s="5"/>
      <c r="BK348" s="5"/>
      <c r="BL348" s="5"/>
      <c r="BM348" s="5"/>
      <c r="BN348" s="5"/>
      <c r="BP348" s="5"/>
      <c r="BQ348" s="5"/>
      <c r="BR348" s="5"/>
      <c r="BS348" s="5"/>
      <c r="BU348" s="5"/>
      <c r="BV348" s="5"/>
      <c r="BW348" s="5"/>
      <c r="BX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</row>
    <row r="349" spans="23:101" ht="12.75">
      <c r="W349" s="5"/>
      <c r="X349" s="5"/>
      <c r="Y349" s="5"/>
      <c r="Z349" s="5"/>
      <c r="BK349" s="5"/>
      <c r="BL349" s="5"/>
      <c r="BM349" s="5"/>
      <c r="BN349" s="5"/>
      <c r="BP349" s="5"/>
      <c r="BQ349" s="5"/>
      <c r="BR349" s="5"/>
      <c r="BS349" s="5"/>
      <c r="BU349" s="5"/>
      <c r="BV349" s="5"/>
      <c r="BW349" s="5"/>
      <c r="BX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</row>
    <row r="350" spans="23:101" ht="12.75">
      <c r="W350" s="5"/>
      <c r="X350" s="5"/>
      <c r="Y350" s="5"/>
      <c r="Z350" s="5"/>
      <c r="BK350" s="5"/>
      <c r="BL350" s="5"/>
      <c r="BM350" s="5"/>
      <c r="BN350" s="5"/>
      <c r="BP350" s="5"/>
      <c r="BQ350" s="5"/>
      <c r="BR350" s="5"/>
      <c r="BS350" s="5"/>
      <c r="BU350" s="5"/>
      <c r="BV350" s="5"/>
      <c r="BW350" s="5"/>
      <c r="BX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</row>
    <row r="351" spans="23:101" ht="12.75">
      <c r="W351" s="5"/>
      <c r="X351" s="5"/>
      <c r="Y351" s="5"/>
      <c r="Z351" s="5"/>
      <c r="BK351" s="5"/>
      <c r="BL351" s="5"/>
      <c r="BM351" s="5"/>
      <c r="BN351" s="5"/>
      <c r="BP351" s="5"/>
      <c r="BQ351" s="5"/>
      <c r="BR351" s="5"/>
      <c r="BS351" s="5"/>
      <c r="BU351" s="5"/>
      <c r="BV351" s="5"/>
      <c r="BW351" s="5"/>
      <c r="BX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</row>
    <row r="352" spans="23:101" ht="12.75">
      <c r="W352" s="5"/>
      <c r="X352" s="5"/>
      <c r="Y352" s="5"/>
      <c r="Z352" s="5"/>
      <c r="BK352" s="5"/>
      <c r="BL352" s="5"/>
      <c r="BM352" s="5"/>
      <c r="BN352" s="5"/>
      <c r="BP352" s="5"/>
      <c r="BQ352" s="5"/>
      <c r="BR352" s="5"/>
      <c r="BS352" s="5"/>
      <c r="BU352" s="5"/>
      <c r="BV352" s="5"/>
      <c r="BW352" s="5"/>
      <c r="BX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</row>
    <row r="353" spans="23:101" ht="12.75">
      <c r="W353" s="5"/>
      <c r="X353" s="5"/>
      <c r="Y353" s="5"/>
      <c r="Z353" s="5"/>
      <c r="BK353" s="5"/>
      <c r="BL353" s="5"/>
      <c r="BM353" s="5"/>
      <c r="BN353" s="5"/>
      <c r="BP353" s="5"/>
      <c r="BQ353" s="5"/>
      <c r="BR353" s="5"/>
      <c r="BS353" s="5"/>
      <c r="BU353" s="5"/>
      <c r="BV353" s="5"/>
      <c r="BW353" s="5"/>
      <c r="BX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</row>
    <row r="354" spans="23:101" ht="12.75">
      <c r="W354" s="5"/>
      <c r="X354" s="5"/>
      <c r="Y354" s="5"/>
      <c r="Z354" s="5"/>
      <c r="BK354" s="5"/>
      <c r="BL354" s="5"/>
      <c r="BM354" s="5"/>
      <c r="BN354" s="5"/>
      <c r="BP354" s="5"/>
      <c r="BQ354" s="5"/>
      <c r="BR354" s="5"/>
      <c r="BS354" s="5"/>
      <c r="BU354" s="5"/>
      <c r="BV354" s="5"/>
      <c r="BW354" s="5"/>
      <c r="BX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</row>
    <row r="355" spans="23:101" ht="12.75">
      <c r="W355" s="5"/>
      <c r="X355" s="5"/>
      <c r="Y355" s="5"/>
      <c r="Z355" s="5"/>
      <c r="BK355" s="5"/>
      <c r="BL355" s="5"/>
      <c r="BM355" s="5"/>
      <c r="BN355" s="5"/>
      <c r="BP355" s="5"/>
      <c r="BQ355" s="5"/>
      <c r="BR355" s="5"/>
      <c r="BS355" s="5"/>
      <c r="BU355" s="5"/>
      <c r="BV355" s="5"/>
      <c r="BW355" s="5"/>
      <c r="BX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</row>
    <row r="356" spans="23:101" ht="12.75">
      <c r="W356" s="5"/>
      <c r="X356" s="5"/>
      <c r="Y356" s="5"/>
      <c r="Z356" s="5"/>
      <c r="BK356" s="5"/>
      <c r="BL356" s="5"/>
      <c r="BM356" s="5"/>
      <c r="BN356" s="5"/>
      <c r="BP356" s="5"/>
      <c r="BQ356" s="5"/>
      <c r="BR356" s="5"/>
      <c r="BS356" s="5"/>
      <c r="BU356" s="5"/>
      <c r="BV356" s="5"/>
      <c r="BW356" s="5"/>
      <c r="BX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</row>
    <row r="357" spans="23:101" ht="12.75">
      <c r="W357" s="5"/>
      <c r="X357" s="5"/>
      <c r="Y357" s="5"/>
      <c r="Z357" s="5"/>
      <c r="BK357" s="5"/>
      <c r="BL357" s="5"/>
      <c r="BM357" s="5"/>
      <c r="BN357" s="5"/>
      <c r="BP357" s="5"/>
      <c r="BQ357" s="5"/>
      <c r="BR357" s="5"/>
      <c r="BS357" s="5"/>
      <c r="BU357" s="5"/>
      <c r="BV357" s="5"/>
      <c r="BW357" s="5"/>
      <c r="BX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</row>
    <row r="358" spans="23:101" ht="12.75">
      <c r="W358" s="5"/>
      <c r="X358" s="5"/>
      <c r="Y358" s="5"/>
      <c r="Z358" s="5"/>
      <c r="BK358" s="5"/>
      <c r="BL358" s="5"/>
      <c r="BM358" s="5"/>
      <c r="BN358" s="5"/>
      <c r="BP358" s="5"/>
      <c r="BQ358" s="5"/>
      <c r="BR358" s="5"/>
      <c r="BS358" s="5"/>
      <c r="BU358" s="5"/>
      <c r="BV358" s="5"/>
      <c r="BW358" s="5"/>
      <c r="BX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</row>
    <row r="359" spans="23:101" ht="12.75">
      <c r="W359" s="5"/>
      <c r="X359" s="5"/>
      <c r="Y359" s="5"/>
      <c r="Z359" s="5"/>
      <c r="BK359" s="5"/>
      <c r="BL359" s="5"/>
      <c r="BM359" s="5"/>
      <c r="BN359" s="5"/>
      <c r="BP359" s="5"/>
      <c r="BQ359" s="5"/>
      <c r="BR359" s="5"/>
      <c r="BS359" s="5"/>
      <c r="BU359" s="5"/>
      <c r="BV359" s="5"/>
      <c r="BW359" s="5"/>
      <c r="BX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</row>
    <row r="360" spans="23:101" ht="12.75">
      <c r="W360" s="5"/>
      <c r="X360" s="5"/>
      <c r="Y360" s="5"/>
      <c r="Z360" s="5"/>
      <c r="BK360" s="5"/>
      <c r="BL360" s="5"/>
      <c r="BM360" s="5"/>
      <c r="BN360" s="5"/>
      <c r="BP360" s="5"/>
      <c r="BQ360" s="5"/>
      <c r="BR360" s="5"/>
      <c r="BS360" s="5"/>
      <c r="BU360" s="5"/>
      <c r="BV360" s="5"/>
      <c r="BW360" s="5"/>
      <c r="BX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</row>
    <row r="361" spans="23:101" ht="12.75">
      <c r="W361" s="5"/>
      <c r="X361" s="5"/>
      <c r="Y361" s="5"/>
      <c r="Z361" s="5"/>
      <c r="BK361" s="5"/>
      <c r="BL361" s="5"/>
      <c r="BM361" s="5"/>
      <c r="BN361" s="5"/>
      <c r="BP361" s="5"/>
      <c r="BQ361" s="5"/>
      <c r="BR361" s="5"/>
      <c r="BS361" s="5"/>
      <c r="BU361" s="5"/>
      <c r="BV361" s="5"/>
      <c r="BW361" s="5"/>
      <c r="BX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</row>
    <row r="362" spans="23:101" ht="12.75">
      <c r="W362" s="5"/>
      <c r="X362" s="5"/>
      <c r="Y362" s="5"/>
      <c r="Z362" s="5"/>
      <c r="BK362" s="5"/>
      <c r="BL362" s="5"/>
      <c r="BM362" s="5"/>
      <c r="BN362" s="5"/>
      <c r="BP362" s="5"/>
      <c r="BQ362" s="5"/>
      <c r="BR362" s="5"/>
      <c r="BS362" s="5"/>
      <c r="BU362" s="5"/>
      <c r="BV362" s="5"/>
      <c r="BW362" s="5"/>
      <c r="BX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</row>
    <row r="363" spans="23:101" ht="12.75">
      <c r="W363" s="5"/>
      <c r="X363" s="5"/>
      <c r="Y363" s="5"/>
      <c r="Z363" s="5"/>
      <c r="BK363" s="5"/>
      <c r="BL363" s="5"/>
      <c r="BM363" s="5"/>
      <c r="BN363" s="5"/>
      <c r="BP363" s="5"/>
      <c r="BQ363" s="5"/>
      <c r="BR363" s="5"/>
      <c r="BS363" s="5"/>
      <c r="BU363" s="5"/>
      <c r="BV363" s="5"/>
      <c r="BW363" s="5"/>
      <c r="BX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</row>
    <row r="364" spans="23:101" ht="12.75">
      <c r="W364" s="5"/>
      <c r="X364" s="5"/>
      <c r="Y364" s="5"/>
      <c r="Z364" s="5"/>
      <c r="BK364" s="5"/>
      <c r="BL364" s="5"/>
      <c r="BM364" s="5"/>
      <c r="BN364" s="5"/>
      <c r="BP364" s="5"/>
      <c r="BQ364" s="5"/>
      <c r="BR364" s="5"/>
      <c r="BS364" s="5"/>
      <c r="BU364" s="5"/>
      <c r="BV364" s="5"/>
      <c r="BW364" s="5"/>
      <c r="BX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</row>
    <row r="365" spans="23:101" ht="12.75">
      <c r="W365" s="5"/>
      <c r="X365" s="5"/>
      <c r="Y365" s="5"/>
      <c r="Z365" s="5"/>
      <c r="BK365" s="5"/>
      <c r="BL365" s="5"/>
      <c r="BM365" s="5"/>
      <c r="BN365" s="5"/>
      <c r="BP365" s="5"/>
      <c r="BQ365" s="5"/>
      <c r="BR365" s="5"/>
      <c r="BS365" s="5"/>
      <c r="BU365" s="5"/>
      <c r="BV365" s="5"/>
      <c r="BW365" s="5"/>
      <c r="BX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</row>
    <row r="366" spans="23:101" ht="12.75">
      <c r="W366" s="5"/>
      <c r="X366" s="5"/>
      <c r="Y366" s="5"/>
      <c r="Z366" s="5"/>
      <c r="BK366" s="5"/>
      <c r="BL366" s="5"/>
      <c r="BM366" s="5"/>
      <c r="BN366" s="5"/>
      <c r="BP366" s="5"/>
      <c r="BQ366" s="5"/>
      <c r="BR366" s="5"/>
      <c r="BS366" s="5"/>
      <c r="BU366" s="5"/>
      <c r="BV366" s="5"/>
      <c r="BW366" s="5"/>
      <c r="BX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</row>
    <row r="367" spans="23:101" ht="12.75">
      <c r="W367" s="5"/>
      <c r="X367" s="5"/>
      <c r="Y367" s="5"/>
      <c r="Z367" s="5"/>
      <c r="BK367" s="5"/>
      <c r="BL367" s="5"/>
      <c r="BM367" s="5"/>
      <c r="BN367" s="5"/>
      <c r="BP367" s="5"/>
      <c r="BQ367" s="5"/>
      <c r="BR367" s="5"/>
      <c r="BS367" s="5"/>
      <c r="BU367" s="5"/>
      <c r="BV367" s="5"/>
      <c r="BW367" s="5"/>
      <c r="BX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</row>
    <row r="368" spans="23:101" ht="12.75">
      <c r="W368" s="5"/>
      <c r="X368" s="5"/>
      <c r="Y368" s="5"/>
      <c r="Z368" s="5"/>
      <c r="BK368" s="5"/>
      <c r="BL368" s="5"/>
      <c r="BM368" s="5"/>
      <c r="BN368" s="5"/>
      <c r="BP368" s="5"/>
      <c r="BQ368" s="5"/>
      <c r="BR368" s="5"/>
      <c r="BS368" s="5"/>
      <c r="BU368" s="5"/>
      <c r="BV368" s="5"/>
      <c r="BW368" s="5"/>
      <c r="BX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</row>
    <row r="369" spans="23:101" ht="12.75">
      <c r="W369" s="5"/>
      <c r="X369" s="5"/>
      <c r="Y369" s="5"/>
      <c r="Z369" s="5"/>
      <c r="BK369" s="5"/>
      <c r="BL369" s="5"/>
      <c r="BM369" s="5"/>
      <c r="BN369" s="5"/>
      <c r="BP369" s="5"/>
      <c r="BQ369" s="5"/>
      <c r="BR369" s="5"/>
      <c r="BS369" s="5"/>
      <c r="BU369" s="5"/>
      <c r="BV369" s="5"/>
      <c r="BW369" s="5"/>
      <c r="BX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</row>
    <row r="370" spans="23:101" ht="12.75">
      <c r="W370" s="5"/>
      <c r="X370" s="5"/>
      <c r="Y370" s="5"/>
      <c r="Z370" s="5"/>
      <c r="BK370" s="5"/>
      <c r="BL370" s="5"/>
      <c r="BM370" s="5"/>
      <c r="BN370" s="5"/>
      <c r="BP370" s="5"/>
      <c r="BQ370" s="5"/>
      <c r="BR370" s="5"/>
      <c r="BS370" s="5"/>
      <c r="BU370" s="5"/>
      <c r="BV370" s="5"/>
      <c r="BW370" s="5"/>
      <c r="BX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</row>
    <row r="371" spans="23:101" ht="12.75">
      <c r="W371" s="5"/>
      <c r="X371" s="5"/>
      <c r="Y371" s="5"/>
      <c r="Z371" s="5"/>
      <c r="BK371" s="5"/>
      <c r="BL371" s="5"/>
      <c r="BM371" s="5"/>
      <c r="BN371" s="5"/>
      <c r="BP371" s="5"/>
      <c r="BQ371" s="5"/>
      <c r="BR371" s="5"/>
      <c r="BS371" s="5"/>
      <c r="BU371" s="5"/>
      <c r="BV371" s="5"/>
      <c r="BW371" s="5"/>
      <c r="BX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</row>
    <row r="372" spans="23:101" ht="12.75">
      <c r="W372" s="5"/>
      <c r="X372" s="5"/>
      <c r="Y372" s="5"/>
      <c r="Z372" s="5"/>
      <c r="BK372" s="5"/>
      <c r="BL372" s="5"/>
      <c r="BM372" s="5"/>
      <c r="BN372" s="5"/>
      <c r="BP372" s="5"/>
      <c r="BQ372" s="5"/>
      <c r="BR372" s="5"/>
      <c r="BS372" s="5"/>
      <c r="BU372" s="5"/>
      <c r="BV372" s="5"/>
      <c r="BW372" s="5"/>
      <c r="BX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</row>
    <row r="373" spans="23:101" ht="12.75">
      <c r="W373" s="5"/>
      <c r="X373" s="5"/>
      <c r="Y373" s="5"/>
      <c r="Z373" s="5"/>
      <c r="BK373" s="5"/>
      <c r="BL373" s="5"/>
      <c r="BM373" s="5"/>
      <c r="BN373" s="5"/>
      <c r="BP373" s="5"/>
      <c r="BQ373" s="5"/>
      <c r="BR373" s="5"/>
      <c r="BS373" s="5"/>
      <c r="BU373" s="5"/>
      <c r="BV373" s="5"/>
      <c r="BW373" s="5"/>
      <c r="BX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</row>
    <row r="374" spans="23:101" ht="12.75">
      <c r="W374" s="5"/>
      <c r="X374" s="5"/>
      <c r="Y374" s="5"/>
      <c r="Z374" s="5"/>
      <c r="BK374" s="5"/>
      <c r="BL374" s="5"/>
      <c r="BM374" s="5"/>
      <c r="BN374" s="5"/>
      <c r="BP374" s="5"/>
      <c r="BQ374" s="5"/>
      <c r="BR374" s="5"/>
      <c r="BS374" s="5"/>
      <c r="BU374" s="5"/>
      <c r="BV374" s="5"/>
      <c r="BW374" s="5"/>
      <c r="BX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</row>
    <row r="375" spans="23:101" ht="12.75">
      <c r="W375" s="5"/>
      <c r="X375" s="5"/>
      <c r="Y375" s="5"/>
      <c r="Z375" s="5"/>
      <c r="BK375" s="5"/>
      <c r="BL375" s="5"/>
      <c r="BM375" s="5"/>
      <c r="BN375" s="5"/>
      <c r="BP375" s="5"/>
      <c r="BQ375" s="5"/>
      <c r="BR375" s="5"/>
      <c r="BS375" s="5"/>
      <c r="BU375" s="5"/>
      <c r="BV375" s="5"/>
      <c r="BW375" s="5"/>
      <c r="BX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</row>
    <row r="376" spans="23:101" ht="12.75">
      <c r="W376" s="5"/>
      <c r="X376" s="5"/>
      <c r="Y376" s="5"/>
      <c r="Z376" s="5"/>
      <c r="BK376" s="5"/>
      <c r="BL376" s="5"/>
      <c r="BM376" s="5"/>
      <c r="BN376" s="5"/>
      <c r="BP376" s="5"/>
      <c r="BQ376" s="5"/>
      <c r="BR376" s="5"/>
      <c r="BS376" s="5"/>
      <c r="BU376" s="5"/>
      <c r="BV376" s="5"/>
      <c r="BW376" s="5"/>
      <c r="BX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</row>
    <row r="377" spans="23:101" ht="12.75">
      <c r="W377" s="5"/>
      <c r="X377" s="5"/>
      <c r="Y377" s="5"/>
      <c r="Z377" s="5"/>
      <c r="BK377" s="5"/>
      <c r="BL377" s="5"/>
      <c r="BM377" s="5"/>
      <c r="BN377" s="5"/>
      <c r="BP377" s="5"/>
      <c r="BQ377" s="5"/>
      <c r="BR377" s="5"/>
      <c r="BS377" s="5"/>
      <c r="BU377" s="5"/>
      <c r="BV377" s="5"/>
      <c r="BW377" s="5"/>
      <c r="BX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</row>
    <row r="378" spans="23:101" ht="12.75">
      <c r="W378" s="5"/>
      <c r="X378" s="5"/>
      <c r="Y378" s="5"/>
      <c r="Z378" s="5"/>
      <c r="BK378" s="5"/>
      <c r="BL378" s="5"/>
      <c r="BM378" s="5"/>
      <c r="BN378" s="5"/>
      <c r="BP378" s="5"/>
      <c r="BQ378" s="5"/>
      <c r="BR378" s="5"/>
      <c r="BS378" s="5"/>
      <c r="BU378" s="5"/>
      <c r="BV378" s="5"/>
      <c r="BW378" s="5"/>
      <c r="BX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</row>
    <row r="379" spans="23:101" ht="12.75">
      <c r="W379" s="5"/>
      <c r="X379" s="5"/>
      <c r="Y379" s="5"/>
      <c r="Z379" s="5"/>
      <c r="BK379" s="5"/>
      <c r="BL379" s="5"/>
      <c r="BM379" s="5"/>
      <c r="BN379" s="5"/>
      <c r="BP379" s="5"/>
      <c r="BQ379" s="5"/>
      <c r="BR379" s="5"/>
      <c r="BS379" s="5"/>
      <c r="BU379" s="5"/>
      <c r="BV379" s="5"/>
      <c r="BW379" s="5"/>
      <c r="BX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</row>
    <row r="380" spans="23:101" ht="12.75">
      <c r="W380" s="5"/>
      <c r="X380" s="5"/>
      <c r="Y380" s="5"/>
      <c r="Z380" s="5"/>
      <c r="BK380" s="5"/>
      <c r="BL380" s="5"/>
      <c r="BM380" s="5"/>
      <c r="BN380" s="5"/>
      <c r="BP380" s="5"/>
      <c r="BQ380" s="5"/>
      <c r="BR380" s="5"/>
      <c r="BS380" s="5"/>
      <c r="BU380" s="5"/>
      <c r="BV380" s="5"/>
      <c r="BW380" s="5"/>
      <c r="BX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</row>
    <row r="381" spans="23:101" ht="12.75">
      <c r="W381" s="5"/>
      <c r="X381" s="5"/>
      <c r="Y381" s="5"/>
      <c r="Z381" s="5"/>
      <c r="BK381" s="5"/>
      <c r="BL381" s="5"/>
      <c r="BM381" s="5"/>
      <c r="BN381" s="5"/>
      <c r="BP381" s="5"/>
      <c r="BQ381" s="5"/>
      <c r="BR381" s="5"/>
      <c r="BS381" s="5"/>
      <c r="BU381" s="5"/>
      <c r="BV381" s="5"/>
      <c r="BW381" s="5"/>
      <c r="BX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</row>
    <row r="382" spans="23:101" ht="12.75">
      <c r="W382" s="5"/>
      <c r="X382" s="5"/>
      <c r="Y382" s="5"/>
      <c r="Z382" s="5"/>
      <c r="BK382" s="5"/>
      <c r="BL382" s="5"/>
      <c r="BM382" s="5"/>
      <c r="BN382" s="5"/>
      <c r="BP382" s="5"/>
      <c r="BQ382" s="5"/>
      <c r="BR382" s="5"/>
      <c r="BS382" s="5"/>
      <c r="BU382" s="5"/>
      <c r="BV382" s="5"/>
      <c r="BW382" s="5"/>
      <c r="BX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</row>
    <row r="383" spans="23:101" ht="12.75">
      <c r="W383" s="5"/>
      <c r="X383" s="5"/>
      <c r="Y383" s="5"/>
      <c r="Z383" s="5"/>
      <c r="BK383" s="5"/>
      <c r="BL383" s="5"/>
      <c r="BM383" s="5"/>
      <c r="BN383" s="5"/>
      <c r="BP383" s="5"/>
      <c r="BQ383" s="5"/>
      <c r="BR383" s="5"/>
      <c r="BS383" s="5"/>
      <c r="BU383" s="5"/>
      <c r="BV383" s="5"/>
      <c r="BW383" s="5"/>
      <c r="BX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</row>
    <row r="384" spans="23:101" ht="12.75">
      <c r="W384" s="5"/>
      <c r="X384" s="5"/>
      <c r="Y384" s="5"/>
      <c r="Z384" s="5"/>
      <c r="BK384" s="5"/>
      <c r="BL384" s="5"/>
      <c r="BM384" s="5"/>
      <c r="BN384" s="5"/>
      <c r="BP384" s="5"/>
      <c r="BQ384" s="5"/>
      <c r="BR384" s="5"/>
      <c r="BS384" s="5"/>
      <c r="BU384" s="5"/>
      <c r="BV384" s="5"/>
      <c r="BW384" s="5"/>
      <c r="BX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</row>
    <row r="385" spans="23:101" ht="12.75">
      <c r="W385" s="5"/>
      <c r="X385" s="5"/>
      <c r="Y385" s="5"/>
      <c r="Z385" s="5"/>
      <c r="BK385" s="5"/>
      <c r="BL385" s="5"/>
      <c r="BM385" s="5"/>
      <c r="BN385" s="5"/>
      <c r="BP385" s="5"/>
      <c r="BQ385" s="5"/>
      <c r="BR385" s="5"/>
      <c r="BS385" s="5"/>
      <c r="BU385" s="5"/>
      <c r="BV385" s="5"/>
      <c r="BW385" s="5"/>
      <c r="BX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</row>
    <row r="386" spans="23:101" ht="12.75">
      <c r="W386" s="5"/>
      <c r="X386" s="5"/>
      <c r="Y386" s="5"/>
      <c r="Z386" s="5"/>
      <c r="BK386" s="5"/>
      <c r="BL386" s="5"/>
      <c r="BM386" s="5"/>
      <c r="BN386" s="5"/>
      <c r="BP386" s="5"/>
      <c r="BQ386" s="5"/>
      <c r="BR386" s="5"/>
      <c r="BS386" s="5"/>
      <c r="BU386" s="5"/>
      <c r="BV386" s="5"/>
      <c r="BW386" s="5"/>
      <c r="BX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</row>
    <row r="387" spans="23:101" ht="12.75">
      <c r="W387" s="5"/>
      <c r="X387" s="5"/>
      <c r="Y387" s="5"/>
      <c r="Z387" s="5"/>
      <c r="BK387" s="5"/>
      <c r="BL387" s="5"/>
      <c r="BM387" s="5"/>
      <c r="BN387" s="5"/>
      <c r="BP387" s="5"/>
      <c r="BQ387" s="5"/>
      <c r="BR387" s="5"/>
      <c r="BS387" s="5"/>
      <c r="BU387" s="5"/>
      <c r="BV387" s="5"/>
      <c r="BW387" s="5"/>
      <c r="BX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</row>
    <row r="388" spans="23:101" ht="12.75">
      <c r="W388" s="5"/>
      <c r="X388" s="5"/>
      <c r="Y388" s="5"/>
      <c r="Z388" s="5"/>
      <c r="BK388" s="5"/>
      <c r="BL388" s="5"/>
      <c r="BM388" s="5"/>
      <c r="BN388" s="5"/>
      <c r="BP388" s="5"/>
      <c r="BQ388" s="5"/>
      <c r="BR388" s="5"/>
      <c r="BS388" s="5"/>
      <c r="BU388" s="5"/>
      <c r="BV388" s="5"/>
      <c r="BW388" s="5"/>
      <c r="BX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</row>
    <row r="389" spans="23:101" ht="12.75">
      <c r="W389" s="5"/>
      <c r="X389" s="5"/>
      <c r="Y389" s="5"/>
      <c r="Z389" s="5"/>
      <c r="BK389" s="5"/>
      <c r="BL389" s="5"/>
      <c r="BM389" s="5"/>
      <c r="BN389" s="5"/>
      <c r="BP389" s="5"/>
      <c r="BQ389" s="5"/>
      <c r="BR389" s="5"/>
      <c r="BS389" s="5"/>
      <c r="BU389" s="5"/>
      <c r="BV389" s="5"/>
      <c r="BW389" s="5"/>
      <c r="BX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</row>
    <row r="390" spans="23:101" ht="12.75">
      <c r="W390" s="5"/>
      <c r="X390" s="5"/>
      <c r="Y390" s="5"/>
      <c r="Z390" s="5"/>
      <c r="BK390" s="5"/>
      <c r="BL390" s="5"/>
      <c r="BM390" s="5"/>
      <c r="BN390" s="5"/>
      <c r="BP390" s="5"/>
      <c r="BQ390" s="5"/>
      <c r="BR390" s="5"/>
      <c r="BS390" s="5"/>
      <c r="BU390" s="5"/>
      <c r="BV390" s="5"/>
      <c r="BW390" s="5"/>
      <c r="BX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</row>
    <row r="391" spans="23:101" ht="12.75">
      <c r="W391" s="5"/>
      <c r="X391" s="5"/>
      <c r="Y391" s="5"/>
      <c r="Z391" s="5"/>
      <c r="BK391" s="5"/>
      <c r="BL391" s="5"/>
      <c r="BM391" s="5"/>
      <c r="BN391" s="5"/>
      <c r="BP391" s="5"/>
      <c r="BQ391" s="5"/>
      <c r="BR391" s="5"/>
      <c r="BS391" s="5"/>
      <c r="BU391" s="5"/>
      <c r="BV391" s="5"/>
      <c r="BW391" s="5"/>
      <c r="BX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</row>
    <row r="392" spans="23:101" ht="12.75">
      <c r="W392" s="5"/>
      <c r="X392" s="5"/>
      <c r="Y392" s="5"/>
      <c r="Z392" s="5"/>
      <c r="BK392" s="5"/>
      <c r="BL392" s="5"/>
      <c r="BM392" s="5"/>
      <c r="BN392" s="5"/>
      <c r="BP392" s="5"/>
      <c r="BQ392" s="5"/>
      <c r="BR392" s="5"/>
      <c r="BS392" s="5"/>
      <c r="BU392" s="5"/>
      <c r="BV392" s="5"/>
      <c r="BW392" s="5"/>
      <c r="BX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</row>
    <row r="393" spans="23:101" ht="12.75">
      <c r="W393" s="5"/>
      <c r="X393" s="5"/>
      <c r="Y393" s="5"/>
      <c r="Z393" s="5"/>
      <c r="BK393" s="5"/>
      <c r="BL393" s="5"/>
      <c r="BM393" s="5"/>
      <c r="BN393" s="5"/>
      <c r="BP393" s="5"/>
      <c r="BQ393" s="5"/>
      <c r="BR393" s="5"/>
      <c r="BS393" s="5"/>
      <c r="BU393" s="5"/>
      <c r="BV393" s="5"/>
      <c r="BW393" s="5"/>
      <c r="BX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</row>
    <row r="394" spans="23:101" ht="12.75">
      <c r="W394" s="5"/>
      <c r="X394" s="5"/>
      <c r="Y394" s="5"/>
      <c r="Z394" s="5"/>
      <c r="BK394" s="5"/>
      <c r="BL394" s="5"/>
      <c r="BM394" s="5"/>
      <c r="BN394" s="5"/>
      <c r="BP394" s="5"/>
      <c r="BQ394" s="5"/>
      <c r="BR394" s="5"/>
      <c r="BS394" s="5"/>
      <c r="BU394" s="5"/>
      <c r="BV394" s="5"/>
      <c r="BW394" s="5"/>
      <c r="BX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</row>
    <row r="395" spans="23:101" ht="12.75">
      <c r="W395" s="5"/>
      <c r="X395" s="5"/>
      <c r="Y395" s="5"/>
      <c r="Z395" s="5"/>
      <c r="BK395" s="5"/>
      <c r="BL395" s="5"/>
      <c r="BM395" s="5"/>
      <c r="BN395" s="5"/>
      <c r="BP395" s="5"/>
      <c r="BQ395" s="5"/>
      <c r="BR395" s="5"/>
      <c r="BS395" s="5"/>
      <c r="BU395" s="5"/>
      <c r="BV395" s="5"/>
      <c r="BW395" s="5"/>
      <c r="BX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</row>
    <row r="396" spans="23:101" ht="12.75">
      <c r="W396" s="5"/>
      <c r="X396" s="5"/>
      <c r="Y396" s="5"/>
      <c r="Z396" s="5"/>
      <c r="BK396" s="5"/>
      <c r="BL396" s="5"/>
      <c r="BM396" s="5"/>
      <c r="BN396" s="5"/>
      <c r="BP396" s="5"/>
      <c r="BQ396" s="5"/>
      <c r="BR396" s="5"/>
      <c r="BS396" s="5"/>
      <c r="BU396" s="5"/>
      <c r="BV396" s="5"/>
      <c r="BW396" s="5"/>
      <c r="BX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</row>
    <row r="397" spans="23:101" ht="12.75">
      <c r="W397" s="5"/>
      <c r="X397" s="5"/>
      <c r="Y397" s="5"/>
      <c r="Z397" s="5"/>
      <c r="BK397" s="5"/>
      <c r="BL397" s="5"/>
      <c r="BM397" s="5"/>
      <c r="BN397" s="5"/>
      <c r="BP397" s="5"/>
      <c r="BQ397" s="5"/>
      <c r="BR397" s="5"/>
      <c r="BS397" s="5"/>
      <c r="BU397" s="5"/>
      <c r="BV397" s="5"/>
      <c r="BW397" s="5"/>
      <c r="BX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</row>
    <row r="398" spans="23:101" ht="12.75">
      <c r="W398" s="5"/>
      <c r="X398" s="5"/>
      <c r="Y398" s="5"/>
      <c r="Z398" s="5"/>
      <c r="BK398" s="5"/>
      <c r="BL398" s="5"/>
      <c r="BM398" s="5"/>
      <c r="BN398" s="5"/>
      <c r="BP398" s="5"/>
      <c r="BQ398" s="5"/>
      <c r="BR398" s="5"/>
      <c r="BS398" s="5"/>
      <c r="BU398" s="5"/>
      <c r="BV398" s="5"/>
      <c r="BW398" s="5"/>
      <c r="BX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</row>
    <row r="399" spans="23:101" ht="12.75">
      <c r="W399" s="5"/>
      <c r="X399" s="5"/>
      <c r="Y399" s="5"/>
      <c r="Z399" s="5"/>
      <c r="BK399" s="5"/>
      <c r="BL399" s="5"/>
      <c r="BM399" s="5"/>
      <c r="BN399" s="5"/>
      <c r="BP399" s="5"/>
      <c r="BQ399" s="5"/>
      <c r="BR399" s="5"/>
      <c r="BS399" s="5"/>
      <c r="BU399" s="5"/>
      <c r="BV399" s="5"/>
      <c r="BW399" s="5"/>
      <c r="BX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</row>
    <row r="400" spans="23:101" ht="12.75">
      <c r="W400" s="5"/>
      <c r="X400" s="5"/>
      <c r="Y400" s="5"/>
      <c r="Z400" s="5"/>
      <c r="BK400" s="5"/>
      <c r="BL400" s="5"/>
      <c r="BM400" s="5"/>
      <c r="BN400" s="5"/>
      <c r="BP400" s="5"/>
      <c r="BQ400" s="5"/>
      <c r="BR400" s="5"/>
      <c r="BS400" s="5"/>
      <c r="BU400" s="5"/>
      <c r="BV400" s="5"/>
      <c r="BW400" s="5"/>
      <c r="BX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</row>
    <row r="401" spans="23:101" ht="12.75">
      <c r="W401" s="5"/>
      <c r="X401" s="5"/>
      <c r="Y401" s="5"/>
      <c r="Z401" s="5"/>
      <c r="BK401" s="5"/>
      <c r="BL401" s="5"/>
      <c r="BM401" s="5"/>
      <c r="BN401" s="5"/>
      <c r="BP401" s="5"/>
      <c r="BQ401" s="5"/>
      <c r="BR401" s="5"/>
      <c r="BS401" s="5"/>
      <c r="BU401" s="5"/>
      <c r="BV401" s="5"/>
      <c r="BW401" s="5"/>
      <c r="BX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</row>
    <row r="402" spans="23:101" ht="12.75">
      <c r="W402" s="5"/>
      <c r="X402" s="5"/>
      <c r="Y402" s="5"/>
      <c r="Z402" s="5"/>
      <c r="BK402" s="5"/>
      <c r="BL402" s="5"/>
      <c r="BM402" s="5"/>
      <c r="BN402" s="5"/>
      <c r="BP402" s="5"/>
      <c r="BQ402" s="5"/>
      <c r="BR402" s="5"/>
      <c r="BS402" s="5"/>
      <c r="BU402" s="5"/>
      <c r="BV402" s="5"/>
      <c r="BW402" s="5"/>
      <c r="BX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</row>
    <row r="403" spans="23:101" ht="12.75">
      <c r="W403" s="5"/>
      <c r="X403" s="5"/>
      <c r="Y403" s="5"/>
      <c r="Z403" s="5"/>
      <c r="BK403" s="5"/>
      <c r="BL403" s="5"/>
      <c r="BM403" s="5"/>
      <c r="BN403" s="5"/>
      <c r="BP403" s="5"/>
      <c r="BQ403" s="5"/>
      <c r="BR403" s="5"/>
      <c r="BS403" s="5"/>
      <c r="BU403" s="5"/>
      <c r="BV403" s="5"/>
      <c r="BW403" s="5"/>
      <c r="BX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</row>
    <row r="404" spans="23:101" ht="12.75">
      <c r="W404" s="5"/>
      <c r="X404" s="5"/>
      <c r="Y404" s="5"/>
      <c r="Z404" s="5"/>
      <c r="BK404" s="5"/>
      <c r="BL404" s="5"/>
      <c r="BM404" s="5"/>
      <c r="BN404" s="5"/>
      <c r="BP404" s="5"/>
      <c r="BQ404" s="5"/>
      <c r="BR404" s="5"/>
      <c r="BS404" s="5"/>
      <c r="BU404" s="5"/>
      <c r="BV404" s="5"/>
      <c r="BW404" s="5"/>
      <c r="BX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</row>
    <row r="405" spans="23:101" ht="12.75">
      <c r="W405" s="5"/>
      <c r="X405" s="5"/>
      <c r="Y405" s="5"/>
      <c r="Z405" s="5"/>
      <c r="BK405" s="5"/>
      <c r="BL405" s="5"/>
      <c r="BM405" s="5"/>
      <c r="BN405" s="5"/>
      <c r="BP405" s="5"/>
      <c r="BQ405" s="5"/>
      <c r="BR405" s="5"/>
      <c r="BS405" s="5"/>
      <c r="BU405" s="5"/>
      <c r="BV405" s="5"/>
      <c r="BW405" s="5"/>
      <c r="BX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</row>
    <row r="406" spans="23:101" ht="12.75">
      <c r="W406" s="5"/>
      <c r="X406" s="5"/>
      <c r="Y406" s="5"/>
      <c r="Z406" s="5"/>
      <c r="BK406" s="5"/>
      <c r="BL406" s="5"/>
      <c r="BM406" s="5"/>
      <c r="BN406" s="5"/>
      <c r="BP406" s="5"/>
      <c r="BQ406" s="5"/>
      <c r="BR406" s="5"/>
      <c r="BS406" s="5"/>
      <c r="BU406" s="5"/>
      <c r="BV406" s="5"/>
      <c r="BW406" s="5"/>
      <c r="BX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</row>
    <row r="407" spans="23:101" ht="12.75">
      <c r="W407" s="5"/>
      <c r="X407" s="5"/>
      <c r="Y407" s="5"/>
      <c r="Z407" s="5"/>
      <c r="BK407" s="5"/>
      <c r="BL407" s="5"/>
      <c r="BM407" s="5"/>
      <c r="BN407" s="5"/>
      <c r="BP407" s="5"/>
      <c r="BQ407" s="5"/>
      <c r="BR407" s="5"/>
      <c r="BS407" s="5"/>
      <c r="BU407" s="5"/>
      <c r="BV407" s="5"/>
      <c r="BW407" s="5"/>
      <c r="BX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</row>
    <row r="408" spans="23:101" ht="12.75">
      <c r="W408" s="5"/>
      <c r="X408" s="5"/>
      <c r="Y408" s="5"/>
      <c r="Z408" s="5"/>
      <c r="BK408" s="5"/>
      <c r="BL408" s="5"/>
      <c r="BM408" s="5"/>
      <c r="BN408" s="5"/>
      <c r="BP408" s="5"/>
      <c r="BQ408" s="5"/>
      <c r="BR408" s="5"/>
      <c r="BS408" s="5"/>
      <c r="BU408" s="5"/>
      <c r="BV408" s="5"/>
      <c r="BW408" s="5"/>
      <c r="BX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</row>
    <row r="409" spans="23:101" ht="12.75">
      <c r="W409" s="5"/>
      <c r="X409" s="5"/>
      <c r="Y409" s="5"/>
      <c r="Z409" s="5"/>
      <c r="BK409" s="5"/>
      <c r="BL409" s="5"/>
      <c r="BM409" s="5"/>
      <c r="BN409" s="5"/>
      <c r="BP409" s="5"/>
      <c r="BQ409" s="5"/>
      <c r="BR409" s="5"/>
      <c r="BS409" s="5"/>
      <c r="BU409" s="5"/>
      <c r="BV409" s="5"/>
      <c r="BW409" s="5"/>
      <c r="BX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</row>
    <row r="410" spans="23:101" ht="12.75">
      <c r="W410" s="5"/>
      <c r="X410" s="5"/>
      <c r="Y410" s="5"/>
      <c r="Z410" s="5"/>
      <c r="BK410" s="5"/>
      <c r="BL410" s="5"/>
      <c r="BM410" s="5"/>
      <c r="BN410" s="5"/>
      <c r="BP410" s="5"/>
      <c r="BQ410" s="5"/>
      <c r="BR410" s="5"/>
      <c r="BS410" s="5"/>
      <c r="BU410" s="5"/>
      <c r="BV410" s="5"/>
      <c r="BW410" s="5"/>
      <c r="BX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</row>
    <row r="411" spans="23:101" ht="12.75">
      <c r="W411" s="5"/>
      <c r="X411" s="5"/>
      <c r="Y411" s="5"/>
      <c r="Z411" s="5"/>
      <c r="BK411" s="5"/>
      <c r="BL411" s="5"/>
      <c r="BM411" s="5"/>
      <c r="BN411" s="5"/>
      <c r="BP411" s="5"/>
      <c r="BQ411" s="5"/>
      <c r="BR411" s="5"/>
      <c r="BS411" s="5"/>
      <c r="BU411" s="5"/>
      <c r="BV411" s="5"/>
      <c r="BW411" s="5"/>
      <c r="BX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</row>
    <row r="412" spans="23:101" ht="12.75">
      <c r="W412" s="5"/>
      <c r="X412" s="5"/>
      <c r="Y412" s="5"/>
      <c r="Z412" s="5"/>
      <c r="BK412" s="5"/>
      <c r="BL412" s="5"/>
      <c r="BM412" s="5"/>
      <c r="BN412" s="5"/>
      <c r="BP412" s="5"/>
      <c r="BQ412" s="5"/>
      <c r="BR412" s="5"/>
      <c r="BS412" s="5"/>
      <c r="BU412" s="5"/>
      <c r="BV412" s="5"/>
      <c r="BW412" s="5"/>
      <c r="BX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</row>
    <row r="413" spans="23:101" ht="12.75">
      <c r="W413" s="5"/>
      <c r="X413" s="5"/>
      <c r="Y413" s="5"/>
      <c r="Z413" s="5"/>
      <c r="BK413" s="5"/>
      <c r="BL413" s="5"/>
      <c r="BM413" s="5"/>
      <c r="BN413" s="5"/>
      <c r="BP413" s="5"/>
      <c r="BQ413" s="5"/>
      <c r="BR413" s="5"/>
      <c r="BS413" s="5"/>
      <c r="BU413" s="5"/>
      <c r="BV413" s="5"/>
      <c r="BW413" s="5"/>
      <c r="BX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</row>
    <row r="414" spans="23:101" ht="12.75">
      <c r="W414" s="5"/>
      <c r="X414" s="5"/>
      <c r="Y414" s="5"/>
      <c r="Z414" s="5"/>
      <c r="BK414" s="5"/>
      <c r="BL414" s="5"/>
      <c r="BM414" s="5"/>
      <c r="BN414" s="5"/>
      <c r="BP414" s="5"/>
      <c r="BQ414" s="5"/>
      <c r="BR414" s="5"/>
      <c r="BS414" s="5"/>
      <c r="BU414" s="5"/>
      <c r="BV414" s="5"/>
      <c r="BW414" s="5"/>
      <c r="BX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</row>
    <row r="415" spans="23:101" ht="12.75">
      <c r="W415" s="5"/>
      <c r="X415" s="5"/>
      <c r="Y415" s="5"/>
      <c r="Z415" s="5"/>
      <c r="BK415" s="5"/>
      <c r="BL415" s="5"/>
      <c r="BM415" s="5"/>
      <c r="BN415" s="5"/>
      <c r="BP415" s="5"/>
      <c r="BQ415" s="5"/>
      <c r="BR415" s="5"/>
      <c r="BS415" s="5"/>
      <c r="BU415" s="5"/>
      <c r="BV415" s="5"/>
      <c r="BW415" s="5"/>
      <c r="BX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</row>
    <row r="416" spans="23:101" ht="12.75">
      <c r="W416" s="5"/>
      <c r="X416" s="5"/>
      <c r="Y416" s="5"/>
      <c r="Z416" s="5"/>
      <c r="BK416" s="5"/>
      <c r="BL416" s="5"/>
      <c r="BM416" s="5"/>
      <c r="BN416" s="5"/>
      <c r="BP416" s="5"/>
      <c r="BQ416" s="5"/>
      <c r="BR416" s="5"/>
      <c r="BS416" s="5"/>
      <c r="BU416" s="5"/>
      <c r="BV416" s="5"/>
      <c r="BW416" s="5"/>
      <c r="BX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</row>
    <row r="417" spans="23:101" ht="12.75">
      <c r="W417" s="5"/>
      <c r="X417" s="5"/>
      <c r="Y417" s="5"/>
      <c r="Z417" s="5"/>
      <c r="BK417" s="5"/>
      <c r="BL417" s="5"/>
      <c r="BM417" s="5"/>
      <c r="BN417" s="5"/>
      <c r="BP417" s="5"/>
      <c r="BQ417" s="5"/>
      <c r="BR417" s="5"/>
      <c r="BS417" s="5"/>
      <c r="BU417" s="5"/>
      <c r="BV417" s="5"/>
      <c r="BW417" s="5"/>
      <c r="BX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</row>
    <row r="418" spans="23:101" ht="12.75">
      <c r="W418" s="5"/>
      <c r="X418" s="5"/>
      <c r="Y418" s="5"/>
      <c r="Z418" s="5"/>
      <c r="BK418" s="5"/>
      <c r="BL418" s="5"/>
      <c r="BM418" s="5"/>
      <c r="BN418" s="5"/>
      <c r="BP418" s="5"/>
      <c r="BQ418" s="5"/>
      <c r="BR418" s="5"/>
      <c r="BS418" s="5"/>
      <c r="BU418" s="5"/>
      <c r="BV418" s="5"/>
      <c r="BW418" s="5"/>
      <c r="BX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</row>
    <row r="419" spans="23:101" ht="12.75">
      <c r="W419" s="5"/>
      <c r="X419" s="5"/>
      <c r="Y419" s="5"/>
      <c r="Z419" s="5"/>
      <c r="BK419" s="5"/>
      <c r="BL419" s="5"/>
      <c r="BM419" s="5"/>
      <c r="BN419" s="5"/>
      <c r="BP419" s="5"/>
      <c r="BQ419" s="5"/>
      <c r="BR419" s="5"/>
      <c r="BS419" s="5"/>
      <c r="BU419" s="5"/>
      <c r="BV419" s="5"/>
      <c r="BW419" s="5"/>
      <c r="BX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</row>
    <row r="420" spans="23:101" ht="12.75">
      <c r="W420" s="5"/>
      <c r="X420" s="5"/>
      <c r="Y420" s="5"/>
      <c r="Z420" s="5"/>
      <c r="BK420" s="5"/>
      <c r="BL420" s="5"/>
      <c r="BM420" s="5"/>
      <c r="BN420" s="5"/>
      <c r="BP420" s="5"/>
      <c r="BQ420" s="5"/>
      <c r="BR420" s="5"/>
      <c r="BS420" s="5"/>
      <c r="BU420" s="5"/>
      <c r="BV420" s="5"/>
      <c r="BW420" s="5"/>
      <c r="BX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</row>
    <row r="421" spans="23:101" ht="12.75">
      <c r="W421" s="5"/>
      <c r="X421" s="5"/>
      <c r="Y421" s="5"/>
      <c r="Z421" s="5"/>
      <c r="BK421" s="5"/>
      <c r="BL421" s="5"/>
      <c r="BM421" s="5"/>
      <c r="BN421" s="5"/>
      <c r="BP421" s="5"/>
      <c r="BQ421" s="5"/>
      <c r="BR421" s="5"/>
      <c r="BS421" s="5"/>
      <c r="BU421" s="5"/>
      <c r="BV421" s="5"/>
      <c r="BW421" s="5"/>
      <c r="BX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</row>
    <row r="422" spans="23:101" ht="12.75">
      <c r="W422" s="5"/>
      <c r="X422" s="5"/>
      <c r="Y422" s="5"/>
      <c r="Z422" s="5"/>
      <c r="BK422" s="5"/>
      <c r="BL422" s="5"/>
      <c r="BM422" s="5"/>
      <c r="BN422" s="5"/>
      <c r="BP422" s="5"/>
      <c r="BQ422" s="5"/>
      <c r="BR422" s="5"/>
      <c r="BS422" s="5"/>
      <c r="BU422" s="5"/>
      <c r="BV422" s="5"/>
      <c r="BW422" s="5"/>
      <c r="BX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</row>
    <row r="423" spans="23:101" ht="12.75">
      <c r="W423" s="5"/>
      <c r="X423" s="5"/>
      <c r="Y423" s="5"/>
      <c r="Z423" s="5"/>
      <c r="BK423" s="5"/>
      <c r="BL423" s="5"/>
      <c r="BM423" s="5"/>
      <c r="BN423" s="5"/>
      <c r="BP423" s="5"/>
      <c r="BQ423" s="5"/>
      <c r="BR423" s="5"/>
      <c r="BS423" s="5"/>
      <c r="BU423" s="5"/>
      <c r="BV423" s="5"/>
      <c r="BW423" s="5"/>
      <c r="BX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</row>
    <row r="424" spans="23:101" ht="12.75">
      <c r="W424" s="5"/>
      <c r="X424" s="5"/>
      <c r="Y424" s="5"/>
      <c r="Z424" s="5"/>
      <c r="BK424" s="5"/>
      <c r="BL424" s="5"/>
      <c r="BM424" s="5"/>
      <c r="BN424" s="5"/>
      <c r="BP424" s="5"/>
      <c r="BQ424" s="5"/>
      <c r="BR424" s="5"/>
      <c r="BS424" s="5"/>
      <c r="BU424" s="5"/>
      <c r="BV424" s="5"/>
      <c r="BW424" s="5"/>
      <c r="BX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</row>
    <row r="425" spans="23:101" ht="12.75">
      <c r="W425" s="5"/>
      <c r="X425" s="5"/>
      <c r="Y425" s="5"/>
      <c r="Z425" s="5"/>
      <c r="BK425" s="5"/>
      <c r="BL425" s="5"/>
      <c r="BM425" s="5"/>
      <c r="BN425" s="5"/>
      <c r="BP425" s="5"/>
      <c r="BQ425" s="5"/>
      <c r="BR425" s="5"/>
      <c r="BS425" s="5"/>
      <c r="BU425" s="5"/>
      <c r="BV425" s="5"/>
      <c r="BW425" s="5"/>
      <c r="BX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</row>
    <row r="426" spans="23:101" ht="12.75">
      <c r="W426" s="5"/>
      <c r="X426" s="5"/>
      <c r="Y426" s="5"/>
      <c r="Z426" s="5"/>
      <c r="BK426" s="5"/>
      <c r="BL426" s="5"/>
      <c r="BM426" s="5"/>
      <c r="BN426" s="5"/>
      <c r="BP426" s="5"/>
      <c r="BQ426" s="5"/>
      <c r="BR426" s="5"/>
      <c r="BS426" s="5"/>
      <c r="BU426" s="5"/>
      <c r="BV426" s="5"/>
      <c r="BW426" s="5"/>
      <c r="BX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</row>
    <row r="427" spans="23:101" ht="12.75">
      <c r="W427" s="5"/>
      <c r="X427" s="5"/>
      <c r="Y427" s="5"/>
      <c r="Z427" s="5"/>
      <c r="BK427" s="5"/>
      <c r="BL427" s="5"/>
      <c r="BM427" s="5"/>
      <c r="BN427" s="5"/>
      <c r="BP427" s="5"/>
      <c r="BQ427" s="5"/>
      <c r="BR427" s="5"/>
      <c r="BS427" s="5"/>
      <c r="BU427" s="5"/>
      <c r="BV427" s="5"/>
      <c r="BW427" s="5"/>
      <c r="BX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</row>
    <row r="428" spans="23:101" ht="12.75">
      <c r="W428" s="5"/>
      <c r="X428" s="5"/>
      <c r="Y428" s="5"/>
      <c r="Z428" s="5"/>
      <c r="BK428" s="5"/>
      <c r="BL428" s="5"/>
      <c r="BM428" s="5"/>
      <c r="BN428" s="5"/>
      <c r="BP428" s="5"/>
      <c r="BQ428" s="5"/>
      <c r="BR428" s="5"/>
      <c r="BS428" s="5"/>
      <c r="BU428" s="5"/>
      <c r="BV428" s="5"/>
      <c r="BW428" s="5"/>
      <c r="BX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</row>
    <row r="429" spans="23:101" ht="12.75">
      <c r="W429" s="5"/>
      <c r="X429" s="5"/>
      <c r="Y429" s="5"/>
      <c r="Z429" s="5"/>
      <c r="BK429" s="5"/>
      <c r="BL429" s="5"/>
      <c r="BM429" s="5"/>
      <c r="BN429" s="5"/>
      <c r="BP429" s="5"/>
      <c r="BQ429" s="5"/>
      <c r="BR429" s="5"/>
      <c r="BS429" s="5"/>
      <c r="BU429" s="5"/>
      <c r="BV429" s="5"/>
      <c r="BW429" s="5"/>
      <c r="BX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</row>
    <row r="430" spans="23:101" ht="12.75">
      <c r="W430" s="5"/>
      <c r="X430" s="5"/>
      <c r="Y430" s="5"/>
      <c r="Z430" s="5"/>
      <c r="BK430" s="5"/>
      <c r="BL430" s="5"/>
      <c r="BM430" s="5"/>
      <c r="BN430" s="5"/>
      <c r="BP430" s="5"/>
      <c r="BQ430" s="5"/>
      <c r="BR430" s="5"/>
      <c r="BS430" s="5"/>
      <c r="BU430" s="5"/>
      <c r="BV430" s="5"/>
      <c r="BW430" s="5"/>
      <c r="BX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</row>
    <row r="431" spans="23:101" ht="12.75">
      <c r="W431" s="5"/>
      <c r="X431" s="5"/>
      <c r="Y431" s="5"/>
      <c r="Z431" s="5"/>
      <c r="BK431" s="5"/>
      <c r="BL431" s="5"/>
      <c r="BM431" s="5"/>
      <c r="BN431" s="5"/>
      <c r="BP431" s="5"/>
      <c r="BQ431" s="5"/>
      <c r="BR431" s="5"/>
      <c r="BS431" s="5"/>
      <c r="BU431" s="5"/>
      <c r="BV431" s="5"/>
      <c r="BW431" s="5"/>
      <c r="BX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</row>
    <row r="432" spans="23:101" ht="12.75">
      <c r="W432" s="5"/>
      <c r="X432" s="5"/>
      <c r="Y432" s="5"/>
      <c r="Z432" s="5"/>
      <c r="BK432" s="5"/>
      <c r="BL432" s="5"/>
      <c r="BM432" s="5"/>
      <c r="BN432" s="5"/>
      <c r="BP432" s="5"/>
      <c r="BQ432" s="5"/>
      <c r="BR432" s="5"/>
      <c r="BS432" s="5"/>
      <c r="BU432" s="5"/>
      <c r="BV432" s="5"/>
      <c r="BW432" s="5"/>
      <c r="BX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</row>
    <row r="433" spans="23:101" ht="12.75">
      <c r="W433" s="5"/>
      <c r="X433" s="5"/>
      <c r="Y433" s="5"/>
      <c r="Z433" s="5"/>
      <c r="BK433" s="5"/>
      <c r="BL433" s="5"/>
      <c r="BM433" s="5"/>
      <c r="BN433" s="5"/>
      <c r="BP433" s="5"/>
      <c r="BQ433" s="5"/>
      <c r="BR433" s="5"/>
      <c r="BS433" s="5"/>
      <c r="BU433" s="5"/>
      <c r="BV433" s="5"/>
      <c r="BW433" s="5"/>
      <c r="BX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</row>
    <row r="434" spans="23:101" ht="12.75">
      <c r="W434" s="5"/>
      <c r="X434" s="5"/>
      <c r="Y434" s="5"/>
      <c r="Z434" s="5"/>
      <c r="BK434" s="5"/>
      <c r="BL434" s="5"/>
      <c r="BM434" s="5"/>
      <c r="BN434" s="5"/>
      <c r="BP434" s="5"/>
      <c r="BQ434" s="5"/>
      <c r="BR434" s="5"/>
      <c r="BS434" s="5"/>
      <c r="BU434" s="5"/>
      <c r="BV434" s="5"/>
      <c r="BW434" s="5"/>
      <c r="BX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</row>
    <row r="435" spans="23:101" ht="12.75">
      <c r="W435" s="5"/>
      <c r="X435" s="5"/>
      <c r="Y435" s="5"/>
      <c r="Z435" s="5"/>
      <c r="BK435" s="5"/>
      <c r="BL435" s="5"/>
      <c r="BM435" s="5"/>
      <c r="BN435" s="5"/>
      <c r="BP435" s="5"/>
      <c r="BQ435" s="5"/>
      <c r="BR435" s="5"/>
      <c r="BS435" s="5"/>
      <c r="BU435" s="5"/>
      <c r="BV435" s="5"/>
      <c r="BW435" s="5"/>
      <c r="BX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</row>
    <row r="436" spans="23:101" ht="12.75">
      <c r="W436" s="5"/>
      <c r="X436" s="5"/>
      <c r="Y436" s="5"/>
      <c r="Z436" s="5"/>
      <c r="BK436" s="5"/>
      <c r="BL436" s="5"/>
      <c r="BM436" s="5"/>
      <c r="BN436" s="5"/>
      <c r="BP436" s="5"/>
      <c r="BQ436" s="5"/>
      <c r="BR436" s="5"/>
      <c r="BS436" s="5"/>
      <c r="BU436" s="5"/>
      <c r="BV436" s="5"/>
      <c r="BW436" s="5"/>
      <c r="BX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</row>
    <row r="437" spans="23:101" ht="12.75">
      <c r="W437" s="5"/>
      <c r="X437" s="5"/>
      <c r="Y437" s="5"/>
      <c r="Z437" s="5"/>
      <c r="BK437" s="5"/>
      <c r="BL437" s="5"/>
      <c r="BM437" s="5"/>
      <c r="BN437" s="5"/>
      <c r="BP437" s="5"/>
      <c r="BQ437" s="5"/>
      <c r="BR437" s="5"/>
      <c r="BS437" s="5"/>
      <c r="BU437" s="5"/>
      <c r="BV437" s="5"/>
      <c r="BW437" s="5"/>
      <c r="BX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</row>
    <row r="438" spans="23:101" ht="12.75">
      <c r="W438" s="5"/>
      <c r="X438" s="5"/>
      <c r="Y438" s="5"/>
      <c r="Z438" s="5"/>
      <c r="BK438" s="5"/>
      <c r="BL438" s="5"/>
      <c r="BM438" s="5"/>
      <c r="BN438" s="5"/>
      <c r="BP438" s="5"/>
      <c r="BQ438" s="5"/>
      <c r="BR438" s="5"/>
      <c r="BS438" s="5"/>
      <c r="BU438" s="5"/>
      <c r="BV438" s="5"/>
      <c r="BW438" s="5"/>
      <c r="BX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</row>
    <row r="439" spans="23:101" ht="12.75">
      <c r="W439" s="5"/>
      <c r="X439" s="5"/>
      <c r="Y439" s="5"/>
      <c r="Z439" s="5"/>
      <c r="BK439" s="5"/>
      <c r="BL439" s="5"/>
      <c r="BM439" s="5"/>
      <c r="BN439" s="5"/>
      <c r="BP439" s="5"/>
      <c r="BQ439" s="5"/>
      <c r="BR439" s="5"/>
      <c r="BS439" s="5"/>
      <c r="BU439" s="5"/>
      <c r="BV439" s="5"/>
      <c r="BW439" s="5"/>
      <c r="BX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</row>
    <row r="440" spans="23:101" ht="12.75">
      <c r="W440" s="5"/>
      <c r="X440" s="5"/>
      <c r="Y440" s="5"/>
      <c r="Z440" s="5"/>
      <c r="BK440" s="5"/>
      <c r="BL440" s="5"/>
      <c r="BM440" s="5"/>
      <c r="BN440" s="5"/>
      <c r="BP440" s="5"/>
      <c r="BQ440" s="5"/>
      <c r="BR440" s="5"/>
      <c r="BS440" s="5"/>
      <c r="BU440" s="5"/>
      <c r="BV440" s="5"/>
      <c r="BW440" s="5"/>
      <c r="BX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</row>
    <row r="441" spans="23:101" ht="12.75">
      <c r="W441" s="5"/>
      <c r="X441" s="5"/>
      <c r="Y441" s="5"/>
      <c r="Z441" s="5"/>
      <c r="BK441" s="5"/>
      <c r="BL441" s="5"/>
      <c r="BM441" s="5"/>
      <c r="BN441" s="5"/>
      <c r="BP441" s="5"/>
      <c r="BQ441" s="5"/>
      <c r="BR441" s="5"/>
      <c r="BS441" s="5"/>
      <c r="BU441" s="5"/>
      <c r="BV441" s="5"/>
      <c r="BW441" s="5"/>
      <c r="BX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</row>
    <row r="442" spans="23:101" ht="12.75">
      <c r="W442" s="5"/>
      <c r="X442" s="5"/>
      <c r="Y442" s="5"/>
      <c r="Z442" s="5"/>
      <c r="BK442" s="5"/>
      <c r="BL442" s="5"/>
      <c r="BM442" s="5"/>
      <c r="BN442" s="5"/>
      <c r="BP442" s="5"/>
      <c r="BQ442" s="5"/>
      <c r="BR442" s="5"/>
      <c r="BS442" s="5"/>
      <c r="BU442" s="5"/>
      <c r="BV442" s="5"/>
      <c r="BW442" s="5"/>
      <c r="BX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</row>
    <row r="443" spans="23:101" ht="12.75">
      <c r="W443" s="5"/>
      <c r="X443" s="5"/>
      <c r="Y443" s="5"/>
      <c r="Z443" s="5"/>
      <c r="BK443" s="5"/>
      <c r="BL443" s="5"/>
      <c r="BM443" s="5"/>
      <c r="BN443" s="5"/>
      <c r="BP443" s="5"/>
      <c r="BQ443" s="5"/>
      <c r="BR443" s="5"/>
      <c r="BS443" s="5"/>
      <c r="BU443" s="5"/>
      <c r="BV443" s="5"/>
      <c r="BW443" s="5"/>
      <c r="BX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</row>
    <row r="444" spans="23:101" ht="12.75">
      <c r="W444" s="5"/>
      <c r="X444" s="5"/>
      <c r="Y444" s="5"/>
      <c r="Z444" s="5"/>
      <c r="BK444" s="5"/>
      <c r="BL444" s="5"/>
      <c r="BM444" s="5"/>
      <c r="BN444" s="5"/>
      <c r="BP444" s="5"/>
      <c r="BQ444" s="5"/>
      <c r="BR444" s="5"/>
      <c r="BS444" s="5"/>
      <c r="BU444" s="5"/>
      <c r="BV444" s="5"/>
      <c r="BW444" s="5"/>
      <c r="BX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</row>
    <row r="445" spans="23:101" ht="12.75">
      <c r="W445" s="5"/>
      <c r="X445" s="5"/>
      <c r="Y445" s="5"/>
      <c r="Z445" s="5"/>
      <c r="BK445" s="5"/>
      <c r="BL445" s="5"/>
      <c r="BM445" s="5"/>
      <c r="BN445" s="5"/>
      <c r="BP445" s="5"/>
      <c r="BQ445" s="5"/>
      <c r="BR445" s="5"/>
      <c r="BS445" s="5"/>
      <c r="BU445" s="5"/>
      <c r="BV445" s="5"/>
      <c r="BW445" s="5"/>
      <c r="BX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</row>
    <row r="446" spans="23:101" ht="12.75">
      <c r="W446" s="5"/>
      <c r="X446" s="5"/>
      <c r="Y446" s="5"/>
      <c r="Z446" s="5"/>
      <c r="BK446" s="5"/>
      <c r="BL446" s="5"/>
      <c r="BM446" s="5"/>
      <c r="BN446" s="5"/>
      <c r="BP446" s="5"/>
      <c r="BQ446" s="5"/>
      <c r="BR446" s="5"/>
      <c r="BS446" s="5"/>
      <c r="BU446" s="5"/>
      <c r="BV446" s="5"/>
      <c r="BW446" s="5"/>
      <c r="BX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</row>
    <row r="447" spans="23:101" ht="12.75">
      <c r="W447" s="5"/>
      <c r="X447" s="5"/>
      <c r="Y447" s="5"/>
      <c r="Z447" s="5"/>
      <c r="BK447" s="5"/>
      <c r="BL447" s="5"/>
      <c r="BM447" s="5"/>
      <c r="BN447" s="5"/>
      <c r="BP447" s="5"/>
      <c r="BQ447" s="5"/>
      <c r="BR447" s="5"/>
      <c r="BS447" s="5"/>
      <c r="BU447" s="5"/>
      <c r="BV447" s="5"/>
      <c r="BW447" s="5"/>
      <c r="BX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</row>
    <row r="448" spans="23:101" ht="12.75">
      <c r="W448" s="5"/>
      <c r="X448" s="5"/>
      <c r="Y448" s="5"/>
      <c r="Z448" s="5"/>
      <c r="BK448" s="5"/>
      <c r="BL448" s="5"/>
      <c r="BM448" s="5"/>
      <c r="BN448" s="5"/>
      <c r="BP448" s="5"/>
      <c r="BQ448" s="5"/>
      <c r="BR448" s="5"/>
      <c r="BS448" s="5"/>
      <c r="BU448" s="5"/>
      <c r="BV448" s="5"/>
      <c r="BW448" s="5"/>
      <c r="BX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</row>
    <row r="449" spans="23:101" ht="12.75">
      <c r="W449" s="5"/>
      <c r="X449" s="5"/>
      <c r="Y449" s="5"/>
      <c r="Z449" s="5"/>
      <c r="BK449" s="5"/>
      <c r="BL449" s="5"/>
      <c r="BM449" s="5"/>
      <c r="BN449" s="5"/>
      <c r="BP449" s="5"/>
      <c r="BQ449" s="5"/>
      <c r="BR449" s="5"/>
      <c r="BS449" s="5"/>
      <c r="BU449" s="5"/>
      <c r="BV449" s="5"/>
      <c r="BW449" s="5"/>
      <c r="BX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</row>
    <row r="450" spans="23:101" ht="12.75">
      <c r="W450" s="5"/>
      <c r="X450" s="5"/>
      <c r="Y450" s="5"/>
      <c r="Z450" s="5"/>
      <c r="BK450" s="5"/>
      <c r="BL450" s="5"/>
      <c r="BM450" s="5"/>
      <c r="BN450" s="5"/>
      <c r="BP450" s="5"/>
      <c r="BQ450" s="5"/>
      <c r="BR450" s="5"/>
      <c r="BS450" s="5"/>
      <c r="BU450" s="5"/>
      <c r="BV450" s="5"/>
      <c r="BW450" s="5"/>
      <c r="BX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</row>
    <row r="451" spans="23:101" ht="12.75">
      <c r="W451" s="5"/>
      <c r="X451" s="5"/>
      <c r="Y451" s="5"/>
      <c r="Z451" s="5"/>
      <c r="BK451" s="5"/>
      <c r="BL451" s="5"/>
      <c r="BM451" s="5"/>
      <c r="BN451" s="5"/>
      <c r="BP451" s="5"/>
      <c r="BQ451" s="5"/>
      <c r="BR451" s="5"/>
      <c r="BS451" s="5"/>
      <c r="BU451" s="5"/>
      <c r="BV451" s="5"/>
      <c r="BW451" s="5"/>
      <c r="BX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</row>
    <row r="452" spans="23:101" ht="12.75">
      <c r="W452" s="5"/>
      <c r="X452" s="5"/>
      <c r="Y452" s="5"/>
      <c r="Z452" s="5"/>
      <c r="BK452" s="5"/>
      <c r="BL452" s="5"/>
      <c r="BM452" s="5"/>
      <c r="BN452" s="5"/>
      <c r="BP452" s="5"/>
      <c r="BQ452" s="5"/>
      <c r="BR452" s="5"/>
      <c r="BS452" s="5"/>
      <c r="BU452" s="5"/>
      <c r="BV452" s="5"/>
      <c r="BW452" s="5"/>
      <c r="BX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</row>
    <row r="453" spans="23:101" ht="12.75">
      <c r="W453" s="5"/>
      <c r="X453" s="5"/>
      <c r="Y453" s="5"/>
      <c r="Z453" s="5"/>
      <c r="BK453" s="5"/>
      <c r="BL453" s="5"/>
      <c r="BM453" s="5"/>
      <c r="BN453" s="5"/>
      <c r="BP453" s="5"/>
      <c r="BQ453" s="5"/>
      <c r="BR453" s="5"/>
      <c r="BS453" s="5"/>
      <c r="BU453" s="5"/>
      <c r="BV453" s="5"/>
      <c r="BW453" s="5"/>
      <c r="BX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</row>
    <row r="454" spans="23:101" ht="12.75">
      <c r="W454" s="5"/>
      <c r="X454" s="5"/>
      <c r="Y454" s="5"/>
      <c r="Z454" s="5"/>
      <c r="BK454" s="5"/>
      <c r="BL454" s="5"/>
      <c r="BM454" s="5"/>
      <c r="BN454" s="5"/>
      <c r="BP454" s="5"/>
      <c r="BQ454" s="5"/>
      <c r="BR454" s="5"/>
      <c r="BS454" s="5"/>
      <c r="BU454" s="5"/>
      <c r="BV454" s="5"/>
      <c r="BW454" s="5"/>
      <c r="BX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</row>
    <row r="455" spans="23:101" ht="12.75">
      <c r="W455" s="5"/>
      <c r="X455" s="5"/>
      <c r="Y455" s="5"/>
      <c r="Z455" s="5"/>
      <c r="BK455" s="5"/>
      <c r="BL455" s="5"/>
      <c r="BM455" s="5"/>
      <c r="BN455" s="5"/>
      <c r="BP455" s="5"/>
      <c r="BQ455" s="5"/>
      <c r="BR455" s="5"/>
      <c r="BS455" s="5"/>
      <c r="BU455" s="5"/>
      <c r="BV455" s="5"/>
      <c r="BW455" s="5"/>
      <c r="BX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</row>
    <row r="456" spans="23:101" ht="12.75">
      <c r="W456" s="5"/>
      <c r="X456" s="5"/>
      <c r="Y456" s="5"/>
      <c r="Z456" s="5"/>
      <c r="BK456" s="5"/>
      <c r="BL456" s="5"/>
      <c r="BM456" s="5"/>
      <c r="BN456" s="5"/>
      <c r="BP456" s="5"/>
      <c r="BQ456" s="5"/>
      <c r="BR456" s="5"/>
      <c r="BS456" s="5"/>
      <c r="BU456" s="5"/>
      <c r="BV456" s="5"/>
      <c r="BW456" s="5"/>
      <c r="BX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</row>
    <row r="457" spans="23:101" ht="12.75">
      <c r="W457" s="5"/>
      <c r="X457" s="5"/>
      <c r="Y457" s="5"/>
      <c r="Z457" s="5"/>
      <c r="BK457" s="5"/>
      <c r="BL457" s="5"/>
      <c r="BM457" s="5"/>
      <c r="BN457" s="5"/>
      <c r="BP457" s="5"/>
      <c r="BQ457" s="5"/>
      <c r="BR457" s="5"/>
      <c r="BS457" s="5"/>
      <c r="BU457" s="5"/>
      <c r="BV457" s="5"/>
      <c r="BW457" s="5"/>
      <c r="BX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</row>
    <row r="458" spans="23:101" ht="12.75">
      <c r="W458" s="5"/>
      <c r="X458" s="5"/>
      <c r="Y458" s="5"/>
      <c r="Z458" s="5"/>
      <c r="BK458" s="5"/>
      <c r="BL458" s="5"/>
      <c r="BM458" s="5"/>
      <c r="BN458" s="5"/>
      <c r="BP458" s="5"/>
      <c r="BQ458" s="5"/>
      <c r="BR458" s="5"/>
      <c r="BS458" s="5"/>
      <c r="BU458" s="5"/>
      <c r="BV458" s="5"/>
      <c r="BW458" s="5"/>
      <c r="BX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</row>
    <row r="459" spans="23:101" ht="12.75">
      <c r="W459" s="5"/>
      <c r="X459" s="5"/>
      <c r="Y459" s="5"/>
      <c r="Z459" s="5"/>
      <c r="BK459" s="5"/>
      <c r="BL459" s="5"/>
      <c r="BM459" s="5"/>
      <c r="BN459" s="5"/>
      <c r="BP459" s="5"/>
      <c r="BQ459" s="5"/>
      <c r="BR459" s="5"/>
      <c r="BS459" s="5"/>
      <c r="BU459" s="5"/>
      <c r="BV459" s="5"/>
      <c r="BW459" s="5"/>
      <c r="BX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</row>
    <row r="460" spans="23:101" ht="12.75">
      <c r="W460" s="5"/>
      <c r="X460" s="5"/>
      <c r="Y460" s="5"/>
      <c r="Z460" s="5"/>
      <c r="BK460" s="5"/>
      <c r="BL460" s="5"/>
      <c r="BM460" s="5"/>
      <c r="BN460" s="5"/>
      <c r="BP460" s="5"/>
      <c r="BQ460" s="5"/>
      <c r="BR460" s="5"/>
      <c r="BS460" s="5"/>
      <c r="BU460" s="5"/>
      <c r="BV460" s="5"/>
      <c r="BW460" s="5"/>
      <c r="BX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</row>
    <row r="461" spans="23:101" ht="12.75">
      <c r="W461" s="5"/>
      <c r="X461" s="5"/>
      <c r="Y461" s="5"/>
      <c r="Z461" s="5"/>
      <c r="BK461" s="5"/>
      <c r="BL461" s="5"/>
      <c r="BM461" s="5"/>
      <c r="BN461" s="5"/>
      <c r="BP461" s="5"/>
      <c r="BQ461" s="5"/>
      <c r="BR461" s="5"/>
      <c r="BS461" s="5"/>
      <c r="BU461" s="5"/>
      <c r="BV461" s="5"/>
      <c r="BW461" s="5"/>
      <c r="BX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</row>
    <row r="462" spans="23:101" ht="12.75">
      <c r="W462" s="5"/>
      <c r="X462" s="5"/>
      <c r="Y462" s="5"/>
      <c r="Z462" s="5"/>
      <c r="BK462" s="5"/>
      <c r="BL462" s="5"/>
      <c r="BM462" s="5"/>
      <c r="BN462" s="5"/>
      <c r="BP462" s="5"/>
      <c r="BQ462" s="5"/>
      <c r="BR462" s="5"/>
      <c r="BS462" s="5"/>
      <c r="BU462" s="5"/>
      <c r="BV462" s="5"/>
      <c r="BW462" s="5"/>
      <c r="BX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</row>
    <row r="463" spans="23:101" ht="12.75">
      <c r="W463" s="5"/>
      <c r="X463" s="5"/>
      <c r="Y463" s="5"/>
      <c r="Z463" s="5"/>
      <c r="BK463" s="5"/>
      <c r="BL463" s="5"/>
      <c r="BM463" s="5"/>
      <c r="BN463" s="5"/>
      <c r="BP463" s="5"/>
      <c r="BQ463" s="5"/>
      <c r="BR463" s="5"/>
      <c r="BS463" s="5"/>
      <c r="BU463" s="5"/>
      <c r="BV463" s="5"/>
      <c r="BW463" s="5"/>
      <c r="BX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</row>
    <row r="464" spans="23:101" ht="12.75">
      <c r="W464" s="5"/>
      <c r="X464" s="5"/>
      <c r="Y464" s="5"/>
      <c r="Z464" s="5"/>
      <c r="BK464" s="5"/>
      <c r="BL464" s="5"/>
      <c r="BM464" s="5"/>
      <c r="BN464" s="5"/>
      <c r="BP464" s="5"/>
      <c r="BQ464" s="5"/>
      <c r="BR464" s="5"/>
      <c r="BS464" s="5"/>
      <c r="BU464" s="5"/>
      <c r="BV464" s="5"/>
      <c r="BW464" s="5"/>
      <c r="BX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</row>
    <row r="465" spans="23:101" ht="12.75">
      <c r="W465" s="5"/>
      <c r="X465" s="5"/>
      <c r="Y465" s="5"/>
      <c r="Z465" s="5"/>
      <c r="BK465" s="5"/>
      <c r="BL465" s="5"/>
      <c r="BM465" s="5"/>
      <c r="BN465" s="5"/>
      <c r="BP465" s="5"/>
      <c r="BQ465" s="5"/>
      <c r="BR465" s="5"/>
      <c r="BS465" s="5"/>
      <c r="BU465" s="5"/>
      <c r="BV465" s="5"/>
      <c r="BW465" s="5"/>
      <c r="BX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</row>
    <row r="466" spans="23:101" ht="12.75">
      <c r="W466" s="5"/>
      <c r="X466" s="5"/>
      <c r="Y466" s="5"/>
      <c r="Z466" s="5"/>
      <c r="BK466" s="5"/>
      <c r="BL466" s="5"/>
      <c r="BM466" s="5"/>
      <c r="BN466" s="5"/>
      <c r="BP466" s="5"/>
      <c r="BQ466" s="5"/>
      <c r="BR466" s="5"/>
      <c r="BS466" s="5"/>
      <c r="BU466" s="5"/>
      <c r="BV466" s="5"/>
      <c r="BW466" s="5"/>
      <c r="BX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</row>
    <row r="467" spans="23:101" ht="12.75">
      <c r="W467" s="5"/>
      <c r="X467" s="5"/>
      <c r="Y467" s="5"/>
      <c r="Z467" s="5"/>
      <c r="BK467" s="5"/>
      <c r="BL467" s="5"/>
      <c r="BM467" s="5"/>
      <c r="BN467" s="5"/>
      <c r="BP467" s="5"/>
      <c r="BQ467" s="5"/>
      <c r="BR467" s="5"/>
      <c r="BS467" s="5"/>
      <c r="BU467" s="5"/>
      <c r="BV467" s="5"/>
      <c r="BW467" s="5"/>
      <c r="BX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</row>
    <row r="468" spans="23:101" ht="12.75">
      <c r="W468" s="5"/>
      <c r="X468" s="5"/>
      <c r="Y468" s="5"/>
      <c r="Z468" s="5"/>
      <c r="BK468" s="5"/>
      <c r="BL468" s="5"/>
      <c r="BM468" s="5"/>
      <c r="BN468" s="5"/>
      <c r="BP468" s="5"/>
      <c r="BQ468" s="5"/>
      <c r="BR468" s="5"/>
      <c r="BS468" s="5"/>
      <c r="BU468" s="5"/>
      <c r="BV468" s="5"/>
      <c r="BW468" s="5"/>
      <c r="BX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</row>
    <row r="469" spans="23:101" ht="12.75">
      <c r="W469" s="5"/>
      <c r="X469" s="5"/>
      <c r="Y469" s="5"/>
      <c r="Z469" s="5"/>
      <c r="BK469" s="5"/>
      <c r="BL469" s="5"/>
      <c r="BM469" s="5"/>
      <c r="BN469" s="5"/>
      <c r="BP469" s="5"/>
      <c r="BQ469" s="5"/>
      <c r="BR469" s="5"/>
      <c r="BS469" s="5"/>
      <c r="BU469" s="5"/>
      <c r="BV469" s="5"/>
      <c r="BW469" s="5"/>
      <c r="BX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</row>
    <row r="470" spans="23:101" ht="12.75">
      <c r="W470" s="5"/>
      <c r="X470" s="5"/>
      <c r="Y470" s="5"/>
      <c r="Z470" s="5"/>
      <c r="BK470" s="5"/>
      <c r="BL470" s="5"/>
      <c r="BM470" s="5"/>
      <c r="BN470" s="5"/>
      <c r="BP470" s="5"/>
      <c r="BQ470" s="5"/>
      <c r="BR470" s="5"/>
      <c r="BS470" s="5"/>
      <c r="BU470" s="5"/>
      <c r="BV470" s="5"/>
      <c r="BW470" s="5"/>
      <c r="BX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</row>
    <row r="471" spans="23:101" ht="12.75">
      <c r="W471" s="5"/>
      <c r="X471" s="5"/>
      <c r="Y471" s="5"/>
      <c r="Z471" s="5"/>
      <c r="BK471" s="5"/>
      <c r="BL471" s="5"/>
      <c r="BM471" s="5"/>
      <c r="BN471" s="5"/>
      <c r="BP471" s="5"/>
      <c r="BQ471" s="5"/>
      <c r="BR471" s="5"/>
      <c r="BS471" s="5"/>
      <c r="BU471" s="5"/>
      <c r="BV471" s="5"/>
      <c r="BW471" s="5"/>
      <c r="BX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</row>
    <row r="472" spans="23:101" ht="12.75">
      <c r="W472" s="5"/>
      <c r="X472" s="5"/>
      <c r="Y472" s="5"/>
      <c r="Z472" s="5"/>
      <c r="BK472" s="5"/>
      <c r="BL472" s="5"/>
      <c r="BM472" s="5"/>
      <c r="BN472" s="5"/>
      <c r="BP472" s="5"/>
      <c r="BQ472" s="5"/>
      <c r="BR472" s="5"/>
      <c r="BS472" s="5"/>
      <c r="BU472" s="5"/>
      <c r="BV472" s="5"/>
      <c r="BW472" s="5"/>
      <c r="BX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</row>
    <row r="473" spans="23:101" ht="12.75">
      <c r="W473" s="5"/>
      <c r="X473" s="5"/>
      <c r="Y473" s="5"/>
      <c r="Z473" s="5"/>
      <c r="BK473" s="5"/>
      <c r="BL473" s="5"/>
      <c r="BM473" s="5"/>
      <c r="BN473" s="5"/>
      <c r="BP473" s="5"/>
      <c r="BQ473" s="5"/>
      <c r="BR473" s="5"/>
      <c r="BS473" s="5"/>
      <c r="BU473" s="5"/>
      <c r="BV473" s="5"/>
      <c r="BW473" s="5"/>
      <c r="BX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</row>
    <row r="474" spans="23:101" ht="12.75">
      <c r="W474" s="5"/>
      <c r="X474" s="5"/>
      <c r="Y474" s="5"/>
      <c r="Z474" s="5"/>
      <c r="BK474" s="5"/>
      <c r="BL474" s="5"/>
      <c r="BM474" s="5"/>
      <c r="BN474" s="5"/>
      <c r="BP474" s="5"/>
      <c r="BQ474" s="5"/>
      <c r="BR474" s="5"/>
      <c r="BS474" s="5"/>
      <c r="BU474" s="5"/>
      <c r="BV474" s="5"/>
      <c r="BW474" s="5"/>
      <c r="BX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</row>
    <row r="475" spans="23:101" ht="12.75">
      <c r="W475" s="5"/>
      <c r="X475" s="5"/>
      <c r="Y475" s="5"/>
      <c r="Z475" s="5"/>
      <c r="BK475" s="5"/>
      <c r="BL475" s="5"/>
      <c r="BM475" s="5"/>
      <c r="BN475" s="5"/>
      <c r="BP475" s="5"/>
      <c r="BQ475" s="5"/>
      <c r="BR475" s="5"/>
      <c r="BS475" s="5"/>
      <c r="BU475" s="5"/>
      <c r="BV475" s="5"/>
      <c r="BW475" s="5"/>
      <c r="BX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</row>
    <row r="476" spans="23:101" ht="12.75">
      <c r="W476" s="5"/>
      <c r="X476" s="5"/>
      <c r="Y476" s="5"/>
      <c r="Z476" s="5"/>
      <c r="BK476" s="5"/>
      <c r="BL476" s="5"/>
      <c r="BM476" s="5"/>
      <c r="BN476" s="5"/>
      <c r="BP476" s="5"/>
      <c r="BQ476" s="5"/>
      <c r="BR476" s="5"/>
      <c r="BS476" s="5"/>
      <c r="BU476" s="5"/>
      <c r="BV476" s="5"/>
      <c r="BW476" s="5"/>
      <c r="BX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</row>
    <row r="477" spans="23:101" ht="12.75">
      <c r="W477" s="5"/>
      <c r="X477" s="5"/>
      <c r="Y477" s="5"/>
      <c r="Z477" s="5"/>
      <c r="BK477" s="5"/>
      <c r="BL477" s="5"/>
      <c r="BM477" s="5"/>
      <c r="BN477" s="5"/>
      <c r="BP477" s="5"/>
      <c r="BQ477" s="5"/>
      <c r="BR477" s="5"/>
      <c r="BS477" s="5"/>
      <c r="BU477" s="5"/>
      <c r="BV477" s="5"/>
      <c r="BW477" s="5"/>
      <c r="BX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</row>
    <row r="478" spans="23:101" ht="12.75">
      <c r="W478" s="5"/>
      <c r="X478" s="5"/>
      <c r="Y478" s="5"/>
      <c r="Z478" s="5"/>
      <c r="BK478" s="5"/>
      <c r="BL478" s="5"/>
      <c r="BM478" s="5"/>
      <c r="BN478" s="5"/>
      <c r="BP478" s="5"/>
      <c r="BQ478" s="5"/>
      <c r="BR478" s="5"/>
      <c r="BS478" s="5"/>
      <c r="BU478" s="5"/>
      <c r="BV478" s="5"/>
      <c r="BW478" s="5"/>
      <c r="BX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</row>
    <row r="479" spans="23:101" ht="12.75">
      <c r="W479" s="5"/>
      <c r="X479" s="5"/>
      <c r="Y479" s="5"/>
      <c r="Z479" s="5"/>
      <c r="BK479" s="5"/>
      <c r="BL479" s="5"/>
      <c r="BM479" s="5"/>
      <c r="BN479" s="5"/>
      <c r="BP479" s="5"/>
      <c r="BQ479" s="5"/>
      <c r="BR479" s="5"/>
      <c r="BS479" s="5"/>
      <c r="BU479" s="5"/>
      <c r="BV479" s="5"/>
      <c r="BW479" s="5"/>
      <c r="BX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</row>
    <row r="480" spans="23:101" ht="12.75">
      <c r="W480" s="5"/>
      <c r="X480" s="5"/>
      <c r="Y480" s="5"/>
      <c r="Z480" s="5"/>
      <c r="BK480" s="5"/>
      <c r="BL480" s="5"/>
      <c r="BM480" s="5"/>
      <c r="BN480" s="5"/>
      <c r="BP480" s="5"/>
      <c r="BQ480" s="5"/>
      <c r="BR480" s="5"/>
      <c r="BS480" s="5"/>
      <c r="BU480" s="5"/>
      <c r="BV480" s="5"/>
      <c r="BW480" s="5"/>
      <c r="BX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</row>
    <row r="481" spans="23:101" ht="12.75">
      <c r="W481" s="5"/>
      <c r="X481" s="5"/>
      <c r="Y481" s="5"/>
      <c r="Z481" s="5"/>
      <c r="BK481" s="5"/>
      <c r="BL481" s="5"/>
      <c r="BM481" s="5"/>
      <c r="BN481" s="5"/>
      <c r="BP481" s="5"/>
      <c r="BQ481" s="5"/>
      <c r="BR481" s="5"/>
      <c r="BS481" s="5"/>
      <c r="BU481" s="5"/>
      <c r="BV481" s="5"/>
      <c r="BW481" s="5"/>
      <c r="BX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</row>
    <row r="482" spans="23:101" ht="12.75">
      <c r="W482" s="5"/>
      <c r="X482" s="5"/>
      <c r="Y482" s="5"/>
      <c r="Z482" s="5"/>
      <c r="BK482" s="5"/>
      <c r="BL482" s="5"/>
      <c r="BM482" s="5"/>
      <c r="BN482" s="5"/>
      <c r="BP482" s="5"/>
      <c r="BQ482" s="5"/>
      <c r="BR482" s="5"/>
      <c r="BS482" s="5"/>
      <c r="BU482" s="5"/>
      <c r="BV482" s="5"/>
      <c r="BW482" s="5"/>
      <c r="BX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</row>
    <row r="483" spans="23:101" ht="12.75">
      <c r="W483" s="5"/>
      <c r="X483" s="5"/>
      <c r="Y483" s="5"/>
      <c r="Z483" s="5"/>
      <c r="BK483" s="5"/>
      <c r="BL483" s="5"/>
      <c r="BM483" s="5"/>
      <c r="BN483" s="5"/>
      <c r="BP483" s="5"/>
      <c r="BQ483" s="5"/>
      <c r="BR483" s="5"/>
      <c r="BS483" s="5"/>
      <c r="BU483" s="5"/>
      <c r="BV483" s="5"/>
      <c r="BW483" s="5"/>
      <c r="BX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</row>
    <row r="484" spans="23:101" ht="12.75">
      <c r="W484" s="5"/>
      <c r="X484" s="5"/>
      <c r="Y484" s="5"/>
      <c r="Z484" s="5"/>
      <c r="BK484" s="5"/>
      <c r="BL484" s="5"/>
      <c r="BM484" s="5"/>
      <c r="BN484" s="5"/>
      <c r="BP484" s="5"/>
      <c r="BQ484" s="5"/>
      <c r="BR484" s="5"/>
      <c r="BS484" s="5"/>
      <c r="BU484" s="5"/>
      <c r="BV484" s="5"/>
      <c r="BW484" s="5"/>
      <c r="BX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</row>
    <row r="485" spans="23:101" ht="12.75">
      <c r="W485" s="5"/>
      <c r="X485" s="5"/>
      <c r="Y485" s="5"/>
      <c r="Z485" s="5"/>
      <c r="BK485" s="5"/>
      <c r="BL485" s="5"/>
      <c r="BM485" s="5"/>
      <c r="BN485" s="5"/>
      <c r="BP485" s="5"/>
      <c r="BQ485" s="5"/>
      <c r="BR485" s="5"/>
      <c r="BS485" s="5"/>
      <c r="BU485" s="5"/>
      <c r="BV485" s="5"/>
      <c r="BW485" s="5"/>
      <c r="BX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</row>
    <row r="486" spans="23:101" ht="12.75">
      <c r="W486" s="5"/>
      <c r="X486" s="5"/>
      <c r="Y486" s="5"/>
      <c r="Z486" s="5"/>
      <c r="BK486" s="5"/>
      <c r="BL486" s="5"/>
      <c r="BM486" s="5"/>
      <c r="BN486" s="5"/>
      <c r="BP486" s="5"/>
      <c r="BQ486" s="5"/>
      <c r="BR486" s="5"/>
      <c r="BS486" s="5"/>
      <c r="BU486" s="5"/>
      <c r="BV486" s="5"/>
      <c r="BW486" s="5"/>
      <c r="BX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</row>
    <row r="487" spans="23:101" ht="12.75">
      <c r="W487" s="5"/>
      <c r="X487" s="5"/>
      <c r="Y487" s="5"/>
      <c r="Z487" s="5"/>
      <c r="BK487" s="5"/>
      <c r="BL487" s="5"/>
      <c r="BM487" s="5"/>
      <c r="BN487" s="5"/>
      <c r="BP487" s="5"/>
      <c r="BQ487" s="5"/>
      <c r="BR487" s="5"/>
      <c r="BS487" s="5"/>
      <c r="BU487" s="5"/>
      <c r="BV487" s="5"/>
      <c r="BW487" s="5"/>
      <c r="BX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</row>
    <row r="488" spans="23:101" ht="12.75">
      <c r="W488" s="5"/>
      <c r="X488" s="5"/>
      <c r="Y488" s="5"/>
      <c r="Z488" s="5"/>
      <c r="BK488" s="5"/>
      <c r="BL488" s="5"/>
      <c r="BM488" s="5"/>
      <c r="BN488" s="5"/>
      <c r="BP488" s="5"/>
      <c r="BQ488" s="5"/>
      <c r="BR488" s="5"/>
      <c r="BS488" s="5"/>
      <c r="BU488" s="5"/>
      <c r="BV488" s="5"/>
      <c r="BW488" s="5"/>
      <c r="BX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</row>
    <row r="489" spans="23:101" ht="12.75">
      <c r="W489" s="5"/>
      <c r="X489" s="5"/>
      <c r="Y489" s="5"/>
      <c r="Z489" s="5"/>
      <c r="BK489" s="5"/>
      <c r="BL489" s="5"/>
      <c r="BM489" s="5"/>
      <c r="BN489" s="5"/>
      <c r="BP489" s="5"/>
      <c r="BQ489" s="5"/>
      <c r="BR489" s="5"/>
      <c r="BS489" s="5"/>
      <c r="BU489" s="5"/>
      <c r="BV489" s="5"/>
      <c r="BW489" s="5"/>
      <c r="BX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</row>
    <row r="490" spans="23:101" ht="12.75">
      <c r="W490" s="5"/>
      <c r="X490" s="5"/>
      <c r="Y490" s="5"/>
      <c r="Z490" s="5"/>
      <c r="BK490" s="5"/>
      <c r="BL490" s="5"/>
      <c r="BM490" s="5"/>
      <c r="BN490" s="5"/>
      <c r="BP490" s="5"/>
      <c r="BQ490" s="5"/>
      <c r="BR490" s="5"/>
      <c r="BS490" s="5"/>
      <c r="BU490" s="5"/>
      <c r="BV490" s="5"/>
      <c r="BW490" s="5"/>
      <c r="BX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</row>
    <row r="491" spans="23:101" ht="12.75">
      <c r="W491" s="5"/>
      <c r="X491" s="5"/>
      <c r="Y491" s="5"/>
      <c r="Z491" s="5"/>
      <c r="BK491" s="5"/>
      <c r="BL491" s="5"/>
      <c r="BM491" s="5"/>
      <c r="BN491" s="5"/>
      <c r="BP491" s="5"/>
      <c r="BQ491" s="5"/>
      <c r="BR491" s="5"/>
      <c r="BS491" s="5"/>
      <c r="BU491" s="5"/>
      <c r="BV491" s="5"/>
      <c r="BW491" s="5"/>
      <c r="BX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</row>
    <row r="492" spans="23:101" ht="12.75">
      <c r="W492" s="5"/>
      <c r="X492" s="5"/>
      <c r="Y492" s="5"/>
      <c r="Z492" s="5"/>
      <c r="BK492" s="5"/>
      <c r="BL492" s="5"/>
      <c r="BM492" s="5"/>
      <c r="BN492" s="5"/>
      <c r="BP492" s="5"/>
      <c r="BQ492" s="5"/>
      <c r="BR492" s="5"/>
      <c r="BS492" s="5"/>
      <c r="BU492" s="5"/>
      <c r="BV492" s="5"/>
      <c r="BW492" s="5"/>
      <c r="BX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</row>
    <row r="493" spans="23:101" ht="12.75">
      <c r="W493" s="5"/>
      <c r="X493" s="5"/>
      <c r="Y493" s="5"/>
      <c r="Z493" s="5"/>
      <c r="BK493" s="5"/>
      <c r="BL493" s="5"/>
      <c r="BM493" s="5"/>
      <c r="BN493" s="5"/>
      <c r="BP493" s="5"/>
      <c r="BQ493" s="5"/>
      <c r="BR493" s="5"/>
      <c r="BS493" s="5"/>
      <c r="BU493" s="5"/>
      <c r="BV493" s="5"/>
      <c r="BW493" s="5"/>
      <c r="BX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</row>
    <row r="494" spans="23:101" ht="12.75">
      <c r="W494" s="5"/>
      <c r="X494" s="5"/>
      <c r="Y494" s="5"/>
      <c r="Z494" s="5"/>
      <c r="BK494" s="5"/>
      <c r="BL494" s="5"/>
      <c r="BM494" s="5"/>
      <c r="BN494" s="5"/>
      <c r="BP494" s="5"/>
      <c r="BQ494" s="5"/>
      <c r="BR494" s="5"/>
      <c r="BS494" s="5"/>
      <c r="BU494" s="5"/>
      <c r="BV494" s="5"/>
      <c r="BW494" s="5"/>
      <c r="BX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</row>
    <row r="495" spans="23:101" ht="12.75">
      <c r="W495" s="5"/>
      <c r="X495" s="5"/>
      <c r="Y495" s="5"/>
      <c r="Z495" s="5"/>
      <c r="BK495" s="5"/>
      <c r="BL495" s="5"/>
      <c r="BM495" s="5"/>
      <c r="BN495" s="5"/>
      <c r="BP495" s="5"/>
      <c r="BQ495" s="5"/>
      <c r="BR495" s="5"/>
      <c r="BS495" s="5"/>
      <c r="BU495" s="5"/>
      <c r="BV495" s="5"/>
      <c r="BW495" s="5"/>
      <c r="BX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</row>
    <row r="496" spans="23:101" ht="12.75">
      <c r="W496" s="5"/>
      <c r="X496" s="5"/>
      <c r="Y496" s="5"/>
      <c r="Z496" s="5"/>
      <c r="BK496" s="5"/>
      <c r="BL496" s="5"/>
      <c r="BM496" s="5"/>
      <c r="BN496" s="5"/>
      <c r="BP496" s="5"/>
      <c r="BQ496" s="5"/>
      <c r="BR496" s="5"/>
      <c r="BS496" s="5"/>
      <c r="BU496" s="5"/>
      <c r="BV496" s="5"/>
      <c r="BW496" s="5"/>
      <c r="BX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</row>
    <row r="497" spans="23:101" ht="12.75">
      <c r="W497" s="5"/>
      <c r="X497" s="5"/>
      <c r="Y497" s="5"/>
      <c r="Z497" s="5"/>
      <c r="BK497" s="5"/>
      <c r="BL497" s="5"/>
      <c r="BM497" s="5"/>
      <c r="BN497" s="5"/>
      <c r="BP497" s="5"/>
      <c r="BQ497" s="5"/>
      <c r="BR497" s="5"/>
      <c r="BS497" s="5"/>
      <c r="BU497" s="5"/>
      <c r="BV497" s="5"/>
      <c r="BW497" s="5"/>
      <c r="BX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</row>
    <row r="498" spans="23:101" ht="12.75">
      <c r="W498" s="5"/>
      <c r="X498" s="5"/>
      <c r="Y498" s="5"/>
      <c r="Z498" s="5"/>
      <c r="BK498" s="5"/>
      <c r="BL498" s="5"/>
      <c r="BM498" s="5"/>
      <c r="BN498" s="5"/>
      <c r="BP498" s="5"/>
      <c r="BQ498" s="5"/>
      <c r="BR498" s="5"/>
      <c r="BS498" s="5"/>
      <c r="BU498" s="5"/>
      <c r="BV498" s="5"/>
      <c r="BW498" s="5"/>
      <c r="BX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</row>
    <row r="499" spans="23:101" ht="12.75">
      <c r="W499" s="5"/>
      <c r="X499" s="5"/>
      <c r="Y499" s="5"/>
      <c r="Z499" s="5"/>
      <c r="BK499" s="5"/>
      <c r="BL499" s="5"/>
      <c r="BM499" s="5"/>
      <c r="BN499" s="5"/>
      <c r="BP499" s="5"/>
      <c r="BQ499" s="5"/>
      <c r="BR499" s="5"/>
      <c r="BS499" s="5"/>
      <c r="BU499" s="5"/>
      <c r="BV499" s="5"/>
      <c r="BW499" s="5"/>
      <c r="BX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</row>
    <row r="500" spans="23:101" ht="12.75">
      <c r="W500" s="5"/>
      <c r="X500" s="5"/>
      <c r="Y500" s="5"/>
      <c r="Z500" s="5"/>
      <c r="BK500" s="5"/>
      <c r="BL500" s="5"/>
      <c r="BM500" s="5"/>
      <c r="BN500" s="5"/>
      <c r="BP500" s="5"/>
      <c r="BQ500" s="5"/>
      <c r="BR500" s="5"/>
      <c r="BS500" s="5"/>
      <c r="BU500" s="5"/>
      <c r="BV500" s="5"/>
      <c r="BW500" s="5"/>
      <c r="BX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</row>
    <row r="501" spans="23:101" ht="12.75">
      <c r="W501" s="5"/>
      <c r="X501" s="5"/>
      <c r="Y501" s="5"/>
      <c r="Z501" s="5"/>
      <c r="BK501" s="5"/>
      <c r="BL501" s="5"/>
      <c r="BM501" s="5"/>
      <c r="BN501" s="5"/>
      <c r="BP501" s="5"/>
      <c r="BQ501" s="5"/>
      <c r="BR501" s="5"/>
      <c r="BS501" s="5"/>
      <c r="BU501" s="5"/>
      <c r="BV501" s="5"/>
      <c r="BW501" s="5"/>
      <c r="BX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</row>
    <row r="502" spans="23:101" ht="12.75">
      <c r="W502" s="5"/>
      <c r="X502" s="5"/>
      <c r="Y502" s="5"/>
      <c r="Z502" s="5"/>
      <c r="BK502" s="5"/>
      <c r="BL502" s="5"/>
      <c r="BM502" s="5"/>
      <c r="BN502" s="5"/>
      <c r="BP502" s="5"/>
      <c r="BQ502" s="5"/>
      <c r="BR502" s="5"/>
      <c r="BS502" s="5"/>
      <c r="BU502" s="5"/>
      <c r="BV502" s="5"/>
      <c r="BW502" s="5"/>
      <c r="BX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</row>
    <row r="503" spans="23:101" ht="12.75">
      <c r="W503" s="5"/>
      <c r="X503" s="5"/>
      <c r="Y503" s="5"/>
      <c r="Z503" s="5"/>
      <c r="BK503" s="5"/>
      <c r="BL503" s="5"/>
      <c r="BM503" s="5"/>
      <c r="BN503" s="5"/>
      <c r="BP503" s="5"/>
      <c r="BQ503" s="5"/>
      <c r="BR503" s="5"/>
      <c r="BS503" s="5"/>
      <c r="BU503" s="5"/>
      <c r="BV503" s="5"/>
      <c r="BW503" s="5"/>
      <c r="BX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</row>
    <row r="504" spans="23:101" ht="12.75">
      <c r="W504" s="5"/>
      <c r="X504" s="5"/>
      <c r="Y504" s="5"/>
      <c r="Z504" s="5"/>
      <c r="BK504" s="5"/>
      <c r="BL504" s="5"/>
      <c r="BM504" s="5"/>
      <c r="BN504" s="5"/>
      <c r="BP504" s="5"/>
      <c r="BQ504" s="5"/>
      <c r="BR504" s="5"/>
      <c r="BS504" s="5"/>
      <c r="BU504" s="5"/>
      <c r="BV504" s="5"/>
      <c r="BW504" s="5"/>
      <c r="BX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</row>
    <row r="505" spans="23:101" ht="12.75">
      <c r="W505" s="5"/>
      <c r="X505" s="5"/>
      <c r="Y505" s="5"/>
      <c r="Z505" s="5"/>
      <c r="BK505" s="5"/>
      <c r="BL505" s="5"/>
      <c r="BM505" s="5"/>
      <c r="BN505" s="5"/>
      <c r="BP505" s="5"/>
      <c r="BQ505" s="5"/>
      <c r="BR505" s="5"/>
      <c r="BS505" s="5"/>
      <c r="BU505" s="5"/>
      <c r="BV505" s="5"/>
      <c r="BW505" s="5"/>
      <c r="BX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</row>
    <row r="506" spans="23:101" ht="12.75">
      <c r="W506" s="5"/>
      <c r="X506" s="5"/>
      <c r="Y506" s="5"/>
      <c r="Z506" s="5"/>
      <c r="BK506" s="5"/>
      <c r="BL506" s="5"/>
      <c r="BM506" s="5"/>
      <c r="BN506" s="5"/>
      <c r="BP506" s="5"/>
      <c r="BQ506" s="5"/>
      <c r="BR506" s="5"/>
      <c r="BS506" s="5"/>
      <c r="BU506" s="5"/>
      <c r="BV506" s="5"/>
      <c r="BW506" s="5"/>
      <c r="BX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</row>
    <row r="507" spans="23:101" ht="12.75">
      <c r="W507" s="5"/>
      <c r="X507" s="5"/>
      <c r="Y507" s="5"/>
      <c r="Z507" s="5"/>
      <c r="BK507" s="5"/>
      <c r="BL507" s="5"/>
      <c r="BM507" s="5"/>
      <c r="BN507" s="5"/>
      <c r="BP507" s="5"/>
      <c r="BQ507" s="5"/>
      <c r="BR507" s="5"/>
      <c r="BS507" s="5"/>
      <c r="BU507" s="5"/>
      <c r="BV507" s="5"/>
      <c r="BW507" s="5"/>
      <c r="BX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</row>
    <row r="508" spans="23:101" ht="12.75">
      <c r="W508" s="5"/>
      <c r="X508" s="5"/>
      <c r="Y508" s="5"/>
      <c r="Z508" s="5"/>
      <c r="BK508" s="5"/>
      <c r="BL508" s="5"/>
      <c r="BM508" s="5"/>
      <c r="BN508" s="5"/>
      <c r="BP508" s="5"/>
      <c r="BQ508" s="5"/>
      <c r="BR508" s="5"/>
      <c r="BS508" s="5"/>
      <c r="BU508" s="5"/>
      <c r="BV508" s="5"/>
      <c r="BW508" s="5"/>
      <c r="BX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</row>
    <row r="509" spans="23:101" ht="12.75">
      <c r="W509" s="5"/>
      <c r="X509" s="5"/>
      <c r="Y509" s="5"/>
      <c r="Z509" s="5"/>
      <c r="BK509" s="5"/>
      <c r="BL509" s="5"/>
      <c r="BM509" s="5"/>
      <c r="BN509" s="5"/>
      <c r="BP509" s="5"/>
      <c r="BQ509" s="5"/>
      <c r="BR509" s="5"/>
      <c r="BS509" s="5"/>
      <c r="BU509" s="5"/>
      <c r="BV509" s="5"/>
      <c r="BW509" s="5"/>
      <c r="BX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</row>
    <row r="510" spans="23:101" ht="12.75">
      <c r="W510" s="5"/>
      <c r="X510" s="5"/>
      <c r="Y510" s="5"/>
      <c r="Z510" s="5"/>
      <c r="BK510" s="5"/>
      <c r="BL510" s="5"/>
      <c r="BM510" s="5"/>
      <c r="BN510" s="5"/>
      <c r="BP510" s="5"/>
      <c r="BQ510" s="5"/>
      <c r="BR510" s="5"/>
      <c r="BS510" s="5"/>
      <c r="BU510" s="5"/>
      <c r="BV510" s="5"/>
      <c r="BW510" s="5"/>
      <c r="BX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</row>
    <row r="511" spans="23:101" ht="12.75">
      <c r="W511" s="5"/>
      <c r="X511" s="5"/>
      <c r="Y511" s="5"/>
      <c r="Z511" s="5"/>
      <c r="BK511" s="5"/>
      <c r="BL511" s="5"/>
      <c r="BM511" s="5"/>
      <c r="BN511" s="5"/>
      <c r="BP511" s="5"/>
      <c r="BQ511" s="5"/>
      <c r="BR511" s="5"/>
      <c r="BS511" s="5"/>
      <c r="BU511" s="5"/>
      <c r="BV511" s="5"/>
      <c r="BW511" s="5"/>
      <c r="BX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</row>
    <row r="512" spans="23:101" ht="12.75">
      <c r="W512" s="5"/>
      <c r="X512" s="5"/>
      <c r="Y512" s="5"/>
      <c r="Z512" s="5"/>
      <c r="BK512" s="5"/>
      <c r="BL512" s="5"/>
      <c r="BM512" s="5"/>
      <c r="BN512" s="5"/>
      <c r="BP512" s="5"/>
      <c r="BQ512" s="5"/>
      <c r="BR512" s="5"/>
      <c r="BS512" s="5"/>
      <c r="BU512" s="5"/>
      <c r="BV512" s="5"/>
      <c r="BW512" s="5"/>
      <c r="BX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</row>
    <row r="513" spans="23:101" ht="12.75">
      <c r="W513" s="5"/>
      <c r="X513" s="5"/>
      <c r="Y513" s="5"/>
      <c r="Z513" s="5"/>
      <c r="BK513" s="5"/>
      <c r="BL513" s="5"/>
      <c r="BM513" s="5"/>
      <c r="BN513" s="5"/>
      <c r="BP513" s="5"/>
      <c r="BQ513" s="5"/>
      <c r="BR513" s="5"/>
      <c r="BS513" s="5"/>
      <c r="BU513" s="5"/>
      <c r="BV513" s="5"/>
      <c r="BW513" s="5"/>
      <c r="BX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</row>
    <row r="514" spans="23:101" ht="12.75">
      <c r="W514" s="5"/>
      <c r="X514" s="5"/>
      <c r="Y514" s="5"/>
      <c r="Z514" s="5"/>
      <c r="BK514" s="5"/>
      <c r="BL514" s="5"/>
      <c r="BM514" s="5"/>
      <c r="BN514" s="5"/>
      <c r="BP514" s="5"/>
      <c r="BQ514" s="5"/>
      <c r="BR514" s="5"/>
      <c r="BS514" s="5"/>
      <c r="BU514" s="5"/>
      <c r="BV514" s="5"/>
      <c r="BW514" s="5"/>
      <c r="BX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</row>
    <row r="515" spans="23:101" ht="12.75">
      <c r="W515" s="5"/>
      <c r="X515" s="5"/>
      <c r="Y515" s="5"/>
      <c r="Z515" s="5"/>
      <c r="BK515" s="5"/>
      <c r="BL515" s="5"/>
      <c r="BM515" s="5"/>
      <c r="BN515" s="5"/>
      <c r="BP515" s="5"/>
      <c r="BQ515" s="5"/>
      <c r="BR515" s="5"/>
      <c r="BS515" s="5"/>
      <c r="BU515" s="5"/>
      <c r="BV515" s="5"/>
      <c r="BW515" s="5"/>
      <c r="BX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</row>
    <row r="516" spans="23:101" ht="12.75">
      <c r="W516" s="5"/>
      <c r="X516" s="5"/>
      <c r="Y516" s="5"/>
      <c r="Z516" s="5"/>
      <c r="BK516" s="5"/>
      <c r="BL516" s="5"/>
      <c r="BM516" s="5"/>
      <c r="BN516" s="5"/>
      <c r="BP516" s="5"/>
      <c r="BQ516" s="5"/>
      <c r="BR516" s="5"/>
      <c r="BS516" s="5"/>
      <c r="BU516" s="5"/>
      <c r="BV516" s="5"/>
      <c r="BW516" s="5"/>
      <c r="BX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</row>
    <row r="517" spans="23:101" ht="12.75">
      <c r="W517" s="5"/>
      <c r="X517" s="5"/>
      <c r="Y517" s="5"/>
      <c r="Z517" s="5"/>
      <c r="BK517" s="5"/>
      <c r="BL517" s="5"/>
      <c r="BM517" s="5"/>
      <c r="BN517" s="5"/>
      <c r="BP517" s="5"/>
      <c r="BQ517" s="5"/>
      <c r="BR517" s="5"/>
      <c r="BS517" s="5"/>
      <c r="BU517" s="5"/>
      <c r="BV517" s="5"/>
      <c r="BW517" s="5"/>
      <c r="BX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</row>
    <row r="518" spans="23:101" ht="12.75">
      <c r="W518" s="5"/>
      <c r="X518" s="5"/>
      <c r="Y518" s="5"/>
      <c r="Z518" s="5"/>
      <c r="BK518" s="5"/>
      <c r="BL518" s="5"/>
      <c r="BM518" s="5"/>
      <c r="BN518" s="5"/>
      <c r="BP518" s="5"/>
      <c r="BQ518" s="5"/>
      <c r="BR518" s="5"/>
      <c r="BS518" s="5"/>
      <c r="BU518" s="5"/>
      <c r="BV518" s="5"/>
      <c r="BW518" s="5"/>
      <c r="BX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</row>
    <row r="519" spans="23:101" ht="12.75">
      <c r="W519" s="5"/>
      <c r="X519" s="5"/>
      <c r="Y519" s="5"/>
      <c r="Z519" s="5"/>
      <c r="BK519" s="5"/>
      <c r="BL519" s="5"/>
      <c r="BM519" s="5"/>
      <c r="BN519" s="5"/>
      <c r="BP519" s="5"/>
      <c r="BQ519" s="5"/>
      <c r="BR519" s="5"/>
      <c r="BS519" s="5"/>
      <c r="BU519" s="5"/>
      <c r="BV519" s="5"/>
      <c r="BW519" s="5"/>
      <c r="BX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</row>
    <row r="520" spans="23:101" ht="12.75">
      <c r="W520" s="5"/>
      <c r="X520" s="5"/>
      <c r="Y520" s="5"/>
      <c r="Z520" s="5"/>
      <c r="BK520" s="5"/>
      <c r="BL520" s="5"/>
      <c r="BM520" s="5"/>
      <c r="BN520" s="5"/>
      <c r="BP520" s="5"/>
      <c r="BQ520" s="5"/>
      <c r="BR520" s="5"/>
      <c r="BS520" s="5"/>
      <c r="BU520" s="5"/>
      <c r="BV520" s="5"/>
      <c r="BW520" s="5"/>
      <c r="BX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</row>
    <row r="521" spans="23:101" ht="12.75">
      <c r="W521" s="5"/>
      <c r="X521" s="5"/>
      <c r="Y521" s="5"/>
      <c r="Z521" s="5"/>
      <c r="BK521" s="5"/>
      <c r="BL521" s="5"/>
      <c r="BM521" s="5"/>
      <c r="BN521" s="5"/>
      <c r="BP521" s="5"/>
      <c r="BQ521" s="5"/>
      <c r="BR521" s="5"/>
      <c r="BS521" s="5"/>
      <c r="BU521" s="5"/>
      <c r="BV521" s="5"/>
      <c r="BW521" s="5"/>
      <c r="BX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</row>
    <row r="522" spans="23:101" ht="12.75">
      <c r="W522" s="5"/>
      <c r="X522" s="5"/>
      <c r="Y522" s="5"/>
      <c r="Z522" s="5"/>
      <c r="BK522" s="5"/>
      <c r="BL522" s="5"/>
      <c r="BM522" s="5"/>
      <c r="BN522" s="5"/>
      <c r="BP522" s="5"/>
      <c r="BQ522" s="5"/>
      <c r="BR522" s="5"/>
      <c r="BS522" s="5"/>
      <c r="BU522" s="5"/>
      <c r="BV522" s="5"/>
      <c r="BW522" s="5"/>
      <c r="BX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</row>
    <row r="523" spans="23:101" ht="12.75">
      <c r="W523" s="5"/>
      <c r="X523" s="5"/>
      <c r="Y523" s="5"/>
      <c r="Z523" s="5"/>
      <c r="BK523" s="5"/>
      <c r="BL523" s="5"/>
      <c r="BM523" s="5"/>
      <c r="BN523" s="5"/>
      <c r="BP523" s="5"/>
      <c r="BQ523" s="5"/>
      <c r="BR523" s="5"/>
      <c r="BS523" s="5"/>
      <c r="BU523" s="5"/>
      <c r="BV523" s="5"/>
      <c r="BW523" s="5"/>
      <c r="BX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</row>
    <row r="524" spans="23:101" ht="12.75">
      <c r="W524" s="5"/>
      <c r="X524" s="5"/>
      <c r="Y524" s="5"/>
      <c r="Z524" s="5"/>
      <c r="BK524" s="5"/>
      <c r="BL524" s="5"/>
      <c r="BM524" s="5"/>
      <c r="BN524" s="5"/>
      <c r="BP524" s="5"/>
      <c r="BQ524" s="5"/>
      <c r="BR524" s="5"/>
      <c r="BS524" s="5"/>
      <c r="BU524" s="5"/>
      <c r="BV524" s="5"/>
      <c r="BW524" s="5"/>
      <c r="BX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</row>
    <row r="525" spans="23:101" ht="12.75">
      <c r="W525" s="5"/>
      <c r="X525" s="5"/>
      <c r="Y525" s="5"/>
      <c r="Z525" s="5"/>
      <c r="BK525" s="5"/>
      <c r="BL525" s="5"/>
      <c r="BM525" s="5"/>
      <c r="BN525" s="5"/>
      <c r="BP525" s="5"/>
      <c r="BQ525" s="5"/>
      <c r="BR525" s="5"/>
      <c r="BS525" s="5"/>
      <c r="BU525" s="5"/>
      <c r="BV525" s="5"/>
      <c r="BW525" s="5"/>
      <c r="BX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</row>
    <row r="526" spans="23:101" ht="12.75">
      <c r="W526" s="5"/>
      <c r="X526" s="5"/>
      <c r="Y526" s="5"/>
      <c r="Z526" s="5"/>
      <c r="BK526" s="5"/>
      <c r="BL526" s="5"/>
      <c r="BM526" s="5"/>
      <c r="BN526" s="5"/>
      <c r="BP526" s="5"/>
      <c r="BQ526" s="5"/>
      <c r="BR526" s="5"/>
      <c r="BS526" s="5"/>
      <c r="BU526" s="5"/>
      <c r="BV526" s="5"/>
      <c r="BW526" s="5"/>
      <c r="BX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</row>
    <row r="527" spans="23:101" ht="12.75">
      <c r="W527" s="5"/>
      <c r="X527" s="5"/>
      <c r="Y527" s="5"/>
      <c r="Z527" s="5"/>
      <c r="BK527" s="5"/>
      <c r="BL527" s="5"/>
      <c r="BM527" s="5"/>
      <c r="BN527" s="5"/>
      <c r="BP527" s="5"/>
      <c r="BQ527" s="5"/>
      <c r="BR527" s="5"/>
      <c r="BS527" s="5"/>
      <c r="BU527" s="5"/>
      <c r="BV527" s="5"/>
      <c r="BW527" s="5"/>
      <c r="BX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</row>
    <row r="528" spans="23:101" ht="12.75">
      <c r="W528" s="5"/>
      <c r="X528" s="5"/>
      <c r="Y528" s="5"/>
      <c r="Z528" s="5"/>
      <c r="BK528" s="5"/>
      <c r="BL528" s="5"/>
      <c r="BM528" s="5"/>
      <c r="BN528" s="5"/>
      <c r="BP528" s="5"/>
      <c r="BQ528" s="5"/>
      <c r="BR528" s="5"/>
      <c r="BS528" s="5"/>
      <c r="BU528" s="5"/>
      <c r="BV528" s="5"/>
      <c r="BW528" s="5"/>
      <c r="BX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</row>
    <row r="529" spans="23:101" ht="12.75">
      <c r="W529" s="5"/>
      <c r="X529" s="5"/>
      <c r="Y529" s="5"/>
      <c r="Z529" s="5"/>
      <c r="BK529" s="5"/>
      <c r="BL529" s="5"/>
      <c r="BM529" s="5"/>
      <c r="BN529" s="5"/>
      <c r="BP529" s="5"/>
      <c r="BQ529" s="5"/>
      <c r="BR529" s="5"/>
      <c r="BS529" s="5"/>
      <c r="BU529" s="5"/>
      <c r="BV529" s="5"/>
      <c r="BW529" s="5"/>
      <c r="BX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</row>
    <row r="530" spans="23:101" ht="12.75">
      <c r="W530" s="5"/>
      <c r="X530" s="5"/>
      <c r="Y530" s="5"/>
      <c r="Z530" s="5"/>
      <c r="BK530" s="5"/>
      <c r="BL530" s="5"/>
      <c r="BM530" s="5"/>
      <c r="BN530" s="5"/>
      <c r="BP530" s="5"/>
      <c r="BQ530" s="5"/>
      <c r="BR530" s="5"/>
      <c r="BS530" s="5"/>
      <c r="BU530" s="5"/>
      <c r="BV530" s="5"/>
      <c r="BW530" s="5"/>
      <c r="BX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</row>
    <row r="531" spans="23:101" ht="12.75">
      <c r="W531" s="5"/>
      <c r="X531" s="5"/>
      <c r="Y531" s="5"/>
      <c r="Z531" s="5"/>
      <c r="BK531" s="5"/>
      <c r="BL531" s="5"/>
      <c r="BM531" s="5"/>
      <c r="BN531" s="5"/>
      <c r="BP531" s="5"/>
      <c r="BQ531" s="5"/>
      <c r="BR531" s="5"/>
      <c r="BS531" s="5"/>
      <c r="BU531" s="5"/>
      <c r="BV531" s="5"/>
      <c r="BW531" s="5"/>
      <c r="BX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</row>
    <row r="532" spans="23:101" ht="12.75">
      <c r="W532" s="5"/>
      <c r="X532" s="5"/>
      <c r="Y532" s="5"/>
      <c r="Z532" s="5"/>
      <c r="BK532" s="5"/>
      <c r="BL532" s="5"/>
      <c r="BM532" s="5"/>
      <c r="BN532" s="5"/>
      <c r="BP532" s="5"/>
      <c r="BQ532" s="5"/>
      <c r="BR532" s="5"/>
      <c r="BS532" s="5"/>
      <c r="BU532" s="5"/>
      <c r="BV532" s="5"/>
      <c r="BW532" s="5"/>
      <c r="BX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</row>
    <row r="533" spans="23:101" ht="12.75">
      <c r="W533" s="5"/>
      <c r="X533" s="5"/>
      <c r="Y533" s="5"/>
      <c r="Z533" s="5"/>
      <c r="BK533" s="5"/>
      <c r="BL533" s="5"/>
      <c r="BM533" s="5"/>
      <c r="BN533" s="5"/>
      <c r="BP533" s="5"/>
      <c r="BQ533" s="5"/>
      <c r="BR533" s="5"/>
      <c r="BS533" s="5"/>
      <c r="BU533" s="5"/>
      <c r="BV533" s="5"/>
      <c r="BW533" s="5"/>
      <c r="BX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</row>
    <row r="534" spans="23:101" ht="12.75">
      <c r="W534" s="5"/>
      <c r="X534" s="5"/>
      <c r="Y534" s="5"/>
      <c r="Z534" s="5"/>
      <c r="BK534" s="5"/>
      <c r="BL534" s="5"/>
      <c r="BM534" s="5"/>
      <c r="BN534" s="5"/>
      <c r="BP534" s="5"/>
      <c r="BQ534" s="5"/>
      <c r="BR534" s="5"/>
      <c r="BS534" s="5"/>
      <c r="BU534" s="5"/>
      <c r="BV534" s="5"/>
      <c r="BW534" s="5"/>
      <c r="BX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</row>
    <row r="535" spans="23:101" ht="12.75">
      <c r="W535" s="5"/>
      <c r="X535" s="5"/>
      <c r="Y535" s="5"/>
      <c r="Z535" s="5"/>
      <c r="BK535" s="5"/>
      <c r="BL535" s="5"/>
      <c r="BM535" s="5"/>
      <c r="BN535" s="5"/>
      <c r="BP535" s="5"/>
      <c r="BQ535" s="5"/>
      <c r="BR535" s="5"/>
      <c r="BS535" s="5"/>
      <c r="BU535" s="5"/>
      <c r="BV535" s="5"/>
      <c r="BW535" s="5"/>
      <c r="BX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</row>
    <row r="536" spans="23:101" ht="12.75">
      <c r="W536" s="5"/>
      <c r="X536" s="5"/>
      <c r="Y536" s="5"/>
      <c r="Z536" s="5"/>
      <c r="BK536" s="5"/>
      <c r="BL536" s="5"/>
      <c r="BM536" s="5"/>
      <c r="BN536" s="5"/>
      <c r="BP536" s="5"/>
      <c r="BQ536" s="5"/>
      <c r="BR536" s="5"/>
      <c r="BS536" s="5"/>
      <c r="BU536" s="5"/>
      <c r="BV536" s="5"/>
      <c r="BW536" s="5"/>
      <c r="BX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</row>
    <row r="537" spans="23:101" ht="12.75">
      <c r="W537" s="5"/>
      <c r="X537" s="5"/>
      <c r="Y537" s="5"/>
      <c r="Z537" s="5"/>
      <c r="BK537" s="5"/>
      <c r="BL537" s="5"/>
      <c r="BM537" s="5"/>
      <c r="BN537" s="5"/>
      <c r="BP537" s="5"/>
      <c r="BQ537" s="5"/>
      <c r="BR537" s="5"/>
      <c r="BS537" s="5"/>
      <c r="BU537" s="5"/>
      <c r="BV537" s="5"/>
      <c r="BW537" s="5"/>
      <c r="BX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</row>
    <row r="538" spans="23:101" ht="12.75">
      <c r="W538" s="5"/>
      <c r="X538" s="5"/>
      <c r="Y538" s="5"/>
      <c r="Z538" s="5"/>
      <c r="BK538" s="5"/>
      <c r="BL538" s="5"/>
      <c r="BM538" s="5"/>
      <c r="BN538" s="5"/>
      <c r="BP538" s="5"/>
      <c r="BQ538" s="5"/>
      <c r="BR538" s="5"/>
      <c r="BS538" s="5"/>
      <c r="BU538" s="5"/>
      <c r="BV538" s="5"/>
      <c r="BW538" s="5"/>
      <c r="BX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</row>
    <row r="539" spans="23:101" ht="12.75">
      <c r="W539" s="5"/>
      <c r="X539" s="5"/>
      <c r="Y539" s="5"/>
      <c r="Z539" s="5"/>
      <c r="BK539" s="5"/>
      <c r="BL539" s="5"/>
      <c r="BM539" s="5"/>
      <c r="BN539" s="5"/>
      <c r="BP539" s="5"/>
      <c r="BQ539" s="5"/>
      <c r="BR539" s="5"/>
      <c r="BS539" s="5"/>
      <c r="BU539" s="5"/>
      <c r="BV539" s="5"/>
      <c r="BW539" s="5"/>
      <c r="BX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</row>
    <row r="540" spans="23:101" ht="12.75">
      <c r="W540" s="5"/>
      <c r="X540" s="5"/>
      <c r="Y540" s="5"/>
      <c r="Z540" s="5"/>
      <c r="BK540" s="5"/>
      <c r="BL540" s="5"/>
      <c r="BM540" s="5"/>
      <c r="BN540" s="5"/>
      <c r="BP540" s="5"/>
      <c r="BQ540" s="5"/>
      <c r="BR540" s="5"/>
      <c r="BS540" s="5"/>
      <c r="BU540" s="5"/>
      <c r="BV540" s="5"/>
      <c r="BW540" s="5"/>
      <c r="BX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</row>
    <row r="541" spans="23:101" ht="12.75">
      <c r="W541" s="5"/>
      <c r="X541" s="5"/>
      <c r="Y541" s="5"/>
      <c r="Z541" s="5"/>
      <c r="BK541" s="5"/>
      <c r="BL541" s="5"/>
      <c r="BM541" s="5"/>
      <c r="BN541" s="5"/>
      <c r="BP541" s="5"/>
      <c r="BQ541" s="5"/>
      <c r="BR541" s="5"/>
      <c r="BS541" s="5"/>
      <c r="BU541" s="5"/>
      <c r="BV541" s="5"/>
      <c r="BW541" s="5"/>
      <c r="BX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</row>
    <row r="542" spans="23:101" ht="12.75">
      <c r="W542" s="5"/>
      <c r="X542" s="5"/>
      <c r="Y542" s="5"/>
      <c r="Z542" s="5"/>
      <c r="BK542" s="5"/>
      <c r="BL542" s="5"/>
      <c r="BM542" s="5"/>
      <c r="BN542" s="5"/>
      <c r="BP542" s="5"/>
      <c r="BQ542" s="5"/>
      <c r="BR542" s="5"/>
      <c r="BS542" s="5"/>
      <c r="BU542" s="5"/>
      <c r="BV542" s="5"/>
      <c r="BW542" s="5"/>
      <c r="BX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</row>
    <row r="543" spans="23:101" ht="12.75">
      <c r="W543" s="5"/>
      <c r="X543" s="5"/>
      <c r="Y543" s="5"/>
      <c r="Z543" s="5"/>
      <c r="BK543" s="5"/>
      <c r="BL543" s="5"/>
      <c r="BM543" s="5"/>
      <c r="BN543" s="5"/>
      <c r="BP543" s="5"/>
      <c r="BQ543" s="5"/>
      <c r="BR543" s="5"/>
      <c r="BS543" s="5"/>
      <c r="BU543" s="5"/>
      <c r="BV543" s="5"/>
      <c r="BW543" s="5"/>
      <c r="BX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</row>
    <row r="544" spans="23:101" ht="12.75">
      <c r="W544" s="5"/>
      <c r="X544" s="5"/>
      <c r="Y544" s="5"/>
      <c r="Z544" s="5"/>
      <c r="BK544" s="5"/>
      <c r="BL544" s="5"/>
      <c r="BM544" s="5"/>
      <c r="BN544" s="5"/>
      <c r="BP544" s="5"/>
      <c r="BQ544" s="5"/>
      <c r="BR544" s="5"/>
      <c r="BS544" s="5"/>
      <c r="BU544" s="5"/>
      <c r="BV544" s="5"/>
      <c r="BW544" s="5"/>
      <c r="BX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</row>
    <row r="545" spans="23:101" ht="12.75">
      <c r="W545" s="5"/>
      <c r="X545" s="5"/>
      <c r="Y545" s="5"/>
      <c r="Z545" s="5"/>
      <c r="BK545" s="5"/>
      <c r="BL545" s="5"/>
      <c r="BM545" s="5"/>
      <c r="BN545" s="5"/>
      <c r="BP545" s="5"/>
      <c r="BQ545" s="5"/>
      <c r="BR545" s="5"/>
      <c r="BS545" s="5"/>
      <c r="BU545" s="5"/>
      <c r="BV545" s="5"/>
      <c r="BW545" s="5"/>
      <c r="BX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</row>
    <row r="546" spans="23:101" ht="12.75">
      <c r="W546" s="5"/>
      <c r="X546" s="5"/>
      <c r="Y546" s="5"/>
      <c r="Z546" s="5"/>
      <c r="BK546" s="5"/>
      <c r="BL546" s="5"/>
      <c r="BM546" s="5"/>
      <c r="BN546" s="5"/>
      <c r="BP546" s="5"/>
      <c r="BQ546" s="5"/>
      <c r="BR546" s="5"/>
      <c r="BS546" s="5"/>
      <c r="BU546" s="5"/>
      <c r="BV546" s="5"/>
      <c r="BW546" s="5"/>
      <c r="BX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</row>
    <row r="547" spans="23:101" ht="12.75">
      <c r="W547" s="5"/>
      <c r="X547" s="5"/>
      <c r="Y547" s="5"/>
      <c r="Z547" s="5"/>
      <c r="BK547" s="5"/>
      <c r="BL547" s="5"/>
      <c r="BM547" s="5"/>
      <c r="BN547" s="5"/>
      <c r="BP547" s="5"/>
      <c r="BQ547" s="5"/>
      <c r="BR547" s="5"/>
      <c r="BS547" s="5"/>
      <c r="BU547" s="5"/>
      <c r="BV547" s="5"/>
      <c r="BW547" s="5"/>
      <c r="BX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</row>
    <row r="548" spans="23:101" ht="12.75">
      <c r="W548" s="5"/>
      <c r="X548" s="5"/>
      <c r="Y548" s="5"/>
      <c r="Z548" s="5"/>
      <c r="BK548" s="5"/>
      <c r="BL548" s="5"/>
      <c r="BM548" s="5"/>
      <c r="BN548" s="5"/>
      <c r="BP548" s="5"/>
      <c r="BQ548" s="5"/>
      <c r="BR548" s="5"/>
      <c r="BS548" s="5"/>
      <c r="BU548" s="5"/>
      <c r="BV548" s="5"/>
      <c r="BW548" s="5"/>
      <c r="BX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</row>
    <row r="549" spans="23:101" ht="12.75">
      <c r="W549" s="5"/>
      <c r="X549" s="5"/>
      <c r="Y549" s="5"/>
      <c r="Z549" s="5"/>
      <c r="BK549" s="5"/>
      <c r="BL549" s="5"/>
      <c r="BM549" s="5"/>
      <c r="BN549" s="5"/>
      <c r="BP549" s="5"/>
      <c r="BQ549" s="5"/>
      <c r="BR549" s="5"/>
      <c r="BS549" s="5"/>
      <c r="BU549" s="5"/>
      <c r="BV549" s="5"/>
      <c r="BW549" s="5"/>
      <c r="BX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</row>
    <row r="550" spans="23:101" ht="12.75">
      <c r="W550" s="5"/>
      <c r="X550" s="5"/>
      <c r="Y550" s="5"/>
      <c r="Z550" s="5"/>
      <c r="BK550" s="5"/>
      <c r="BL550" s="5"/>
      <c r="BM550" s="5"/>
      <c r="BN550" s="5"/>
      <c r="BP550" s="5"/>
      <c r="BQ550" s="5"/>
      <c r="BR550" s="5"/>
      <c r="BS550" s="5"/>
      <c r="BU550" s="5"/>
      <c r="BV550" s="5"/>
      <c r="BW550" s="5"/>
      <c r="BX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</row>
    <row r="551" spans="23:101" ht="12.75">
      <c r="W551" s="5"/>
      <c r="X551" s="5"/>
      <c r="Y551" s="5"/>
      <c r="Z551" s="5"/>
      <c r="BK551" s="5"/>
      <c r="BL551" s="5"/>
      <c r="BM551" s="5"/>
      <c r="BN551" s="5"/>
      <c r="BP551" s="5"/>
      <c r="BQ551" s="5"/>
      <c r="BR551" s="5"/>
      <c r="BS551" s="5"/>
      <c r="BU551" s="5"/>
      <c r="BV551" s="5"/>
      <c r="BW551" s="5"/>
      <c r="BX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</row>
    <row r="552" spans="23:101" ht="12.75">
      <c r="W552" s="5"/>
      <c r="X552" s="5"/>
      <c r="Y552" s="5"/>
      <c r="Z552" s="5"/>
      <c r="BK552" s="5"/>
      <c r="BL552" s="5"/>
      <c r="BM552" s="5"/>
      <c r="BN552" s="5"/>
      <c r="BP552" s="5"/>
      <c r="BQ552" s="5"/>
      <c r="BR552" s="5"/>
      <c r="BS552" s="5"/>
      <c r="BU552" s="5"/>
      <c r="BV552" s="5"/>
      <c r="BW552" s="5"/>
      <c r="BX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</row>
    <row r="553" spans="23:101" ht="12.75">
      <c r="W553" s="5"/>
      <c r="X553" s="5"/>
      <c r="Y553" s="5"/>
      <c r="Z553" s="5"/>
      <c r="BK553" s="5"/>
      <c r="BL553" s="5"/>
      <c r="BM553" s="5"/>
      <c r="BN553" s="5"/>
      <c r="BP553" s="5"/>
      <c r="BQ553" s="5"/>
      <c r="BR553" s="5"/>
      <c r="BS553" s="5"/>
      <c r="BU553" s="5"/>
      <c r="BV553" s="5"/>
      <c r="BW553" s="5"/>
      <c r="BX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</row>
    <row r="554" spans="23:101" ht="12.75">
      <c r="W554" s="5"/>
      <c r="X554" s="5"/>
      <c r="Y554" s="5"/>
      <c r="Z554" s="5"/>
      <c r="BK554" s="5"/>
      <c r="BL554" s="5"/>
      <c r="BM554" s="5"/>
      <c r="BN554" s="5"/>
      <c r="BP554" s="5"/>
      <c r="BQ554" s="5"/>
      <c r="BR554" s="5"/>
      <c r="BS554" s="5"/>
      <c r="BU554" s="5"/>
      <c r="BV554" s="5"/>
      <c r="BW554" s="5"/>
      <c r="BX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</row>
    <row r="555" spans="23:101" ht="12.75">
      <c r="W555" s="5"/>
      <c r="X555" s="5"/>
      <c r="Y555" s="5"/>
      <c r="Z555" s="5"/>
      <c r="BK555" s="5"/>
      <c r="BL555" s="5"/>
      <c r="BM555" s="5"/>
      <c r="BN555" s="5"/>
      <c r="BP555" s="5"/>
      <c r="BQ555" s="5"/>
      <c r="BR555" s="5"/>
      <c r="BS555" s="5"/>
      <c r="BU555" s="5"/>
      <c r="BV555" s="5"/>
      <c r="BW555" s="5"/>
      <c r="BX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</row>
    <row r="556" spans="23:101" ht="12.75">
      <c r="W556" s="5"/>
      <c r="X556" s="5"/>
      <c r="Y556" s="5"/>
      <c r="Z556" s="5"/>
      <c r="BK556" s="5"/>
      <c r="BL556" s="5"/>
      <c r="BM556" s="5"/>
      <c r="BN556" s="5"/>
      <c r="BP556" s="5"/>
      <c r="BQ556" s="5"/>
      <c r="BR556" s="5"/>
      <c r="BS556" s="5"/>
      <c r="BU556" s="5"/>
      <c r="BV556" s="5"/>
      <c r="BW556" s="5"/>
      <c r="BX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</row>
    <row r="557" spans="23:101" ht="12.75">
      <c r="W557" s="5"/>
      <c r="X557" s="5"/>
      <c r="Y557" s="5"/>
      <c r="Z557" s="5"/>
      <c r="BK557" s="5"/>
      <c r="BL557" s="5"/>
      <c r="BM557" s="5"/>
      <c r="BN557" s="5"/>
      <c r="BP557" s="5"/>
      <c r="BQ557" s="5"/>
      <c r="BR557" s="5"/>
      <c r="BS557" s="5"/>
      <c r="BU557" s="5"/>
      <c r="BV557" s="5"/>
      <c r="BW557" s="5"/>
      <c r="BX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</row>
    <row r="558" spans="23:101" ht="12.75">
      <c r="W558" s="5"/>
      <c r="X558" s="5"/>
      <c r="Y558" s="5"/>
      <c r="Z558" s="5"/>
      <c r="BK558" s="5"/>
      <c r="BL558" s="5"/>
      <c r="BM558" s="5"/>
      <c r="BN558" s="5"/>
      <c r="BP558" s="5"/>
      <c r="BQ558" s="5"/>
      <c r="BR558" s="5"/>
      <c r="BS558" s="5"/>
      <c r="BU558" s="5"/>
      <c r="BV558" s="5"/>
      <c r="BW558" s="5"/>
      <c r="BX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</row>
    <row r="559" spans="23:101" ht="12.75">
      <c r="W559" s="5"/>
      <c r="X559" s="5"/>
      <c r="Y559" s="5"/>
      <c r="Z559" s="5"/>
      <c r="BK559" s="5"/>
      <c r="BL559" s="5"/>
      <c r="BM559" s="5"/>
      <c r="BN559" s="5"/>
      <c r="BP559" s="5"/>
      <c r="BQ559" s="5"/>
      <c r="BR559" s="5"/>
      <c r="BS559" s="5"/>
      <c r="BU559" s="5"/>
      <c r="BV559" s="5"/>
      <c r="BW559" s="5"/>
      <c r="BX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</row>
    <row r="560" spans="23:101" ht="12.75">
      <c r="W560" s="5"/>
      <c r="X560" s="5"/>
      <c r="Y560" s="5"/>
      <c r="Z560" s="5"/>
      <c r="BK560" s="5"/>
      <c r="BL560" s="5"/>
      <c r="BM560" s="5"/>
      <c r="BN560" s="5"/>
      <c r="BP560" s="5"/>
      <c r="BQ560" s="5"/>
      <c r="BR560" s="5"/>
      <c r="BS560" s="5"/>
      <c r="BU560" s="5"/>
      <c r="BV560" s="5"/>
      <c r="BW560" s="5"/>
      <c r="BX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</row>
    <row r="561" spans="23:101" ht="12.75">
      <c r="W561" s="5"/>
      <c r="X561" s="5"/>
      <c r="Y561" s="5"/>
      <c r="Z561" s="5"/>
      <c r="BK561" s="5"/>
      <c r="BL561" s="5"/>
      <c r="BM561" s="5"/>
      <c r="BN561" s="5"/>
      <c r="BP561" s="5"/>
      <c r="BQ561" s="5"/>
      <c r="BR561" s="5"/>
      <c r="BS561" s="5"/>
      <c r="BU561" s="5"/>
      <c r="BV561" s="5"/>
      <c r="BW561" s="5"/>
      <c r="BX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</row>
    <row r="562" spans="23:101" ht="12.75">
      <c r="W562" s="5"/>
      <c r="X562" s="5"/>
      <c r="Y562" s="5"/>
      <c r="Z562" s="5"/>
      <c r="BK562" s="5"/>
      <c r="BL562" s="5"/>
      <c r="BM562" s="5"/>
      <c r="BN562" s="5"/>
      <c r="BP562" s="5"/>
      <c r="BQ562" s="5"/>
      <c r="BR562" s="5"/>
      <c r="BS562" s="5"/>
      <c r="BU562" s="5"/>
      <c r="BV562" s="5"/>
      <c r="BW562" s="5"/>
      <c r="BX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</row>
    <row r="563" spans="23:101" ht="12.75">
      <c r="W563" s="5"/>
      <c r="X563" s="5"/>
      <c r="Y563" s="5"/>
      <c r="Z563" s="5"/>
      <c r="BK563" s="5"/>
      <c r="BL563" s="5"/>
      <c r="BM563" s="5"/>
      <c r="BN563" s="5"/>
      <c r="BP563" s="5"/>
      <c r="BQ563" s="5"/>
      <c r="BR563" s="5"/>
      <c r="BS563" s="5"/>
      <c r="BU563" s="5"/>
      <c r="BV563" s="5"/>
      <c r="BW563" s="5"/>
      <c r="BX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</row>
    <row r="564" spans="23:101" ht="12.75">
      <c r="W564" s="5"/>
      <c r="X564" s="5"/>
      <c r="Y564" s="5"/>
      <c r="Z564" s="5"/>
      <c r="BK564" s="5"/>
      <c r="BL564" s="5"/>
      <c r="BM564" s="5"/>
      <c r="BN564" s="5"/>
      <c r="BP564" s="5"/>
      <c r="BQ564" s="5"/>
      <c r="BR564" s="5"/>
      <c r="BS564" s="5"/>
      <c r="BU564" s="5"/>
      <c r="BV564" s="5"/>
      <c r="BW564" s="5"/>
      <c r="BX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</row>
    <row r="565" spans="23:101" ht="12.75">
      <c r="W565" s="5"/>
      <c r="X565" s="5"/>
      <c r="Y565" s="5"/>
      <c r="Z565" s="5"/>
      <c r="BK565" s="5"/>
      <c r="BL565" s="5"/>
      <c r="BM565" s="5"/>
      <c r="BN565" s="5"/>
      <c r="BP565" s="5"/>
      <c r="BQ565" s="5"/>
      <c r="BR565" s="5"/>
      <c r="BS565" s="5"/>
      <c r="BU565" s="5"/>
      <c r="BV565" s="5"/>
      <c r="BW565" s="5"/>
      <c r="BX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</row>
    <row r="566" spans="23:101" ht="12.75">
      <c r="W566" s="5"/>
      <c r="X566" s="5"/>
      <c r="Y566" s="5"/>
      <c r="Z566" s="5"/>
      <c r="BK566" s="5"/>
      <c r="BL566" s="5"/>
      <c r="BM566" s="5"/>
      <c r="BN566" s="5"/>
      <c r="BP566" s="5"/>
      <c r="BQ566" s="5"/>
      <c r="BR566" s="5"/>
      <c r="BS566" s="5"/>
      <c r="BU566" s="5"/>
      <c r="BV566" s="5"/>
      <c r="BW566" s="5"/>
      <c r="BX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</row>
    <row r="567" spans="23:101" ht="12.75">
      <c r="W567" s="5"/>
      <c r="X567" s="5"/>
      <c r="Y567" s="5"/>
      <c r="Z567" s="5"/>
      <c r="BK567" s="5"/>
      <c r="BL567" s="5"/>
      <c r="BM567" s="5"/>
      <c r="BN567" s="5"/>
      <c r="BP567" s="5"/>
      <c r="BQ567" s="5"/>
      <c r="BR567" s="5"/>
      <c r="BS567" s="5"/>
      <c r="BU567" s="5"/>
      <c r="BV567" s="5"/>
      <c r="BW567" s="5"/>
      <c r="BX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</row>
    <row r="568" spans="23:101" ht="12.75">
      <c r="W568" s="5"/>
      <c r="X568" s="5"/>
      <c r="Y568" s="5"/>
      <c r="Z568" s="5"/>
      <c r="BK568" s="5"/>
      <c r="BL568" s="5"/>
      <c r="BM568" s="5"/>
      <c r="BN568" s="5"/>
      <c r="BP568" s="5"/>
      <c r="BQ568" s="5"/>
      <c r="BR568" s="5"/>
      <c r="BS568" s="5"/>
      <c r="BU568" s="5"/>
      <c r="BV568" s="5"/>
      <c r="BW568" s="5"/>
      <c r="BX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</row>
    <row r="569" spans="23:101" ht="12.75">
      <c r="W569" s="5"/>
      <c r="X569" s="5"/>
      <c r="Y569" s="5"/>
      <c r="Z569" s="5"/>
      <c r="BK569" s="5"/>
      <c r="BL569" s="5"/>
      <c r="BM569" s="5"/>
      <c r="BN569" s="5"/>
      <c r="BP569" s="5"/>
      <c r="BQ569" s="5"/>
      <c r="BR569" s="5"/>
      <c r="BS569" s="5"/>
      <c r="BU569" s="5"/>
      <c r="BV569" s="5"/>
      <c r="BW569" s="5"/>
      <c r="BX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</row>
    <row r="570" spans="23:101" ht="12.75">
      <c r="W570" s="5"/>
      <c r="X570" s="5"/>
      <c r="Y570" s="5"/>
      <c r="Z570" s="5"/>
      <c r="BK570" s="5"/>
      <c r="BL570" s="5"/>
      <c r="BM570" s="5"/>
      <c r="BN570" s="5"/>
      <c r="BP570" s="5"/>
      <c r="BQ570" s="5"/>
      <c r="BR570" s="5"/>
      <c r="BS570" s="5"/>
      <c r="BU570" s="5"/>
      <c r="BV570" s="5"/>
      <c r="BW570" s="5"/>
      <c r="BX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</row>
    <row r="571" spans="23:101" ht="12.75">
      <c r="W571" s="5"/>
      <c r="X571" s="5"/>
      <c r="Y571" s="5"/>
      <c r="Z571" s="5"/>
      <c r="BK571" s="5"/>
      <c r="BL571" s="5"/>
      <c r="BM571" s="5"/>
      <c r="BN571" s="5"/>
      <c r="BP571" s="5"/>
      <c r="BQ571" s="5"/>
      <c r="BR571" s="5"/>
      <c r="BS571" s="5"/>
      <c r="BU571" s="5"/>
      <c r="BV571" s="5"/>
      <c r="BW571" s="5"/>
      <c r="BX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</row>
    <row r="572" spans="23:101" ht="12.75">
      <c r="W572" s="5"/>
      <c r="X572" s="5"/>
      <c r="Y572" s="5"/>
      <c r="Z572" s="5"/>
      <c r="BK572" s="5"/>
      <c r="BL572" s="5"/>
      <c r="BM572" s="5"/>
      <c r="BN572" s="5"/>
      <c r="BP572" s="5"/>
      <c r="BQ572" s="5"/>
      <c r="BR572" s="5"/>
      <c r="BS572" s="5"/>
      <c r="BU572" s="5"/>
      <c r="BV572" s="5"/>
      <c r="BW572" s="5"/>
      <c r="BX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</row>
  </sheetData>
  <sheetProtection/>
  <printOptions/>
  <pageMargins left="0.5" right="0" top="0" bottom="0" header="0.5" footer="0"/>
  <pageSetup horizontalDpi="600" verticalDpi="600" orientation="landscape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81"/>
  <sheetViews>
    <sheetView zoomScale="159" zoomScaleNormal="159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2" sqref="D12"/>
    </sheetView>
  </sheetViews>
  <sheetFormatPr defaultColWidth="10.7109375" defaultRowHeight="12.75"/>
  <cols>
    <col min="1" max="1" width="11.7109375" style="37" customWidth="1"/>
    <col min="2" max="2" width="4.28125" style="0" customWidth="1"/>
    <col min="3" max="6" width="16.28125" style="3" customWidth="1"/>
    <col min="7" max="7" width="4.28125" style="0" customWidth="1"/>
    <col min="8" max="11" width="16.28125" style="5" customWidth="1"/>
    <col min="12" max="12" width="4.28125" style="5" customWidth="1"/>
    <col min="13" max="16" width="15.140625" style="5" customWidth="1"/>
    <col min="17" max="17" width="4.28125" style="5" customWidth="1"/>
    <col min="18" max="21" width="15.140625" style="5" customWidth="1"/>
    <col min="22" max="22" width="4.28125" style="5" customWidth="1"/>
    <col min="23" max="26" width="16.28125" style="5" customWidth="1"/>
    <col min="27" max="27" width="4.28125" style="5" customWidth="1"/>
    <col min="28" max="31" width="16.28125" style="5" customWidth="1"/>
    <col min="32" max="32" width="4.28125" style="5" customWidth="1"/>
    <col min="33" max="34" width="15.140625" style="5" customWidth="1"/>
    <col min="35" max="36" width="16.28125" style="5" customWidth="1"/>
    <col min="37" max="37" width="4.28125" style="5" customWidth="1"/>
    <col min="38" max="41" width="16.28125" style="5" customWidth="1"/>
    <col min="42" max="42" width="4.28125" style="5" customWidth="1"/>
    <col min="43" max="46" width="16.28125" style="5" customWidth="1"/>
    <col min="47" max="47" width="4.28125" style="5" customWidth="1"/>
    <col min="48" max="51" width="16.28125" style="5" customWidth="1"/>
    <col min="52" max="52" width="4.28125" style="5" customWidth="1"/>
    <col min="53" max="56" width="16.28125" style="5" customWidth="1"/>
    <col min="57" max="57" width="4.28125" style="5" customWidth="1"/>
    <col min="58" max="61" width="16.28125" style="5" customWidth="1"/>
    <col min="62" max="62" width="4.28125" style="5" customWidth="1"/>
    <col min="63" max="66" width="15.140625" style="5" customWidth="1"/>
    <col min="67" max="67" width="4.28125" style="5" customWidth="1"/>
    <col min="68" max="71" width="15.140625" style="5" customWidth="1"/>
    <col min="72" max="72" width="4.28125" style="5" customWidth="1"/>
    <col min="73" max="76" width="16.28125" style="5" customWidth="1"/>
    <col min="77" max="77" width="4.28125" style="5" customWidth="1"/>
    <col min="78" max="81" width="15.140625" style="5" customWidth="1"/>
    <col min="82" max="82" width="4.28125" style="5" customWidth="1"/>
    <col min="83" max="86" width="16.28125" style="5" customWidth="1"/>
    <col min="87" max="87" width="4.28125" style="5" customWidth="1"/>
    <col min="88" max="91" width="16.28125" style="5" customWidth="1"/>
    <col min="92" max="92" width="4.28125" style="5" customWidth="1"/>
    <col min="93" max="96" width="16.28125" style="5" customWidth="1"/>
    <col min="97" max="97" width="4.28125" style="5" customWidth="1"/>
    <col min="98" max="101" width="16.28125" style="5" customWidth="1"/>
    <col min="102" max="102" width="4.28125" style="5" customWidth="1"/>
    <col min="103" max="106" width="16.28125" style="5" customWidth="1"/>
    <col min="107" max="107" width="4.28125" style="5" customWidth="1"/>
    <col min="108" max="111" width="16.28125" style="5" customWidth="1"/>
    <col min="112" max="112" width="4.28125" style="5" customWidth="1"/>
  </cols>
  <sheetData>
    <row r="1" spans="1:113" ht="12.75">
      <c r="A1" s="1"/>
      <c r="B1" s="2"/>
      <c r="D1" s="4"/>
      <c r="H1" s="4" t="s">
        <v>52</v>
      </c>
      <c r="W1" s="4" t="s">
        <v>52</v>
      </c>
      <c r="AL1" s="4" t="s">
        <v>52</v>
      </c>
      <c r="AQ1" s="4"/>
      <c r="BA1" s="4" t="s">
        <v>52</v>
      </c>
      <c r="BK1" s="4"/>
      <c r="BP1" s="4" t="s">
        <v>52</v>
      </c>
      <c r="BZ1" s="4"/>
      <c r="CE1" s="4" t="s">
        <v>52</v>
      </c>
      <c r="CO1" s="4"/>
      <c r="CT1" s="4" t="s">
        <v>52</v>
      </c>
      <c r="DD1" s="4"/>
      <c r="DI1" s="4" t="s">
        <v>52</v>
      </c>
    </row>
    <row r="2" spans="1:113" ht="12.75">
      <c r="A2" s="1"/>
      <c r="B2" s="2"/>
      <c r="D2" s="4"/>
      <c r="H2" s="4" t="s">
        <v>51</v>
      </c>
      <c r="W2" s="4" t="s">
        <v>51</v>
      </c>
      <c r="AL2" s="4" t="s">
        <v>51</v>
      </c>
      <c r="AQ2" s="4"/>
      <c r="BA2" s="4" t="s">
        <v>51</v>
      </c>
      <c r="BK2" s="4"/>
      <c r="BP2" s="4" t="s">
        <v>51</v>
      </c>
      <c r="BZ2" s="4"/>
      <c r="CE2" s="4" t="s">
        <v>51</v>
      </c>
      <c r="CO2" s="4"/>
      <c r="CT2" s="4" t="s">
        <v>51</v>
      </c>
      <c r="DD2" s="4"/>
      <c r="DI2" s="4" t="s">
        <v>51</v>
      </c>
    </row>
    <row r="3" spans="1:113" ht="12.75">
      <c r="A3" s="1"/>
      <c r="B3" s="2"/>
      <c r="D3" s="7"/>
      <c r="H3" s="4" t="s">
        <v>92</v>
      </c>
      <c r="W3" s="4" t="s">
        <v>92</v>
      </c>
      <c r="AL3" s="4" t="s">
        <v>92</v>
      </c>
      <c r="AQ3" s="4"/>
      <c r="BA3" s="4" t="s">
        <v>92</v>
      </c>
      <c r="BK3" s="4"/>
      <c r="BP3" s="4" t="s">
        <v>92</v>
      </c>
      <c r="BZ3" s="4"/>
      <c r="CE3" s="4" t="s">
        <v>92</v>
      </c>
      <c r="CO3" s="4"/>
      <c r="CT3" s="4" t="s">
        <v>92</v>
      </c>
      <c r="DD3" s="4"/>
      <c r="DI3" s="4" t="s">
        <v>92</v>
      </c>
    </row>
    <row r="4" spans="1:4" ht="12.75">
      <c r="A4" s="1"/>
      <c r="B4" s="2"/>
      <c r="C4" s="7"/>
      <c r="D4" s="4"/>
    </row>
    <row r="5" spans="1:112" ht="12.75">
      <c r="A5" s="9" t="s">
        <v>0</v>
      </c>
      <c r="C5" s="10" t="s">
        <v>90</v>
      </c>
      <c r="D5" s="11"/>
      <c r="E5" s="12"/>
      <c r="F5" s="12"/>
      <c r="H5" s="13" t="s">
        <v>94</v>
      </c>
      <c r="I5" s="16"/>
      <c r="J5" s="15"/>
      <c r="K5" s="15"/>
      <c r="M5" s="79" t="s">
        <v>123</v>
      </c>
      <c r="N5" s="14"/>
      <c r="O5" s="15"/>
      <c r="P5" s="15"/>
      <c r="R5" s="81" t="s">
        <v>124</v>
      </c>
      <c r="S5" s="14"/>
      <c r="T5" s="15"/>
      <c r="U5" s="15"/>
      <c r="W5" s="79" t="s">
        <v>125</v>
      </c>
      <c r="X5" s="77"/>
      <c r="Y5" s="78"/>
      <c r="Z5" s="15"/>
      <c r="AB5" s="42" t="s">
        <v>8</v>
      </c>
      <c r="AC5" s="14"/>
      <c r="AD5" s="15"/>
      <c r="AE5" s="15"/>
      <c r="AG5" s="42" t="s">
        <v>9</v>
      </c>
      <c r="AH5" s="14"/>
      <c r="AI5" s="15"/>
      <c r="AJ5" s="15"/>
      <c r="AL5" s="42" t="s">
        <v>10</v>
      </c>
      <c r="AM5" s="14"/>
      <c r="AN5" s="15"/>
      <c r="AO5" s="15"/>
      <c r="AQ5" s="13" t="s">
        <v>11</v>
      </c>
      <c r="AR5" s="14"/>
      <c r="AS5" s="15"/>
      <c r="AT5" s="15"/>
      <c r="AV5" s="80" t="s">
        <v>84</v>
      </c>
      <c r="AW5" s="14"/>
      <c r="AX5" s="15"/>
      <c r="AY5" s="15"/>
      <c r="BA5" s="80" t="s">
        <v>87</v>
      </c>
      <c r="BB5" s="77"/>
      <c r="BC5" s="78"/>
      <c r="BD5" s="15"/>
      <c r="BE5" s="86"/>
      <c r="BF5" s="80" t="s">
        <v>140</v>
      </c>
      <c r="BG5" s="77"/>
      <c r="BH5" s="78"/>
      <c r="BI5" s="15"/>
      <c r="BK5" s="13" t="s">
        <v>12</v>
      </c>
      <c r="BL5" s="14"/>
      <c r="BM5" s="15"/>
      <c r="BN5" s="15"/>
      <c r="BP5" s="42" t="s">
        <v>56</v>
      </c>
      <c r="BQ5" s="14"/>
      <c r="BR5" s="15"/>
      <c r="BS5" s="15"/>
      <c r="BU5" s="42" t="s">
        <v>13</v>
      </c>
      <c r="BV5" s="14"/>
      <c r="BW5" s="15"/>
      <c r="BX5" s="15"/>
      <c r="BZ5" s="81" t="s">
        <v>85</v>
      </c>
      <c r="CA5" s="14"/>
      <c r="CB5" s="15"/>
      <c r="CC5" s="15"/>
      <c r="CE5" s="42" t="s">
        <v>58</v>
      </c>
      <c r="CF5" s="16"/>
      <c r="CG5" s="15"/>
      <c r="CH5" s="15"/>
      <c r="CJ5" s="42" t="s">
        <v>14</v>
      </c>
      <c r="CK5" s="16"/>
      <c r="CL5" s="15"/>
      <c r="CM5" s="15"/>
      <c r="CO5" s="13" t="s">
        <v>15</v>
      </c>
      <c r="CP5" s="16"/>
      <c r="CQ5" s="15"/>
      <c r="CR5" s="15"/>
      <c r="CT5" s="82" t="s">
        <v>126</v>
      </c>
      <c r="CU5" s="16"/>
      <c r="CV5" s="15"/>
      <c r="CW5" s="15"/>
      <c r="CY5" s="13" t="s">
        <v>16</v>
      </c>
      <c r="CZ5" s="16"/>
      <c r="DA5" s="15"/>
      <c r="DB5" s="15"/>
      <c r="DD5" s="13" t="s">
        <v>17</v>
      </c>
      <c r="DE5" s="16"/>
      <c r="DF5" s="15"/>
      <c r="DG5" s="15"/>
      <c r="DH5" s="43"/>
    </row>
    <row r="6" spans="1:112" ht="12.75">
      <c r="A6" s="22" t="s">
        <v>4</v>
      </c>
      <c r="B6" s="8"/>
      <c r="C6" s="42" t="s">
        <v>91</v>
      </c>
      <c r="D6" s="14"/>
      <c r="E6" s="41"/>
      <c r="F6" s="31" t="s">
        <v>149</v>
      </c>
      <c r="H6" s="23">
        <f>M6+R6+W6+AB6+AG6+AL6+AQ6+AV6+BA6+BK6+BP6+BU6+BZ6+CE6+CJ6+CO6+CT6+CY6+DD6</f>
        <v>0.25834569999999996</v>
      </c>
      <c r="I6" s="24">
        <f>N6+S6+X6+AC6+AH6+AM6+AR6+AW6+BB6+BG6+BL6+BQ6+BV6+CA6+CF6+CK6+CP6+CU6+CZ6+DE6</f>
        <v>0.34399669999999993</v>
      </c>
      <c r="J6" s="24">
        <f>O6+T6+Y6+AD6+AI6+AN6+AS6+AX6+BC6+BH6+BM6+BR6+BW6+CB6+CG6+CL6+CQ6+CV6+DA6+DF6</f>
        <v>0.36852599999999996</v>
      </c>
      <c r="K6" s="90" t="s">
        <v>149</v>
      </c>
      <c r="M6" s="44">
        <v>0.001011</v>
      </c>
      <c r="N6" s="8">
        <v>0.0010115</v>
      </c>
      <c r="O6" s="25">
        <v>0.0010108</v>
      </c>
      <c r="P6" s="89" t="s">
        <v>149</v>
      </c>
      <c r="R6" s="44">
        <v>0.0459735</v>
      </c>
      <c r="S6" s="8">
        <v>0.0521482</v>
      </c>
      <c r="T6" s="25">
        <v>0.0521116</v>
      </c>
      <c r="U6" s="89" t="s">
        <v>149</v>
      </c>
      <c r="W6" s="44">
        <v>0.1242211</v>
      </c>
      <c r="X6" s="8">
        <v>0.1242795</v>
      </c>
      <c r="Y6" s="25">
        <v>0.1429306</v>
      </c>
      <c r="Z6" s="89" t="s">
        <v>149</v>
      </c>
      <c r="AB6" s="44">
        <v>0.0276102</v>
      </c>
      <c r="AC6" s="8">
        <v>0.0391479</v>
      </c>
      <c r="AD6" s="25">
        <v>0.0421183</v>
      </c>
      <c r="AE6" s="89" t="s">
        <v>149</v>
      </c>
      <c r="AG6" s="44">
        <v>0.000159</v>
      </c>
      <c r="AH6" s="24">
        <v>0.0001591</v>
      </c>
      <c r="AI6" s="25">
        <v>0.000159</v>
      </c>
      <c r="AJ6" s="89" t="s">
        <v>149</v>
      </c>
      <c r="AL6" s="44">
        <v>0.0017748</v>
      </c>
      <c r="AM6" s="8">
        <v>0.0034977</v>
      </c>
      <c r="AN6" s="25">
        <v>0.0034953</v>
      </c>
      <c r="AO6" s="89" t="s">
        <v>149</v>
      </c>
      <c r="AQ6" s="44">
        <v>0.0050699</v>
      </c>
      <c r="AR6" s="8">
        <v>0.0057134</v>
      </c>
      <c r="AS6" s="25">
        <v>0.0077867</v>
      </c>
      <c r="AT6" s="89" t="s">
        <v>149</v>
      </c>
      <c r="AV6" s="44">
        <v>0.0165131</v>
      </c>
      <c r="AW6" s="8">
        <v>0.0167445</v>
      </c>
      <c r="AX6" s="25">
        <v>0.0167327</v>
      </c>
      <c r="AY6" s="89" t="s">
        <v>149</v>
      </c>
      <c r="BA6" s="44">
        <v>0.000529</v>
      </c>
      <c r="BB6" s="8">
        <v>0.0005292</v>
      </c>
      <c r="BC6" s="25">
        <v>0.0005289</v>
      </c>
      <c r="BD6" s="89" t="s">
        <v>149</v>
      </c>
      <c r="BE6" s="70"/>
      <c r="BF6" s="44">
        <v>0</v>
      </c>
      <c r="BG6" s="8">
        <v>0.0015519</v>
      </c>
      <c r="BH6" s="25">
        <v>0.0016158</v>
      </c>
      <c r="BI6" s="89" t="s">
        <v>149</v>
      </c>
      <c r="BK6" s="44">
        <v>0.0007856</v>
      </c>
      <c r="BL6" s="8">
        <v>0.0078782</v>
      </c>
      <c r="BM6" s="25">
        <v>0.0079894</v>
      </c>
      <c r="BN6" s="89" t="s">
        <v>149</v>
      </c>
      <c r="BP6" s="44">
        <v>6.4E-06</v>
      </c>
      <c r="BQ6" s="8">
        <v>0.0010227</v>
      </c>
      <c r="BR6" s="25">
        <v>0.001763</v>
      </c>
      <c r="BS6" s="89" t="s">
        <v>149</v>
      </c>
      <c r="BU6" s="44">
        <v>2.88E-05</v>
      </c>
      <c r="BV6" s="8">
        <v>6.72E-05</v>
      </c>
      <c r="BW6" s="25">
        <v>6.72E-05</v>
      </c>
      <c r="BX6" s="89" t="s">
        <v>149</v>
      </c>
      <c r="BZ6" s="44">
        <v>0.0002883</v>
      </c>
      <c r="CA6" s="8">
        <v>0.0003772</v>
      </c>
      <c r="CB6" s="25">
        <v>0.000377</v>
      </c>
      <c r="CC6" s="89" t="s">
        <v>149</v>
      </c>
      <c r="CE6" s="44">
        <v>0.0017168</v>
      </c>
      <c r="CF6" s="24">
        <v>0.0039138</v>
      </c>
      <c r="CG6" s="25">
        <v>0.0039111</v>
      </c>
      <c r="CH6" s="89" t="s">
        <v>149</v>
      </c>
      <c r="CJ6" s="44">
        <v>0.0018033</v>
      </c>
      <c r="CK6" s="24">
        <v>0.0053059</v>
      </c>
      <c r="CL6" s="25">
        <v>0.0053022</v>
      </c>
      <c r="CM6" s="89" t="s">
        <v>149</v>
      </c>
      <c r="CO6" s="44">
        <v>0.0034826</v>
      </c>
      <c r="CP6" s="24">
        <v>0.0034979</v>
      </c>
      <c r="CQ6" s="25">
        <v>0.0034955</v>
      </c>
      <c r="CR6" s="89" t="s">
        <v>149</v>
      </c>
      <c r="CT6" s="44">
        <v>0.0112551</v>
      </c>
      <c r="CU6" s="24">
        <v>0.0602735</v>
      </c>
      <c r="CV6" s="25">
        <v>0.0602654</v>
      </c>
      <c r="CW6" s="89" t="s">
        <v>149</v>
      </c>
      <c r="CY6" s="44">
        <v>0.0137834</v>
      </c>
      <c r="CZ6" s="24">
        <v>0.0139807</v>
      </c>
      <c r="DA6" s="25">
        <v>0.0139709</v>
      </c>
      <c r="DB6" s="89" t="s">
        <v>149</v>
      </c>
      <c r="DD6" s="44">
        <v>0.0023338</v>
      </c>
      <c r="DE6" s="24">
        <v>0.0028967</v>
      </c>
      <c r="DF6" s="25">
        <v>0.0028946</v>
      </c>
      <c r="DG6" s="89" t="s">
        <v>149</v>
      </c>
      <c r="DH6" s="43"/>
    </row>
    <row r="7" spans="1:112" ht="12.75">
      <c r="A7" s="22"/>
      <c r="B7" s="8"/>
      <c r="C7" s="42"/>
      <c r="D7" s="14"/>
      <c r="E7" s="41"/>
      <c r="F7" s="31" t="s">
        <v>150</v>
      </c>
      <c r="H7" s="23"/>
      <c r="I7" s="24"/>
      <c r="J7" s="24"/>
      <c r="K7" s="90" t="s">
        <v>150</v>
      </c>
      <c r="M7" s="44"/>
      <c r="N7" s="24"/>
      <c r="O7" s="25"/>
      <c r="P7" s="89" t="s">
        <v>150</v>
      </c>
      <c r="R7" s="44"/>
      <c r="S7" s="24"/>
      <c r="T7" s="25"/>
      <c r="U7" s="89" t="s">
        <v>150</v>
      </c>
      <c r="W7" s="44"/>
      <c r="X7" s="24"/>
      <c r="Y7" s="25"/>
      <c r="Z7" s="89" t="s">
        <v>150</v>
      </c>
      <c r="AB7" s="44"/>
      <c r="AC7" s="24"/>
      <c r="AD7" s="25"/>
      <c r="AE7" s="89" t="s">
        <v>150</v>
      </c>
      <c r="AG7" s="44"/>
      <c r="AH7" s="8"/>
      <c r="AI7" s="25"/>
      <c r="AJ7" s="89" t="s">
        <v>150</v>
      </c>
      <c r="AL7" s="44"/>
      <c r="AM7" s="24"/>
      <c r="AN7" s="25"/>
      <c r="AO7" s="89" t="s">
        <v>150</v>
      </c>
      <c r="AQ7" s="44"/>
      <c r="AR7" s="24"/>
      <c r="AS7" s="25"/>
      <c r="AT7" s="89" t="s">
        <v>150</v>
      </c>
      <c r="AV7" s="44"/>
      <c r="AW7" s="24"/>
      <c r="AX7" s="25"/>
      <c r="AY7" s="89" t="s">
        <v>150</v>
      </c>
      <c r="BA7" s="44"/>
      <c r="BB7" s="24"/>
      <c r="BC7" s="25"/>
      <c r="BD7" s="89" t="s">
        <v>150</v>
      </c>
      <c r="BE7" s="70"/>
      <c r="BF7" s="44"/>
      <c r="BG7" s="24"/>
      <c r="BH7" s="25"/>
      <c r="BI7" s="89" t="s">
        <v>150</v>
      </c>
      <c r="BK7" s="44"/>
      <c r="BL7" s="24"/>
      <c r="BM7" s="25"/>
      <c r="BN7" s="89" t="s">
        <v>150</v>
      </c>
      <c r="BP7" s="44"/>
      <c r="BQ7" s="24"/>
      <c r="BR7" s="25"/>
      <c r="BS7" s="89" t="s">
        <v>150</v>
      </c>
      <c r="BU7" s="44"/>
      <c r="BV7" s="24"/>
      <c r="BW7" s="25"/>
      <c r="BX7" s="89" t="s">
        <v>150</v>
      </c>
      <c r="BZ7" s="44"/>
      <c r="CA7" s="24"/>
      <c r="CB7" s="25"/>
      <c r="CC7" s="89" t="s">
        <v>150</v>
      </c>
      <c r="CE7" s="44"/>
      <c r="CF7" s="24"/>
      <c r="CG7" s="25"/>
      <c r="CH7" s="89" t="s">
        <v>150</v>
      </c>
      <c r="CJ7" s="44"/>
      <c r="CK7" s="24"/>
      <c r="CL7" s="25"/>
      <c r="CM7" s="89" t="s">
        <v>150</v>
      </c>
      <c r="CO7" s="44"/>
      <c r="CP7" s="24"/>
      <c r="CQ7" s="25"/>
      <c r="CR7" s="89" t="s">
        <v>150</v>
      </c>
      <c r="CT7" s="44"/>
      <c r="CU7" s="24"/>
      <c r="CV7" s="25"/>
      <c r="CW7" s="89" t="s">
        <v>150</v>
      </c>
      <c r="CY7" s="44"/>
      <c r="CZ7" s="24"/>
      <c r="DA7" s="25"/>
      <c r="DB7" s="89" t="s">
        <v>150</v>
      </c>
      <c r="DD7" s="44"/>
      <c r="DE7" s="24"/>
      <c r="DF7" s="25"/>
      <c r="DG7" s="89" t="s">
        <v>150</v>
      </c>
      <c r="DH7" s="43"/>
    </row>
    <row r="8" spans="1:112" ht="12.75">
      <c r="A8" s="30"/>
      <c r="C8" s="31" t="s">
        <v>5</v>
      </c>
      <c r="D8" s="31" t="s">
        <v>6</v>
      </c>
      <c r="E8" s="31" t="s">
        <v>7</v>
      </c>
      <c r="F8" s="87"/>
      <c r="H8" s="31" t="s">
        <v>5</v>
      </c>
      <c r="I8" s="31" t="s">
        <v>6</v>
      </c>
      <c r="J8" s="31" t="s">
        <v>7</v>
      </c>
      <c r="K8" s="31"/>
      <c r="M8" s="31" t="s">
        <v>5</v>
      </c>
      <c r="N8" s="31" t="s">
        <v>6</v>
      </c>
      <c r="O8" s="31" t="s">
        <v>7</v>
      </c>
      <c r="P8" s="87"/>
      <c r="R8" s="31" t="s">
        <v>5</v>
      </c>
      <c r="S8" s="31" t="s">
        <v>6</v>
      </c>
      <c r="T8" s="31" t="s">
        <v>7</v>
      </c>
      <c r="U8" s="87"/>
      <c r="W8" s="31" t="s">
        <v>5</v>
      </c>
      <c r="X8" s="31" t="s">
        <v>6</v>
      </c>
      <c r="Y8" s="31" t="s">
        <v>7</v>
      </c>
      <c r="Z8" s="87"/>
      <c r="AB8" s="31" t="s">
        <v>5</v>
      </c>
      <c r="AC8" s="31" t="s">
        <v>6</v>
      </c>
      <c r="AD8" s="31" t="s">
        <v>7</v>
      </c>
      <c r="AE8" s="87"/>
      <c r="AG8" s="31" t="s">
        <v>5</v>
      </c>
      <c r="AH8" s="31" t="s">
        <v>6</v>
      </c>
      <c r="AI8" s="31" t="s">
        <v>7</v>
      </c>
      <c r="AJ8" s="87"/>
      <c r="AL8" s="31" t="s">
        <v>5</v>
      </c>
      <c r="AM8" s="31" t="s">
        <v>6</v>
      </c>
      <c r="AN8" s="31" t="s">
        <v>7</v>
      </c>
      <c r="AO8" s="87"/>
      <c r="AQ8" s="31" t="s">
        <v>5</v>
      </c>
      <c r="AR8" s="31" t="s">
        <v>6</v>
      </c>
      <c r="AS8" s="31" t="s">
        <v>7</v>
      </c>
      <c r="AT8" s="87"/>
      <c r="AV8" s="31" t="s">
        <v>5</v>
      </c>
      <c r="AW8" s="31" t="s">
        <v>6</v>
      </c>
      <c r="AX8" s="31" t="s">
        <v>7</v>
      </c>
      <c r="AY8" s="87"/>
      <c r="BA8" s="31" t="s">
        <v>5</v>
      </c>
      <c r="BB8" s="31" t="s">
        <v>6</v>
      </c>
      <c r="BC8" s="31" t="s">
        <v>7</v>
      </c>
      <c r="BD8" s="87"/>
      <c r="BE8" s="87"/>
      <c r="BF8" s="31" t="s">
        <v>5</v>
      </c>
      <c r="BG8" s="31" t="s">
        <v>6</v>
      </c>
      <c r="BH8" s="31" t="s">
        <v>7</v>
      </c>
      <c r="BI8" s="87"/>
      <c r="BK8" s="31" t="s">
        <v>5</v>
      </c>
      <c r="BL8" s="31" t="s">
        <v>6</v>
      </c>
      <c r="BM8" s="31" t="s">
        <v>7</v>
      </c>
      <c r="BN8" s="87"/>
      <c r="BP8" s="31" t="s">
        <v>5</v>
      </c>
      <c r="BQ8" s="31" t="s">
        <v>6</v>
      </c>
      <c r="BR8" s="31" t="s">
        <v>7</v>
      </c>
      <c r="BS8" s="87"/>
      <c r="BU8" s="31" t="s">
        <v>5</v>
      </c>
      <c r="BV8" s="31" t="s">
        <v>6</v>
      </c>
      <c r="BW8" s="31" t="s">
        <v>7</v>
      </c>
      <c r="BX8" s="87"/>
      <c r="BZ8" s="31" t="s">
        <v>5</v>
      </c>
      <c r="CA8" s="31" t="s">
        <v>6</v>
      </c>
      <c r="CB8" s="31" t="s">
        <v>7</v>
      </c>
      <c r="CC8" s="87"/>
      <c r="CE8" s="31" t="s">
        <v>5</v>
      </c>
      <c r="CF8" s="31" t="s">
        <v>6</v>
      </c>
      <c r="CG8" s="31" t="s">
        <v>7</v>
      </c>
      <c r="CH8" s="87"/>
      <c r="CJ8" s="31" t="s">
        <v>5</v>
      </c>
      <c r="CK8" s="31" t="s">
        <v>6</v>
      </c>
      <c r="CL8" s="31" t="s">
        <v>7</v>
      </c>
      <c r="CM8" s="87"/>
      <c r="CO8" s="31" t="s">
        <v>5</v>
      </c>
      <c r="CP8" s="31" t="s">
        <v>6</v>
      </c>
      <c r="CQ8" s="31" t="s">
        <v>7</v>
      </c>
      <c r="CR8" s="87"/>
      <c r="CT8" s="31" t="s">
        <v>5</v>
      </c>
      <c r="CU8" s="31" t="s">
        <v>6</v>
      </c>
      <c r="CV8" s="31" t="s">
        <v>7</v>
      </c>
      <c r="CW8" s="87"/>
      <c r="CY8" s="31" t="s">
        <v>5</v>
      </c>
      <c r="CZ8" s="31" t="s">
        <v>6</v>
      </c>
      <c r="DA8" s="31" t="s">
        <v>7</v>
      </c>
      <c r="DB8" s="87"/>
      <c r="DD8" s="31" t="s">
        <v>5</v>
      </c>
      <c r="DE8" s="31" t="s">
        <v>6</v>
      </c>
      <c r="DF8" s="31" t="s">
        <v>7</v>
      </c>
      <c r="DG8" s="87"/>
      <c r="DH8" s="71"/>
    </row>
    <row r="9" spans="1:111" ht="12.75">
      <c r="A9" s="37">
        <v>44105</v>
      </c>
      <c r="D9" s="3">
        <v>2551838</v>
      </c>
      <c r="E9" s="35">
        <f aca="true" t="shared" si="0" ref="E9:E40">C9+D9</f>
        <v>2551838</v>
      </c>
      <c r="F9" s="35">
        <v>535049</v>
      </c>
      <c r="H9" s="45"/>
      <c r="I9" s="36">
        <f aca="true" t="shared" si="1" ref="I9:K40">N9+S9+X9+AC9+AH9+AM9+AR9+AW9+BB9+BG9+BL9+BQ9+BV9+CA9+CF9+CK9+CP9+CU9+CZ9+DE9</f>
        <v>940418.6507879996</v>
      </c>
      <c r="J9" s="36">
        <f aca="true" t="shared" si="2" ref="J9:J40">H9+I9</f>
        <v>940418.6507879996</v>
      </c>
      <c r="K9" s="36">
        <f t="shared" si="1"/>
        <v>197179.46777399993</v>
      </c>
      <c r="M9" s="36"/>
      <c r="N9" s="5">
        <f aca="true" t="shared" si="3" ref="N9:N40">D9*$O$6</f>
        <v>2579.3978504</v>
      </c>
      <c r="O9" s="5">
        <f aca="true" t="shared" si="4" ref="O9:O40">M9+N9</f>
        <v>2579.3978504</v>
      </c>
      <c r="P9" s="5">
        <f aca="true" t="shared" si="5" ref="P9:P40">O$6*$F9</f>
        <v>540.8275292000001</v>
      </c>
      <c r="R9" s="36"/>
      <c r="S9" s="5">
        <f aca="true" t="shared" si="6" ref="S9:S40">D9*$T$6</f>
        <v>132980.3611208</v>
      </c>
      <c r="T9" s="5">
        <f aca="true" t="shared" si="7" ref="T9:T40">R9+S9</f>
        <v>132980.3611208</v>
      </c>
      <c r="U9" s="5">
        <f aca="true" t="shared" si="8" ref="U9:U40">T$6*$F9</f>
        <v>27882.2594684</v>
      </c>
      <c r="W9" s="36"/>
      <c r="X9" s="5">
        <f aca="true" t="shared" si="9" ref="X9:X40">D9*$Y$6</f>
        <v>364735.7364428</v>
      </c>
      <c r="Y9" s="5">
        <f aca="true" t="shared" si="10" ref="Y9:Y40">W9+X9</f>
        <v>364735.7364428</v>
      </c>
      <c r="Z9" s="5">
        <f aca="true" t="shared" si="11" ref="Z9:Z40">Y$6*$F9</f>
        <v>76474.87459939999</v>
      </c>
      <c r="AB9" s="36"/>
      <c r="AC9" s="5">
        <f aca="true" t="shared" si="12" ref="AC9:AC40">D9*$AD$6</f>
        <v>107479.07843539999</v>
      </c>
      <c r="AD9" s="5">
        <f aca="true" t="shared" si="13" ref="AD9:AD40">AB9+AC9</f>
        <v>107479.07843539999</v>
      </c>
      <c r="AE9" s="5">
        <f aca="true" t="shared" si="14" ref="AE9:AE40">AD$6*$F9</f>
        <v>22535.3542967</v>
      </c>
      <c r="AG9" s="36"/>
      <c r="AH9" s="5">
        <f aca="true" t="shared" si="15" ref="AH9:AH40">D9*$AI$6</f>
        <v>405.742242</v>
      </c>
      <c r="AI9" s="5">
        <f aca="true" t="shared" si="16" ref="AI9:AI40">AG9+AH9</f>
        <v>405.742242</v>
      </c>
      <c r="AJ9" s="5">
        <f aca="true" t="shared" si="17" ref="AJ9:AJ40">AI$6*$F9</f>
        <v>85.072791</v>
      </c>
      <c r="AL9" s="36"/>
      <c r="AM9" s="5">
        <f aca="true" t="shared" si="18" ref="AM9:AM40">D9*$AN$6</f>
        <v>8919.4393614</v>
      </c>
      <c r="AN9" s="5">
        <f aca="true" t="shared" si="19" ref="AN9:AN40">AL9+AM9</f>
        <v>8919.4393614</v>
      </c>
      <c r="AO9" s="5">
        <f aca="true" t="shared" si="20" ref="AO9:AO40">AN$6*$F9</f>
        <v>1870.1567696999998</v>
      </c>
      <c r="AQ9" s="36"/>
      <c r="AR9" s="5">
        <f aca="true" t="shared" si="21" ref="AR9:AR40">D9*$AS$6</f>
        <v>19870.3969546</v>
      </c>
      <c r="AS9" s="5">
        <f aca="true" t="shared" si="22" ref="AS9:AS40">AQ9+AR9</f>
        <v>19870.3969546</v>
      </c>
      <c r="AT9" s="5">
        <f aca="true" t="shared" si="23" ref="AT9:AT40">AS$6*$F9</f>
        <v>4166.2660483</v>
      </c>
      <c r="AV9" s="36"/>
      <c r="AW9" s="5">
        <f aca="true" t="shared" si="24" ref="AW9:AW40">D9*$AX$6</f>
        <v>42699.1397026</v>
      </c>
      <c r="AX9" s="5">
        <f aca="true" t="shared" si="25" ref="AX9:AX40">AV9+AW9</f>
        <v>42699.1397026</v>
      </c>
      <c r="AY9" s="5">
        <f aca="true" t="shared" si="26" ref="AY9:AY40">AX$6*$F9</f>
        <v>8952.8144023</v>
      </c>
      <c r="BA9" s="36"/>
      <c r="BB9" s="5">
        <f aca="true" t="shared" si="27" ref="BB9:BB40">D9*$BC$6</f>
        <v>1349.6671182</v>
      </c>
      <c r="BC9" s="5">
        <f aca="true" t="shared" si="28" ref="BC9:BC40">BA9+BB9</f>
        <v>1349.6671182</v>
      </c>
      <c r="BD9" s="5">
        <f aca="true" t="shared" si="29" ref="BD9:BD40">BC$6*$F9</f>
        <v>282.9874161</v>
      </c>
      <c r="BF9" s="36"/>
      <c r="BG9" s="5">
        <f aca="true" t="shared" si="30" ref="BG9:BG40">D9*$BH$6</f>
        <v>4123.2598404</v>
      </c>
      <c r="BH9" s="5">
        <f aca="true" t="shared" si="31" ref="BH9:BH40">BF9+BG9</f>
        <v>4123.2598404</v>
      </c>
      <c r="BI9" s="5">
        <f aca="true" t="shared" si="32" ref="BI9:BI40">BH$6*$F9</f>
        <v>864.5321742</v>
      </c>
      <c r="BK9" s="36"/>
      <c r="BL9" s="5">
        <f aca="true" t="shared" si="33" ref="BL9:BL40">D9*$BM$6</f>
        <v>20387.6545172</v>
      </c>
      <c r="BM9" s="5">
        <f aca="true" t="shared" si="34" ref="BM9:BM40">BK9+BL9</f>
        <v>20387.6545172</v>
      </c>
      <c r="BN9" s="5">
        <f aca="true" t="shared" si="35" ref="BN9:BN40">BM$6*$F9</f>
        <v>4274.7204806</v>
      </c>
      <c r="BP9" s="36"/>
      <c r="BQ9" s="5">
        <f aca="true" t="shared" si="36" ref="BQ9:BQ40">D9*$BR$6</f>
        <v>4498.890394</v>
      </c>
      <c r="BR9" s="5">
        <f aca="true" t="shared" si="37" ref="BR9:BR40">BP9+BQ9</f>
        <v>4498.890394</v>
      </c>
      <c r="BS9" s="5">
        <f aca="true" t="shared" si="38" ref="BS9:BS40">BR$6*$F9</f>
        <v>943.291387</v>
      </c>
      <c r="BU9" s="36"/>
      <c r="BV9" s="5">
        <f aca="true" t="shared" si="39" ref="BV9:BV40">D9*$BW$6</f>
        <v>171.48351359999998</v>
      </c>
      <c r="BW9" s="5">
        <f aca="true" t="shared" si="40" ref="BW9:BW40">BU9+BV9</f>
        <v>171.48351359999998</v>
      </c>
      <c r="BX9" s="5">
        <f aca="true" t="shared" si="41" ref="BX9:BX40">BW$6*$F9</f>
        <v>35.955292799999995</v>
      </c>
      <c r="BZ9" s="36"/>
      <c r="CA9" s="5">
        <f aca="true" t="shared" si="42" ref="CA9:CA40">D9*$CB$6</f>
        <v>962.042926</v>
      </c>
      <c r="CB9" s="5">
        <f aca="true" t="shared" si="43" ref="CB9:CB40">BZ9+CA9</f>
        <v>962.042926</v>
      </c>
      <c r="CC9" s="5">
        <f aca="true" t="shared" si="44" ref="CC9:CC40">CB$6*$F9</f>
        <v>201.713473</v>
      </c>
      <c r="CE9" s="36"/>
      <c r="CF9" s="5">
        <f aca="true" t="shared" si="45" ref="CF9:CF40">D9*$CG$6</f>
        <v>9980.493601799999</v>
      </c>
      <c r="CG9" s="36">
        <f aca="true" t="shared" si="46" ref="CG9:CG40">CE9+CF9</f>
        <v>9980.493601799999</v>
      </c>
      <c r="CH9" s="5">
        <f aca="true" t="shared" si="47" ref="CH9:CH40">CG$6*$F9</f>
        <v>2092.6301439</v>
      </c>
      <c r="CJ9" s="36"/>
      <c r="CK9" s="5">
        <f aca="true" t="shared" si="48" ref="CK9:CK40">D9*$CL$6</f>
        <v>13530.3554436</v>
      </c>
      <c r="CL9" s="36">
        <f aca="true" t="shared" si="49" ref="CL9:CL40">CJ9+CK9</f>
        <v>13530.3554436</v>
      </c>
      <c r="CM9" s="5">
        <f aca="true" t="shared" si="50" ref="CM9:CM40">CL$6*$F9</f>
        <v>2836.9368077999998</v>
      </c>
      <c r="CO9" s="36"/>
      <c r="CP9" s="5">
        <f aca="true" t="shared" si="51" ref="CP9:CP40">D9*$CQ$6</f>
        <v>8919.949729</v>
      </c>
      <c r="CQ9" s="36">
        <f aca="true" t="shared" si="52" ref="CQ9:CQ40">CO9+CP9</f>
        <v>8919.949729</v>
      </c>
      <c r="CR9" s="5">
        <f aca="true" t="shared" si="53" ref="CR9:CR40">CQ$6*$F9</f>
        <v>1870.2637795</v>
      </c>
      <c r="CT9" s="36"/>
      <c r="CU9" s="5">
        <f aca="true" t="shared" si="54" ref="CU9:CU40">D9*$CV$6</f>
        <v>153787.5378052</v>
      </c>
      <c r="CV9" s="5">
        <f aca="true" t="shared" si="55" ref="CV9:CV40">CT9+CU9</f>
        <v>153787.5378052</v>
      </c>
      <c r="CW9" s="5">
        <f aca="true" t="shared" si="56" ref="CW9:CW40">CV$6*$F9</f>
        <v>32244.942004599998</v>
      </c>
      <c r="CY9" s="36"/>
      <c r="CZ9" s="5">
        <f aca="true" t="shared" si="57" ref="CZ9:CZ40">D9*$DA$6</f>
        <v>35651.4735142</v>
      </c>
      <c r="DA9" s="5">
        <f aca="true" t="shared" si="58" ref="DA9:DA40">CY9+CZ9</f>
        <v>35651.4735142</v>
      </c>
      <c r="DB9" s="5">
        <f aca="true" t="shared" si="59" ref="DB9:DB40">DA$6*$F9</f>
        <v>7475.116074099999</v>
      </c>
      <c r="DD9" s="36"/>
      <c r="DE9" s="5">
        <f aca="true" t="shared" si="60" ref="DE9:DE40">D9*$DF$6</f>
        <v>7386.550274800001</v>
      </c>
      <c r="DF9" s="5">
        <f aca="true" t="shared" si="61" ref="DF9:DF40">DD9+DE9</f>
        <v>7386.550274800001</v>
      </c>
      <c r="DG9" s="5">
        <f aca="true" t="shared" si="62" ref="DG9:DG40">DF$6*$F9</f>
        <v>1548.7528354</v>
      </c>
    </row>
    <row r="10" spans="1:111" ht="12.75">
      <c r="A10" s="37">
        <v>44287</v>
      </c>
      <c r="B10" s="38"/>
      <c r="C10" s="3">
        <v>5295000</v>
      </c>
      <c r="D10" s="3">
        <v>2551838</v>
      </c>
      <c r="E10" s="35">
        <f t="shared" si="0"/>
        <v>7846838</v>
      </c>
      <c r="F10" s="35">
        <v>535049</v>
      </c>
      <c r="H10" s="45">
        <f aca="true" t="shared" si="63" ref="H10:H40">M10+R10+W10+AB10+AG10+AL10+AQ10+AV10+BA10+BF10+BK10+BP10+BU10+BZ10+CE10+CJ10+CO10+CT10+CY10+DD10</f>
        <v>1951345.1700000002</v>
      </c>
      <c r="I10" s="36">
        <f t="shared" si="1"/>
        <v>940418.6507879996</v>
      </c>
      <c r="J10" s="36">
        <f t="shared" si="2"/>
        <v>2891763.820788</v>
      </c>
      <c r="K10" s="36">
        <f t="shared" si="1"/>
        <v>197179.46777399993</v>
      </c>
      <c r="M10" s="36">
        <f aca="true" t="shared" si="64" ref="M10:M40">C10*$O$6</f>
        <v>5352.186000000001</v>
      </c>
      <c r="N10" s="5">
        <f t="shared" si="3"/>
        <v>2579.3978504</v>
      </c>
      <c r="O10" s="5">
        <f t="shared" si="4"/>
        <v>7931.5838504</v>
      </c>
      <c r="P10" s="5">
        <f t="shared" si="5"/>
        <v>540.8275292000001</v>
      </c>
      <c r="R10" s="36">
        <f aca="true" t="shared" si="65" ref="R10:R40">C10*$T$6</f>
        <v>275930.922</v>
      </c>
      <c r="S10" s="5">
        <f t="shared" si="6"/>
        <v>132980.3611208</v>
      </c>
      <c r="T10" s="5">
        <f t="shared" si="7"/>
        <v>408911.28312080004</v>
      </c>
      <c r="U10" s="5">
        <f t="shared" si="8"/>
        <v>27882.2594684</v>
      </c>
      <c r="W10" s="36">
        <f aca="true" t="shared" si="66" ref="W10:W40">C10*$Y$6</f>
        <v>756817.527</v>
      </c>
      <c r="X10" s="5">
        <f t="shared" si="9"/>
        <v>364735.7364428</v>
      </c>
      <c r="Y10" s="5">
        <f t="shared" si="10"/>
        <v>1121553.2634428</v>
      </c>
      <c r="Z10" s="5">
        <f t="shared" si="11"/>
        <v>76474.87459939999</v>
      </c>
      <c r="AB10" s="36">
        <f aca="true" t="shared" si="67" ref="AB10:AB40">C10*$AD$6</f>
        <v>223016.39849999998</v>
      </c>
      <c r="AC10" s="5">
        <f t="shared" si="12"/>
        <v>107479.07843539999</v>
      </c>
      <c r="AD10" s="5">
        <f t="shared" si="13"/>
        <v>330495.4769354</v>
      </c>
      <c r="AE10" s="5">
        <f t="shared" si="14"/>
        <v>22535.3542967</v>
      </c>
      <c r="AG10" s="36">
        <f aca="true" t="shared" si="68" ref="AG10:AG40">C10*$AI$6</f>
        <v>841.905</v>
      </c>
      <c r="AH10" s="5">
        <f t="shared" si="15"/>
        <v>405.742242</v>
      </c>
      <c r="AI10" s="5">
        <f t="shared" si="16"/>
        <v>1247.647242</v>
      </c>
      <c r="AJ10" s="5">
        <f t="shared" si="17"/>
        <v>85.072791</v>
      </c>
      <c r="AL10" s="36">
        <f aca="true" t="shared" si="69" ref="AL10:AL40">C10*$AN$6</f>
        <v>18507.6135</v>
      </c>
      <c r="AM10" s="5">
        <f t="shared" si="18"/>
        <v>8919.4393614</v>
      </c>
      <c r="AN10" s="5">
        <f t="shared" si="19"/>
        <v>27427.0528614</v>
      </c>
      <c r="AO10" s="5">
        <f t="shared" si="20"/>
        <v>1870.1567696999998</v>
      </c>
      <c r="AQ10" s="36">
        <f aca="true" t="shared" si="70" ref="AQ10:AQ40">C10*$AS$6</f>
        <v>41230.576499999996</v>
      </c>
      <c r="AR10" s="5">
        <f t="shared" si="21"/>
        <v>19870.3969546</v>
      </c>
      <c r="AS10" s="5">
        <f t="shared" si="22"/>
        <v>61100.973454599996</v>
      </c>
      <c r="AT10" s="5">
        <f t="shared" si="23"/>
        <v>4166.2660483</v>
      </c>
      <c r="AV10" s="36">
        <f aca="true" t="shared" si="71" ref="AV10:AV40">C10*$AX$6</f>
        <v>88599.6465</v>
      </c>
      <c r="AW10" s="5">
        <f t="shared" si="24"/>
        <v>42699.1397026</v>
      </c>
      <c r="AX10" s="5">
        <f t="shared" si="25"/>
        <v>131298.7862026</v>
      </c>
      <c r="AY10" s="5">
        <f t="shared" si="26"/>
        <v>8952.8144023</v>
      </c>
      <c r="BA10" s="36">
        <f aca="true" t="shared" si="72" ref="BA10:BA40">C10*$BC$6</f>
        <v>2800.5255</v>
      </c>
      <c r="BB10" s="5">
        <f t="shared" si="27"/>
        <v>1349.6671182</v>
      </c>
      <c r="BC10" s="5">
        <f t="shared" si="28"/>
        <v>4150.192618200001</v>
      </c>
      <c r="BD10" s="5">
        <f t="shared" si="29"/>
        <v>282.9874161</v>
      </c>
      <c r="BF10" s="36">
        <f aca="true" t="shared" si="73" ref="BF10:BF40">C10*$BH$6</f>
        <v>8555.661</v>
      </c>
      <c r="BG10" s="5">
        <f t="shared" si="30"/>
        <v>4123.2598404</v>
      </c>
      <c r="BH10" s="5">
        <f t="shared" si="31"/>
        <v>12678.9208404</v>
      </c>
      <c r="BI10" s="5">
        <f t="shared" si="32"/>
        <v>864.5321742</v>
      </c>
      <c r="BK10" s="36">
        <f aca="true" t="shared" si="74" ref="BK10:BK40">C10*$BM$6</f>
        <v>42303.87300000001</v>
      </c>
      <c r="BL10" s="5">
        <f t="shared" si="33"/>
        <v>20387.6545172</v>
      </c>
      <c r="BM10" s="5">
        <f t="shared" si="34"/>
        <v>62691.52751720001</v>
      </c>
      <c r="BN10" s="5">
        <f t="shared" si="35"/>
        <v>4274.7204806</v>
      </c>
      <c r="BP10" s="36">
        <f aca="true" t="shared" si="75" ref="BP10:BP40">C10*$BR$6</f>
        <v>9335.085000000001</v>
      </c>
      <c r="BQ10" s="5">
        <f t="shared" si="36"/>
        <v>4498.890394</v>
      </c>
      <c r="BR10" s="5">
        <f t="shared" si="37"/>
        <v>13833.975394000001</v>
      </c>
      <c r="BS10" s="5">
        <f t="shared" si="38"/>
        <v>943.291387</v>
      </c>
      <c r="BU10" s="36">
        <f aca="true" t="shared" si="76" ref="BU10:BU40">C10*$BW$6</f>
        <v>355.82399999999996</v>
      </c>
      <c r="BV10" s="5">
        <f t="shared" si="39"/>
        <v>171.48351359999998</v>
      </c>
      <c r="BW10" s="5">
        <f t="shared" si="40"/>
        <v>527.3075136</v>
      </c>
      <c r="BX10" s="5">
        <f t="shared" si="41"/>
        <v>35.955292799999995</v>
      </c>
      <c r="BZ10" s="36">
        <f aca="true" t="shared" si="77" ref="BZ10:BZ40">C10*$CB$6</f>
        <v>1996.215</v>
      </c>
      <c r="CA10" s="5">
        <f t="shared" si="42"/>
        <v>962.042926</v>
      </c>
      <c r="CB10" s="5">
        <f t="shared" si="43"/>
        <v>2958.2579259999998</v>
      </c>
      <c r="CC10" s="5">
        <f t="shared" si="44"/>
        <v>201.713473</v>
      </c>
      <c r="CE10" s="36">
        <f aca="true" t="shared" si="78" ref="CE10:CE40">C10*$CG$6</f>
        <v>20709.2745</v>
      </c>
      <c r="CF10" s="5">
        <f t="shared" si="45"/>
        <v>9980.493601799999</v>
      </c>
      <c r="CG10" s="36">
        <f t="shared" si="46"/>
        <v>30689.7681018</v>
      </c>
      <c r="CH10" s="5">
        <f t="shared" si="47"/>
        <v>2092.6301439</v>
      </c>
      <c r="CJ10" s="36">
        <f aca="true" t="shared" si="79" ref="CJ10:CJ40">C10*$CL$6</f>
        <v>28075.149</v>
      </c>
      <c r="CK10" s="5">
        <f t="shared" si="48"/>
        <v>13530.3554436</v>
      </c>
      <c r="CL10" s="36">
        <f t="shared" si="49"/>
        <v>41605.5044436</v>
      </c>
      <c r="CM10" s="5">
        <f t="shared" si="50"/>
        <v>2836.9368077999998</v>
      </c>
      <c r="CO10" s="36">
        <f aca="true" t="shared" si="80" ref="CO10:CO40">C10*$CQ$6</f>
        <v>18508.6725</v>
      </c>
      <c r="CP10" s="5">
        <f t="shared" si="51"/>
        <v>8919.949729</v>
      </c>
      <c r="CQ10" s="36">
        <f t="shared" si="52"/>
        <v>27428.622229</v>
      </c>
      <c r="CR10" s="5">
        <f t="shared" si="53"/>
        <v>1870.2637795</v>
      </c>
      <c r="CT10" s="36">
        <f aca="true" t="shared" si="81" ref="CT10:CT40">C10*$CV$6</f>
        <v>319105.293</v>
      </c>
      <c r="CU10" s="5">
        <f t="shared" si="54"/>
        <v>153787.5378052</v>
      </c>
      <c r="CV10" s="5">
        <f t="shared" si="55"/>
        <v>472892.83080520004</v>
      </c>
      <c r="CW10" s="5">
        <f t="shared" si="56"/>
        <v>32244.942004599998</v>
      </c>
      <c r="CY10" s="36">
        <f aca="true" t="shared" si="82" ref="CY10:CY40">C10*$DA$6</f>
        <v>73975.9155</v>
      </c>
      <c r="CZ10" s="5">
        <f t="shared" si="57"/>
        <v>35651.4735142</v>
      </c>
      <c r="DA10" s="5">
        <f t="shared" si="58"/>
        <v>109627.3890142</v>
      </c>
      <c r="DB10" s="5">
        <f t="shared" si="59"/>
        <v>7475.116074099999</v>
      </c>
      <c r="DD10" s="36">
        <f aca="true" t="shared" si="83" ref="DD10:DD40">C10*$DF$6</f>
        <v>15326.907000000001</v>
      </c>
      <c r="DE10" s="5">
        <f t="shared" si="60"/>
        <v>7386.550274800001</v>
      </c>
      <c r="DF10" s="5">
        <f t="shared" si="61"/>
        <v>22713.457274800003</v>
      </c>
      <c r="DG10" s="5">
        <f t="shared" si="62"/>
        <v>1548.7528354</v>
      </c>
    </row>
    <row r="11" spans="1:111" ht="12.75">
      <c r="A11" s="37">
        <v>44470</v>
      </c>
      <c r="D11" s="3">
        <v>2419463</v>
      </c>
      <c r="E11" s="35">
        <f t="shared" si="0"/>
        <v>2419463</v>
      </c>
      <c r="F11" s="35">
        <v>535049</v>
      </c>
      <c r="H11" s="45"/>
      <c r="I11" s="36">
        <f t="shared" si="1"/>
        <v>891635.0215379997</v>
      </c>
      <c r="J11" s="36">
        <f t="shared" si="2"/>
        <v>891635.0215379997</v>
      </c>
      <c r="K11" s="36">
        <f t="shared" si="1"/>
        <v>197179.46777399993</v>
      </c>
      <c r="M11" s="36"/>
      <c r="N11" s="5">
        <f t="shared" si="3"/>
        <v>2445.5932004</v>
      </c>
      <c r="O11" s="5">
        <f t="shared" si="4"/>
        <v>2445.5932004</v>
      </c>
      <c r="P11" s="5">
        <f t="shared" si="5"/>
        <v>540.8275292000001</v>
      </c>
      <c r="R11" s="36"/>
      <c r="S11" s="5">
        <f t="shared" si="6"/>
        <v>126082.0880708</v>
      </c>
      <c r="T11" s="5">
        <f t="shared" si="7"/>
        <v>126082.0880708</v>
      </c>
      <c r="U11" s="5">
        <f t="shared" si="8"/>
        <v>27882.2594684</v>
      </c>
      <c r="W11" s="36"/>
      <c r="X11" s="5">
        <f t="shared" si="9"/>
        <v>345815.29826779995</v>
      </c>
      <c r="Y11" s="5">
        <f t="shared" si="10"/>
        <v>345815.29826779995</v>
      </c>
      <c r="Z11" s="5">
        <f t="shared" si="11"/>
        <v>76474.87459939999</v>
      </c>
      <c r="AB11" s="36"/>
      <c r="AC11" s="5">
        <f t="shared" si="12"/>
        <v>101903.6684729</v>
      </c>
      <c r="AD11" s="5">
        <f t="shared" si="13"/>
        <v>101903.6684729</v>
      </c>
      <c r="AE11" s="5">
        <f t="shared" si="14"/>
        <v>22535.3542967</v>
      </c>
      <c r="AG11" s="36"/>
      <c r="AH11" s="5">
        <f t="shared" si="15"/>
        <v>384.694617</v>
      </c>
      <c r="AI11" s="5">
        <f t="shared" si="16"/>
        <v>384.694617</v>
      </c>
      <c r="AJ11" s="5">
        <f t="shared" si="17"/>
        <v>85.072791</v>
      </c>
      <c r="AL11" s="36"/>
      <c r="AM11" s="5">
        <f t="shared" si="18"/>
        <v>8456.7490239</v>
      </c>
      <c r="AN11" s="5">
        <f t="shared" si="19"/>
        <v>8456.7490239</v>
      </c>
      <c r="AO11" s="5">
        <f t="shared" si="20"/>
        <v>1870.1567696999998</v>
      </c>
      <c r="AQ11" s="36"/>
      <c r="AR11" s="5">
        <f t="shared" si="21"/>
        <v>18839.6325421</v>
      </c>
      <c r="AS11" s="5">
        <f t="shared" si="22"/>
        <v>18839.6325421</v>
      </c>
      <c r="AT11" s="5">
        <f t="shared" si="23"/>
        <v>4166.2660483</v>
      </c>
      <c r="AV11" s="36"/>
      <c r="AW11" s="5">
        <f t="shared" si="24"/>
        <v>40484.1485401</v>
      </c>
      <c r="AX11" s="5">
        <f t="shared" si="25"/>
        <v>40484.1485401</v>
      </c>
      <c r="AY11" s="5">
        <f t="shared" si="26"/>
        <v>8952.8144023</v>
      </c>
      <c r="BA11" s="36"/>
      <c r="BB11" s="5">
        <f t="shared" si="27"/>
        <v>1279.6539807</v>
      </c>
      <c r="BC11" s="5">
        <f t="shared" si="28"/>
        <v>1279.6539807</v>
      </c>
      <c r="BD11" s="5">
        <f t="shared" si="29"/>
        <v>282.9874161</v>
      </c>
      <c r="BF11" s="36"/>
      <c r="BG11" s="5">
        <f t="shared" si="30"/>
        <v>3909.3683154</v>
      </c>
      <c r="BH11" s="5">
        <f t="shared" si="31"/>
        <v>3909.3683154</v>
      </c>
      <c r="BI11" s="5">
        <f t="shared" si="32"/>
        <v>864.5321742</v>
      </c>
      <c r="BK11" s="36"/>
      <c r="BL11" s="5">
        <f t="shared" si="33"/>
        <v>19330.0576922</v>
      </c>
      <c r="BM11" s="5">
        <f t="shared" si="34"/>
        <v>19330.0576922</v>
      </c>
      <c r="BN11" s="5">
        <f t="shared" si="35"/>
        <v>4274.7204806</v>
      </c>
      <c r="BP11" s="36"/>
      <c r="BQ11" s="5">
        <f t="shared" si="36"/>
        <v>4265.513269</v>
      </c>
      <c r="BR11" s="5">
        <f t="shared" si="37"/>
        <v>4265.513269</v>
      </c>
      <c r="BS11" s="5">
        <f t="shared" si="38"/>
        <v>943.291387</v>
      </c>
      <c r="BU11" s="36"/>
      <c r="BV11" s="5">
        <f t="shared" si="39"/>
        <v>162.58791359999998</v>
      </c>
      <c r="BW11" s="5">
        <f t="shared" si="40"/>
        <v>162.58791359999998</v>
      </c>
      <c r="BX11" s="5">
        <f t="shared" si="41"/>
        <v>35.955292799999995</v>
      </c>
      <c r="BZ11" s="36"/>
      <c r="CA11" s="5">
        <f t="shared" si="42"/>
        <v>912.137551</v>
      </c>
      <c r="CB11" s="5">
        <f t="shared" si="43"/>
        <v>912.137551</v>
      </c>
      <c r="CC11" s="5">
        <f t="shared" si="44"/>
        <v>201.713473</v>
      </c>
      <c r="CE11" s="36"/>
      <c r="CF11" s="5">
        <f t="shared" si="45"/>
        <v>9462.7617393</v>
      </c>
      <c r="CG11" s="36">
        <f t="shared" si="46"/>
        <v>9462.7617393</v>
      </c>
      <c r="CH11" s="5">
        <f t="shared" si="47"/>
        <v>2092.6301439</v>
      </c>
      <c r="CJ11" s="36"/>
      <c r="CK11" s="5">
        <f t="shared" si="48"/>
        <v>12828.4767186</v>
      </c>
      <c r="CL11" s="36">
        <f t="shared" si="49"/>
        <v>12828.4767186</v>
      </c>
      <c r="CM11" s="5">
        <f t="shared" si="50"/>
        <v>2836.9368077999998</v>
      </c>
      <c r="CO11" s="36"/>
      <c r="CP11" s="5">
        <f t="shared" si="51"/>
        <v>8457.2329165</v>
      </c>
      <c r="CQ11" s="36">
        <f t="shared" si="52"/>
        <v>8457.2329165</v>
      </c>
      <c r="CR11" s="5">
        <f t="shared" si="53"/>
        <v>1870.2637795</v>
      </c>
      <c r="CT11" s="36"/>
      <c r="CU11" s="5">
        <f t="shared" si="54"/>
        <v>145809.9054802</v>
      </c>
      <c r="CV11" s="5">
        <f t="shared" si="55"/>
        <v>145809.9054802</v>
      </c>
      <c r="CW11" s="5">
        <f t="shared" si="56"/>
        <v>32244.942004599998</v>
      </c>
      <c r="CY11" s="36"/>
      <c r="CZ11" s="5">
        <f t="shared" si="57"/>
        <v>33802.075626699996</v>
      </c>
      <c r="DA11" s="5">
        <f t="shared" si="58"/>
        <v>33802.075626699996</v>
      </c>
      <c r="DB11" s="5">
        <f t="shared" si="59"/>
        <v>7475.116074099999</v>
      </c>
      <c r="DD11" s="36"/>
      <c r="DE11" s="5">
        <f t="shared" si="60"/>
        <v>7003.3775998</v>
      </c>
      <c r="DF11" s="5">
        <f t="shared" si="61"/>
        <v>7003.3775998</v>
      </c>
      <c r="DG11" s="5">
        <f t="shared" si="62"/>
        <v>1548.7528354</v>
      </c>
    </row>
    <row r="12" spans="1:111" ht="12.75">
      <c r="A12" s="37">
        <v>44652</v>
      </c>
      <c r="C12" s="3">
        <v>5555000</v>
      </c>
      <c r="D12" s="3">
        <v>2419463</v>
      </c>
      <c r="E12" s="35">
        <f t="shared" si="0"/>
        <v>7974463</v>
      </c>
      <c r="F12" s="35">
        <v>535049</v>
      </c>
      <c r="H12" s="45">
        <f t="shared" si="63"/>
        <v>2047161.9300000004</v>
      </c>
      <c r="I12" s="36">
        <f t="shared" si="1"/>
        <v>891635.0215379997</v>
      </c>
      <c r="J12" s="36">
        <f t="shared" si="2"/>
        <v>2938796.9515380003</v>
      </c>
      <c r="K12" s="36">
        <f t="shared" si="1"/>
        <v>197179.46777399993</v>
      </c>
      <c r="M12" s="36">
        <f t="shared" si="64"/>
        <v>5614.994000000001</v>
      </c>
      <c r="N12" s="5">
        <f t="shared" si="3"/>
        <v>2445.5932004</v>
      </c>
      <c r="O12" s="5">
        <f t="shared" si="4"/>
        <v>8060.587200400001</v>
      </c>
      <c r="P12" s="5">
        <f t="shared" si="5"/>
        <v>540.8275292000001</v>
      </c>
      <c r="R12" s="36">
        <f t="shared" si="65"/>
        <v>289479.938</v>
      </c>
      <c r="S12" s="5">
        <f t="shared" si="6"/>
        <v>126082.0880708</v>
      </c>
      <c r="T12" s="5">
        <f t="shared" si="7"/>
        <v>415562.0260708</v>
      </c>
      <c r="U12" s="5">
        <f t="shared" si="8"/>
        <v>27882.2594684</v>
      </c>
      <c r="W12" s="36">
        <f t="shared" si="66"/>
        <v>793979.483</v>
      </c>
      <c r="X12" s="5">
        <f t="shared" si="9"/>
        <v>345815.29826779995</v>
      </c>
      <c r="Y12" s="5">
        <f t="shared" si="10"/>
        <v>1139794.7812678</v>
      </c>
      <c r="Z12" s="5">
        <f t="shared" si="11"/>
        <v>76474.87459939999</v>
      </c>
      <c r="AB12" s="36">
        <f t="shared" si="67"/>
        <v>233967.15649999998</v>
      </c>
      <c r="AC12" s="5">
        <f t="shared" si="12"/>
        <v>101903.6684729</v>
      </c>
      <c r="AD12" s="5">
        <f t="shared" si="13"/>
        <v>335870.8249729</v>
      </c>
      <c r="AE12" s="5">
        <f t="shared" si="14"/>
        <v>22535.3542967</v>
      </c>
      <c r="AG12" s="36">
        <f t="shared" si="68"/>
        <v>883.2449999999999</v>
      </c>
      <c r="AH12" s="5">
        <f t="shared" si="15"/>
        <v>384.694617</v>
      </c>
      <c r="AI12" s="5">
        <f t="shared" si="16"/>
        <v>1267.939617</v>
      </c>
      <c r="AJ12" s="5">
        <f t="shared" si="17"/>
        <v>85.072791</v>
      </c>
      <c r="AL12" s="36">
        <f t="shared" si="69"/>
        <v>19416.391499999998</v>
      </c>
      <c r="AM12" s="5">
        <f t="shared" si="18"/>
        <v>8456.7490239</v>
      </c>
      <c r="AN12" s="5">
        <f t="shared" si="19"/>
        <v>27873.140523899998</v>
      </c>
      <c r="AO12" s="5">
        <f t="shared" si="20"/>
        <v>1870.1567696999998</v>
      </c>
      <c r="AQ12" s="36">
        <f t="shared" si="70"/>
        <v>43255.1185</v>
      </c>
      <c r="AR12" s="5">
        <f t="shared" si="21"/>
        <v>18839.6325421</v>
      </c>
      <c r="AS12" s="5">
        <f t="shared" si="22"/>
        <v>62094.7510421</v>
      </c>
      <c r="AT12" s="5">
        <f t="shared" si="23"/>
        <v>4166.2660483</v>
      </c>
      <c r="AV12" s="36">
        <f t="shared" si="71"/>
        <v>92950.1485</v>
      </c>
      <c r="AW12" s="5">
        <f t="shared" si="24"/>
        <v>40484.1485401</v>
      </c>
      <c r="AX12" s="5">
        <f t="shared" si="25"/>
        <v>133434.2970401</v>
      </c>
      <c r="AY12" s="5">
        <f t="shared" si="26"/>
        <v>8952.8144023</v>
      </c>
      <c r="BA12" s="36">
        <f t="shared" si="72"/>
        <v>2938.0395</v>
      </c>
      <c r="BB12" s="5">
        <f t="shared" si="27"/>
        <v>1279.6539807</v>
      </c>
      <c r="BC12" s="5">
        <f t="shared" si="28"/>
        <v>4217.6934807</v>
      </c>
      <c r="BD12" s="5">
        <f t="shared" si="29"/>
        <v>282.9874161</v>
      </c>
      <c r="BF12" s="36">
        <f t="shared" si="73"/>
        <v>8975.769</v>
      </c>
      <c r="BG12" s="5">
        <f t="shared" si="30"/>
        <v>3909.3683154</v>
      </c>
      <c r="BH12" s="5">
        <f t="shared" si="31"/>
        <v>12885.1373154</v>
      </c>
      <c r="BI12" s="5">
        <f t="shared" si="32"/>
        <v>864.5321742</v>
      </c>
      <c r="BK12" s="36">
        <f t="shared" si="74"/>
        <v>44381.117000000006</v>
      </c>
      <c r="BL12" s="5">
        <f t="shared" si="33"/>
        <v>19330.0576922</v>
      </c>
      <c r="BM12" s="5">
        <f t="shared" si="34"/>
        <v>63711.1746922</v>
      </c>
      <c r="BN12" s="5">
        <f t="shared" si="35"/>
        <v>4274.7204806</v>
      </c>
      <c r="BP12" s="36">
        <f t="shared" si="75"/>
        <v>9793.465</v>
      </c>
      <c r="BQ12" s="5">
        <f t="shared" si="36"/>
        <v>4265.513269</v>
      </c>
      <c r="BR12" s="5">
        <f t="shared" si="37"/>
        <v>14058.978269</v>
      </c>
      <c r="BS12" s="5">
        <f t="shared" si="38"/>
        <v>943.291387</v>
      </c>
      <c r="BU12" s="36">
        <f t="shared" si="76"/>
        <v>373.296</v>
      </c>
      <c r="BV12" s="5">
        <f t="shared" si="39"/>
        <v>162.58791359999998</v>
      </c>
      <c r="BW12" s="5">
        <f t="shared" si="40"/>
        <v>535.8839135999999</v>
      </c>
      <c r="BX12" s="5">
        <f t="shared" si="41"/>
        <v>35.955292799999995</v>
      </c>
      <c r="BZ12" s="36">
        <f t="shared" si="77"/>
        <v>2094.235</v>
      </c>
      <c r="CA12" s="5">
        <f t="shared" si="42"/>
        <v>912.137551</v>
      </c>
      <c r="CB12" s="5">
        <f t="shared" si="43"/>
        <v>3006.3725510000004</v>
      </c>
      <c r="CC12" s="5">
        <f t="shared" si="44"/>
        <v>201.713473</v>
      </c>
      <c r="CE12" s="36">
        <f t="shared" si="78"/>
        <v>21726.160499999998</v>
      </c>
      <c r="CF12" s="5">
        <f t="shared" si="45"/>
        <v>9462.7617393</v>
      </c>
      <c r="CG12" s="36">
        <f t="shared" si="46"/>
        <v>31188.9222393</v>
      </c>
      <c r="CH12" s="5">
        <f t="shared" si="47"/>
        <v>2092.6301439</v>
      </c>
      <c r="CJ12" s="36">
        <f t="shared" si="79"/>
        <v>29453.721</v>
      </c>
      <c r="CK12" s="5">
        <f t="shared" si="48"/>
        <v>12828.4767186</v>
      </c>
      <c r="CL12" s="36">
        <f t="shared" si="49"/>
        <v>42282.1977186</v>
      </c>
      <c r="CM12" s="5">
        <f t="shared" si="50"/>
        <v>2836.9368077999998</v>
      </c>
      <c r="CO12" s="36">
        <f t="shared" si="80"/>
        <v>19417.5025</v>
      </c>
      <c r="CP12" s="5">
        <f t="shared" si="51"/>
        <v>8457.2329165</v>
      </c>
      <c r="CQ12" s="36">
        <f t="shared" si="52"/>
        <v>27874.7354165</v>
      </c>
      <c r="CR12" s="5">
        <f t="shared" si="53"/>
        <v>1870.2637795</v>
      </c>
      <c r="CT12" s="36">
        <f t="shared" si="81"/>
        <v>334774.29699999996</v>
      </c>
      <c r="CU12" s="5">
        <f t="shared" si="54"/>
        <v>145809.9054802</v>
      </c>
      <c r="CV12" s="5">
        <f t="shared" si="55"/>
        <v>480584.2024802</v>
      </c>
      <c r="CW12" s="5">
        <f t="shared" si="56"/>
        <v>32244.942004599998</v>
      </c>
      <c r="CY12" s="36">
        <f t="shared" si="82"/>
        <v>77608.3495</v>
      </c>
      <c r="CZ12" s="5">
        <f t="shared" si="57"/>
        <v>33802.075626699996</v>
      </c>
      <c r="DA12" s="5">
        <f t="shared" si="58"/>
        <v>111410.42512669999</v>
      </c>
      <c r="DB12" s="5">
        <f t="shared" si="59"/>
        <v>7475.116074099999</v>
      </c>
      <c r="DD12" s="36">
        <f t="shared" si="83"/>
        <v>16079.503</v>
      </c>
      <c r="DE12" s="5">
        <f t="shared" si="60"/>
        <v>7003.3775998</v>
      </c>
      <c r="DF12" s="5">
        <f t="shared" si="61"/>
        <v>23082.880599800003</v>
      </c>
      <c r="DG12" s="5">
        <f t="shared" si="62"/>
        <v>1548.7528354</v>
      </c>
    </row>
    <row r="13" spans="1:111" ht="12.75">
      <c r="A13" s="37">
        <v>44835</v>
      </c>
      <c r="D13" s="3">
        <v>2280588</v>
      </c>
      <c r="E13" s="35">
        <f t="shared" si="0"/>
        <v>2280588</v>
      </c>
      <c r="F13" s="35">
        <v>535049</v>
      </c>
      <c r="H13" s="45"/>
      <c r="I13" s="36">
        <f t="shared" si="1"/>
        <v>840455.973288</v>
      </c>
      <c r="J13" s="36">
        <f t="shared" si="2"/>
        <v>840455.973288</v>
      </c>
      <c r="K13" s="36">
        <f t="shared" si="1"/>
        <v>197179.46777399993</v>
      </c>
      <c r="M13" s="36"/>
      <c r="N13" s="5">
        <f t="shared" si="3"/>
        <v>2305.2183504</v>
      </c>
      <c r="O13" s="5">
        <f t="shared" si="4"/>
        <v>2305.2183504</v>
      </c>
      <c r="P13" s="5">
        <f t="shared" si="5"/>
        <v>540.8275292000001</v>
      </c>
      <c r="R13" s="36"/>
      <c r="S13" s="5">
        <f t="shared" si="6"/>
        <v>118845.0896208</v>
      </c>
      <c r="T13" s="5">
        <f t="shared" si="7"/>
        <v>118845.0896208</v>
      </c>
      <c r="U13" s="5">
        <f t="shared" si="8"/>
        <v>27882.2594684</v>
      </c>
      <c r="W13" s="36"/>
      <c r="X13" s="5">
        <f t="shared" si="9"/>
        <v>325965.8111928</v>
      </c>
      <c r="Y13" s="5">
        <f t="shared" si="10"/>
        <v>325965.8111928</v>
      </c>
      <c r="Z13" s="5">
        <f t="shared" si="11"/>
        <v>76474.87459939999</v>
      </c>
      <c r="AB13" s="36"/>
      <c r="AC13" s="5">
        <f t="shared" si="12"/>
        <v>96054.48956039999</v>
      </c>
      <c r="AD13" s="5">
        <f t="shared" si="13"/>
        <v>96054.48956039999</v>
      </c>
      <c r="AE13" s="5">
        <f t="shared" si="14"/>
        <v>22535.3542967</v>
      </c>
      <c r="AG13" s="36"/>
      <c r="AH13" s="5">
        <f t="shared" si="15"/>
        <v>362.61349199999995</v>
      </c>
      <c r="AI13" s="5">
        <f t="shared" si="16"/>
        <v>362.61349199999995</v>
      </c>
      <c r="AJ13" s="5">
        <f t="shared" si="17"/>
        <v>85.072791</v>
      </c>
      <c r="AL13" s="36"/>
      <c r="AM13" s="5">
        <f t="shared" si="18"/>
        <v>7971.339236399999</v>
      </c>
      <c r="AN13" s="5">
        <f t="shared" si="19"/>
        <v>7971.339236399999</v>
      </c>
      <c r="AO13" s="5">
        <f t="shared" si="20"/>
        <v>1870.1567696999998</v>
      </c>
      <c r="AQ13" s="36"/>
      <c r="AR13" s="5">
        <f t="shared" si="21"/>
        <v>17758.254579599998</v>
      </c>
      <c r="AS13" s="5">
        <f t="shared" si="22"/>
        <v>17758.254579599998</v>
      </c>
      <c r="AT13" s="5">
        <f t="shared" si="23"/>
        <v>4166.2660483</v>
      </c>
      <c r="AV13" s="36"/>
      <c r="AW13" s="5">
        <f t="shared" si="24"/>
        <v>38160.3948276</v>
      </c>
      <c r="AX13" s="5">
        <f t="shared" si="25"/>
        <v>38160.3948276</v>
      </c>
      <c r="AY13" s="5">
        <f t="shared" si="26"/>
        <v>8952.8144023</v>
      </c>
      <c r="BA13" s="36"/>
      <c r="BB13" s="5">
        <f t="shared" si="27"/>
        <v>1206.2029932</v>
      </c>
      <c r="BC13" s="5">
        <f t="shared" si="28"/>
        <v>1206.2029932</v>
      </c>
      <c r="BD13" s="5">
        <f t="shared" si="29"/>
        <v>282.9874161</v>
      </c>
      <c r="BF13" s="36"/>
      <c r="BG13" s="5">
        <f t="shared" si="30"/>
        <v>3684.9740904</v>
      </c>
      <c r="BH13" s="5">
        <f t="shared" si="31"/>
        <v>3684.9740904</v>
      </c>
      <c r="BI13" s="5">
        <f t="shared" si="32"/>
        <v>864.5321742</v>
      </c>
      <c r="BK13" s="36"/>
      <c r="BL13" s="5">
        <f t="shared" si="33"/>
        <v>18220.5297672</v>
      </c>
      <c r="BM13" s="5">
        <f t="shared" si="34"/>
        <v>18220.5297672</v>
      </c>
      <c r="BN13" s="5">
        <f t="shared" si="35"/>
        <v>4274.7204806</v>
      </c>
      <c r="BP13" s="36"/>
      <c r="BQ13" s="5">
        <f t="shared" si="36"/>
        <v>4020.676644</v>
      </c>
      <c r="BR13" s="5">
        <f t="shared" si="37"/>
        <v>4020.676644</v>
      </c>
      <c r="BS13" s="5">
        <f t="shared" si="38"/>
        <v>943.291387</v>
      </c>
      <c r="BU13" s="36"/>
      <c r="BV13" s="5">
        <f t="shared" si="39"/>
        <v>153.25551359999997</v>
      </c>
      <c r="BW13" s="5">
        <f t="shared" si="40"/>
        <v>153.25551359999997</v>
      </c>
      <c r="BX13" s="5">
        <f t="shared" si="41"/>
        <v>35.955292799999995</v>
      </c>
      <c r="BZ13" s="36"/>
      <c r="CA13" s="5">
        <f t="shared" si="42"/>
        <v>859.7816760000001</v>
      </c>
      <c r="CB13" s="5">
        <f t="shared" si="43"/>
        <v>859.7816760000001</v>
      </c>
      <c r="CC13" s="5">
        <f t="shared" si="44"/>
        <v>201.713473</v>
      </c>
      <c r="CE13" s="36"/>
      <c r="CF13" s="5">
        <f t="shared" si="45"/>
        <v>8919.607726799999</v>
      </c>
      <c r="CG13" s="36">
        <f t="shared" si="46"/>
        <v>8919.607726799999</v>
      </c>
      <c r="CH13" s="5">
        <f t="shared" si="47"/>
        <v>2092.6301439</v>
      </c>
      <c r="CJ13" s="36"/>
      <c r="CK13" s="5">
        <f t="shared" si="48"/>
        <v>12092.1336936</v>
      </c>
      <c r="CL13" s="36">
        <f t="shared" si="49"/>
        <v>12092.1336936</v>
      </c>
      <c r="CM13" s="5">
        <f t="shared" si="50"/>
        <v>2836.9368077999998</v>
      </c>
      <c r="CO13" s="36"/>
      <c r="CP13" s="5">
        <f t="shared" si="51"/>
        <v>7971.795354</v>
      </c>
      <c r="CQ13" s="36">
        <f t="shared" si="52"/>
        <v>7971.795354</v>
      </c>
      <c r="CR13" s="5">
        <f t="shared" si="53"/>
        <v>1870.2637795</v>
      </c>
      <c r="CT13" s="36"/>
      <c r="CU13" s="5">
        <f t="shared" si="54"/>
        <v>137440.5480552</v>
      </c>
      <c r="CV13" s="5">
        <f t="shared" si="55"/>
        <v>137440.5480552</v>
      </c>
      <c r="CW13" s="5">
        <f t="shared" si="56"/>
        <v>32244.942004599998</v>
      </c>
      <c r="CY13" s="36"/>
      <c r="CZ13" s="5">
        <f t="shared" si="57"/>
        <v>31861.8668892</v>
      </c>
      <c r="DA13" s="5">
        <f t="shared" si="58"/>
        <v>31861.8668892</v>
      </c>
      <c r="DB13" s="5">
        <f t="shared" si="59"/>
        <v>7475.116074099999</v>
      </c>
      <c r="DD13" s="36"/>
      <c r="DE13" s="5">
        <f t="shared" si="60"/>
        <v>6601.390024800001</v>
      </c>
      <c r="DF13" s="5">
        <f t="shared" si="61"/>
        <v>6601.390024800001</v>
      </c>
      <c r="DG13" s="5">
        <f t="shared" si="62"/>
        <v>1548.7528354</v>
      </c>
    </row>
    <row r="14" spans="1:111" ht="12.75">
      <c r="A14" s="37">
        <v>45017</v>
      </c>
      <c r="C14" s="3">
        <v>5835000</v>
      </c>
      <c r="D14" s="3">
        <v>2280588</v>
      </c>
      <c r="E14" s="35">
        <f t="shared" si="0"/>
        <v>8115588</v>
      </c>
      <c r="F14" s="35">
        <v>535049</v>
      </c>
      <c r="H14" s="45">
        <f t="shared" si="63"/>
        <v>2150349.2099999995</v>
      </c>
      <c r="I14" s="36">
        <f t="shared" si="1"/>
        <v>840455.973288</v>
      </c>
      <c r="J14" s="36">
        <f t="shared" si="2"/>
        <v>2990805.1832879996</v>
      </c>
      <c r="K14" s="36">
        <f t="shared" si="1"/>
        <v>197179.46777399993</v>
      </c>
      <c r="M14" s="36">
        <f t="shared" si="64"/>
        <v>5898.018</v>
      </c>
      <c r="N14" s="5">
        <f t="shared" si="3"/>
        <v>2305.2183504</v>
      </c>
      <c r="O14" s="5">
        <f t="shared" si="4"/>
        <v>8203.2363504</v>
      </c>
      <c r="P14" s="5">
        <f t="shared" si="5"/>
        <v>540.8275292000001</v>
      </c>
      <c r="R14" s="36">
        <f t="shared" si="65"/>
        <v>304071.186</v>
      </c>
      <c r="S14" s="5">
        <f t="shared" si="6"/>
        <v>118845.0896208</v>
      </c>
      <c r="T14" s="5">
        <f t="shared" si="7"/>
        <v>422916.2756208</v>
      </c>
      <c r="U14" s="5">
        <f t="shared" si="8"/>
        <v>27882.2594684</v>
      </c>
      <c r="W14" s="36">
        <f t="shared" si="66"/>
        <v>834000.051</v>
      </c>
      <c r="X14" s="5">
        <f t="shared" si="9"/>
        <v>325965.8111928</v>
      </c>
      <c r="Y14" s="5">
        <f t="shared" si="10"/>
        <v>1159965.8621928</v>
      </c>
      <c r="Z14" s="5">
        <f t="shared" si="11"/>
        <v>76474.87459939999</v>
      </c>
      <c r="AB14" s="36">
        <f t="shared" si="67"/>
        <v>245760.2805</v>
      </c>
      <c r="AC14" s="5">
        <f t="shared" si="12"/>
        <v>96054.48956039999</v>
      </c>
      <c r="AD14" s="5">
        <f t="shared" si="13"/>
        <v>341814.7700604</v>
      </c>
      <c r="AE14" s="5">
        <f t="shared" si="14"/>
        <v>22535.3542967</v>
      </c>
      <c r="AG14" s="36">
        <f t="shared" si="68"/>
        <v>927.765</v>
      </c>
      <c r="AH14" s="5">
        <f t="shared" si="15"/>
        <v>362.61349199999995</v>
      </c>
      <c r="AI14" s="5">
        <f t="shared" si="16"/>
        <v>1290.3784919999998</v>
      </c>
      <c r="AJ14" s="5">
        <f t="shared" si="17"/>
        <v>85.072791</v>
      </c>
      <c r="AL14" s="36">
        <f t="shared" si="69"/>
        <v>20395.0755</v>
      </c>
      <c r="AM14" s="5">
        <f t="shared" si="18"/>
        <v>7971.339236399999</v>
      </c>
      <c r="AN14" s="5">
        <f t="shared" si="19"/>
        <v>28366.4147364</v>
      </c>
      <c r="AO14" s="5">
        <f t="shared" si="20"/>
        <v>1870.1567696999998</v>
      </c>
      <c r="AQ14" s="36">
        <f t="shared" si="70"/>
        <v>45435.394499999995</v>
      </c>
      <c r="AR14" s="5">
        <f t="shared" si="21"/>
        <v>17758.254579599998</v>
      </c>
      <c r="AS14" s="5">
        <f t="shared" si="22"/>
        <v>63193.64907959999</v>
      </c>
      <c r="AT14" s="5">
        <f t="shared" si="23"/>
        <v>4166.2660483</v>
      </c>
      <c r="AV14" s="36">
        <f t="shared" si="71"/>
        <v>97635.3045</v>
      </c>
      <c r="AW14" s="5">
        <f t="shared" si="24"/>
        <v>38160.3948276</v>
      </c>
      <c r="AX14" s="5">
        <f t="shared" si="25"/>
        <v>135795.6993276</v>
      </c>
      <c r="AY14" s="5">
        <f t="shared" si="26"/>
        <v>8952.8144023</v>
      </c>
      <c r="BA14" s="36">
        <f t="shared" si="72"/>
        <v>3086.1315</v>
      </c>
      <c r="BB14" s="5">
        <f t="shared" si="27"/>
        <v>1206.2029932</v>
      </c>
      <c r="BC14" s="5">
        <f t="shared" si="28"/>
        <v>4292.3344932</v>
      </c>
      <c r="BD14" s="5">
        <f t="shared" si="29"/>
        <v>282.9874161</v>
      </c>
      <c r="BF14" s="36">
        <f t="shared" si="73"/>
        <v>9428.193</v>
      </c>
      <c r="BG14" s="5">
        <f t="shared" si="30"/>
        <v>3684.9740904</v>
      </c>
      <c r="BH14" s="5">
        <f t="shared" si="31"/>
        <v>13113.167090399998</v>
      </c>
      <c r="BI14" s="5">
        <f t="shared" si="32"/>
        <v>864.5321742</v>
      </c>
      <c r="BK14" s="36">
        <f t="shared" si="74"/>
        <v>46618.149000000005</v>
      </c>
      <c r="BL14" s="5">
        <f t="shared" si="33"/>
        <v>18220.5297672</v>
      </c>
      <c r="BM14" s="5">
        <f t="shared" si="34"/>
        <v>64838.67876720001</v>
      </c>
      <c r="BN14" s="5">
        <f t="shared" si="35"/>
        <v>4274.7204806</v>
      </c>
      <c r="BP14" s="36">
        <f t="shared" si="75"/>
        <v>10287.105</v>
      </c>
      <c r="BQ14" s="5">
        <f t="shared" si="36"/>
        <v>4020.676644</v>
      </c>
      <c r="BR14" s="5">
        <f t="shared" si="37"/>
        <v>14307.781643999999</v>
      </c>
      <c r="BS14" s="5">
        <f t="shared" si="38"/>
        <v>943.291387</v>
      </c>
      <c r="BU14" s="36">
        <f t="shared" si="76"/>
        <v>392.11199999999997</v>
      </c>
      <c r="BV14" s="5">
        <f t="shared" si="39"/>
        <v>153.25551359999997</v>
      </c>
      <c r="BW14" s="5">
        <f t="shared" si="40"/>
        <v>545.3675135999999</v>
      </c>
      <c r="BX14" s="5">
        <f t="shared" si="41"/>
        <v>35.955292799999995</v>
      </c>
      <c r="BZ14" s="36">
        <f t="shared" si="77"/>
        <v>2199.795</v>
      </c>
      <c r="CA14" s="5">
        <f t="shared" si="42"/>
        <v>859.7816760000001</v>
      </c>
      <c r="CB14" s="5">
        <f t="shared" si="43"/>
        <v>3059.576676</v>
      </c>
      <c r="CC14" s="5">
        <f t="shared" si="44"/>
        <v>201.713473</v>
      </c>
      <c r="CE14" s="36">
        <f t="shared" si="78"/>
        <v>22821.2685</v>
      </c>
      <c r="CF14" s="5">
        <f t="shared" si="45"/>
        <v>8919.607726799999</v>
      </c>
      <c r="CG14" s="36">
        <f t="shared" si="46"/>
        <v>31740.8762268</v>
      </c>
      <c r="CH14" s="5">
        <f t="shared" si="47"/>
        <v>2092.6301439</v>
      </c>
      <c r="CJ14" s="36">
        <f t="shared" si="79"/>
        <v>30938.337</v>
      </c>
      <c r="CK14" s="5">
        <f t="shared" si="48"/>
        <v>12092.1336936</v>
      </c>
      <c r="CL14" s="36">
        <f t="shared" si="49"/>
        <v>43030.4706936</v>
      </c>
      <c r="CM14" s="5">
        <f t="shared" si="50"/>
        <v>2836.9368077999998</v>
      </c>
      <c r="CO14" s="36">
        <f t="shared" si="80"/>
        <v>20396.2425</v>
      </c>
      <c r="CP14" s="5">
        <f t="shared" si="51"/>
        <v>7971.795354</v>
      </c>
      <c r="CQ14" s="36">
        <f t="shared" si="52"/>
        <v>28368.037854000002</v>
      </c>
      <c r="CR14" s="5">
        <f t="shared" si="53"/>
        <v>1870.2637795</v>
      </c>
      <c r="CT14" s="36">
        <f t="shared" si="81"/>
        <v>351648.609</v>
      </c>
      <c r="CU14" s="5">
        <f t="shared" si="54"/>
        <v>137440.5480552</v>
      </c>
      <c r="CV14" s="5">
        <f t="shared" si="55"/>
        <v>489089.15705519996</v>
      </c>
      <c r="CW14" s="5">
        <f t="shared" si="56"/>
        <v>32244.942004599998</v>
      </c>
      <c r="CY14" s="36">
        <f t="shared" si="82"/>
        <v>81520.2015</v>
      </c>
      <c r="CZ14" s="5">
        <f t="shared" si="57"/>
        <v>31861.8668892</v>
      </c>
      <c r="DA14" s="5">
        <f t="shared" si="58"/>
        <v>113382.0683892</v>
      </c>
      <c r="DB14" s="5">
        <f t="shared" si="59"/>
        <v>7475.116074099999</v>
      </c>
      <c r="DD14" s="36">
        <f t="shared" si="83"/>
        <v>16889.991</v>
      </c>
      <c r="DE14" s="5">
        <f t="shared" si="60"/>
        <v>6601.390024800001</v>
      </c>
      <c r="DF14" s="5">
        <f t="shared" si="61"/>
        <v>23491.3810248</v>
      </c>
      <c r="DG14" s="5">
        <f t="shared" si="62"/>
        <v>1548.7528354</v>
      </c>
    </row>
    <row r="15" spans="1:111" ht="12.75">
      <c r="A15" s="37">
        <v>45200</v>
      </c>
      <c r="D15" s="3">
        <v>2134713</v>
      </c>
      <c r="E15" s="35">
        <f t="shared" si="0"/>
        <v>2134713</v>
      </c>
      <c r="F15" s="35">
        <v>535049</v>
      </c>
      <c r="H15" s="45"/>
      <c r="I15" s="36">
        <f t="shared" si="1"/>
        <v>786697.243038</v>
      </c>
      <c r="J15" s="36">
        <f t="shared" si="2"/>
        <v>786697.243038</v>
      </c>
      <c r="K15" s="36">
        <f t="shared" si="1"/>
        <v>197179.46777399993</v>
      </c>
      <c r="M15" s="36"/>
      <c r="N15" s="5">
        <f t="shared" si="3"/>
        <v>2157.7679004</v>
      </c>
      <c r="O15" s="5">
        <f t="shared" si="4"/>
        <v>2157.7679004</v>
      </c>
      <c r="P15" s="5">
        <f t="shared" si="5"/>
        <v>540.8275292000001</v>
      </c>
      <c r="R15" s="36"/>
      <c r="S15" s="5">
        <f t="shared" si="6"/>
        <v>111243.30997080001</v>
      </c>
      <c r="T15" s="5">
        <f t="shared" si="7"/>
        <v>111243.30997080001</v>
      </c>
      <c r="U15" s="5">
        <f t="shared" si="8"/>
        <v>27882.2594684</v>
      </c>
      <c r="W15" s="36"/>
      <c r="X15" s="5">
        <f t="shared" si="9"/>
        <v>305115.80991779995</v>
      </c>
      <c r="Y15" s="5">
        <f t="shared" si="10"/>
        <v>305115.80991779995</v>
      </c>
      <c r="Z15" s="5">
        <f t="shared" si="11"/>
        <v>76474.87459939999</v>
      </c>
      <c r="AB15" s="36"/>
      <c r="AC15" s="5">
        <f t="shared" si="12"/>
        <v>89910.4825479</v>
      </c>
      <c r="AD15" s="5">
        <f t="shared" si="13"/>
        <v>89910.4825479</v>
      </c>
      <c r="AE15" s="5">
        <f t="shared" si="14"/>
        <v>22535.3542967</v>
      </c>
      <c r="AG15" s="36"/>
      <c r="AH15" s="5">
        <f t="shared" si="15"/>
        <v>339.41936699999997</v>
      </c>
      <c r="AI15" s="5">
        <f t="shared" si="16"/>
        <v>339.41936699999997</v>
      </c>
      <c r="AJ15" s="5">
        <f t="shared" si="17"/>
        <v>85.072791</v>
      </c>
      <c r="AL15" s="36"/>
      <c r="AM15" s="5">
        <f t="shared" si="18"/>
        <v>7461.4623489</v>
      </c>
      <c r="AN15" s="5">
        <f t="shared" si="19"/>
        <v>7461.4623489</v>
      </c>
      <c r="AO15" s="5">
        <f t="shared" si="20"/>
        <v>1870.1567696999998</v>
      </c>
      <c r="AQ15" s="36"/>
      <c r="AR15" s="5">
        <f t="shared" si="21"/>
        <v>16622.3697171</v>
      </c>
      <c r="AS15" s="5">
        <f t="shared" si="22"/>
        <v>16622.3697171</v>
      </c>
      <c r="AT15" s="5">
        <f t="shared" si="23"/>
        <v>4166.2660483</v>
      </c>
      <c r="AV15" s="36"/>
      <c r="AW15" s="5">
        <f t="shared" si="24"/>
        <v>35719.512215099996</v>
      </c>
      <c r="AX15" s="5">
        <f t="shared" si="25"/>
        <v>35719.512215099996</v>
      </c>
      <c r="AY15" s="5">
        <f t="shared" si="26"/>
        <v>8952.8144023</v>
      </c>
      <c r="BA15" s="36"/>
      <c r="BB15" s="5">
        <f t="shared" si="27"/>
        <v>1129.0497057</v>
      </c>
      <c r="BC15" s="5">
        <f t="shared" si="28"/>
        <v>1129.0497057</v>
      </c>
      <c r="BD15" s="5">
        <f t="shared" si="29"/>
        <v>282.9874161</v>
      </c>
      <c r="BF15" s="36"/>
      <c r="BG15" s="5">
        <f t="shared" si="30"/>
        <v>3449.2692653999998</v>
      </c>
      <c r="BH15" s="5">
        <f t="shared" si="31"/>
        <v>3449.2692653999998</v>
      </c>
      <c r="BI15" s="5">
        <f t="shared" si="32"/>
        <v>864.5321742</v>
      </c>
      <c r="BK15" s="36"/>
      <c r="BL15" s="5">
        <f t="shared" si="33"/>
        <v>17055.076042200002</v>
      </c>
      <c r="BM15" s="5">
        <f t="shared" si="34"/>
        <v>17055.076042200002</v>
      </c>
      <c r="BN15" s="5">
        <f t="shared" si="35"/>
        <v>4274.7204806</v>
      </c>
      <c r="BP15" s="36"/>
      <c r="BQ15" s="5">
        <f t="shared" si="36"/>
        <v>3763.499019</v>
      </c>
      <c r="BR15" s="5">
        <f t="shared" si="37"/>
        <v>3763.499019</v>
      </c>
      <c r="BS15" s="5">
        <f t="shared" si="38"/>
        <v>943.291387</v>
      </c>
      <c r="BU15" s="36"/>
      <c r="BV15" s="5">
        <f t="shared" si="39"/>
        <v>143.45271359999998</v>
      </c>
      <c r="BW15" s="5">
        <f t="shared" si="40"/>
        <v>143.45271359999998</v>
      </c>
      <c r="BX15" s="5">
        <f t="shared" si="41"/>
        <v>35.955292799999995</v>
      </c>
      <c r="BZ15" s="36"/>
      <c r="CA15" s="5">
        <f t="shared" si="42"/>
        <v>804.786801</v>
      </c>
      <c r="CB15" s="5">
        <f t="shared" si="43"/>
        <v>804.786801</v>
      </c>
      <c r="CC15" s="5">
        <f t="shared" si="44"/>
        <v>201.713473</v>
      </c>
      <c r="CE15" s="36"/>
      <c r="CF15" s="5">
        <f t="shared" si="45"/>
        <v>8349.076014299999</v>
      </c>
      <c r="CG15" s="36">
        <f t="shared" si="46"/>
        <v>8349.076014299999</v>
      </c>
      <c r="CH15" s="5">
        <f t="shared" si="47"/>
        <v>2092.6301439</v>
      </c>
      <c r="CJ15" s="36"/>
      <c r="CK15" s="5">
        <f t="shared" si="48"/>
        <v>11318.6752686</v>
      </c>
      <c r="CL15" s="36">
        <f t="shared" si="49"/>
        <v>11318.6752686</v>
      </c>
      <c r="CM15" s="5">
        <f t="shared" si="50"/>
        <v>2836.9368077999998</v>
      </c>
      <c r="CO15" s="36"/>
      <c r="CP15" s="5">
        <f t="shared" si="51"/>
        <v>7461.8892915</v>
      </c>
      <c r="CQ15" s="36">
        <f t="shared" si="52"/>
        <v>7461.8892915</v>
      </c>
      <c r="CR15" s="5">
        <f t="shared" si="53"/>
        <v>1870.2637795</v>
      </c>
      <c r="CT15" s="36"/>
      <c r="CU15" s="5">
        <f t="shared" si="54"/>
        <v>128649.33283019999</v>
      </c>
      <c r="CV15" s="5">
        <f t="shared" si="55"/>
        <v>128649.33283019999</v>
      </c>
      <c r="CW15" s="5">
        <f t="shared" si="56"/>
        <v>32244.942004599998</v>
      </c>
      <c r="CY15" s="36"/>
      <c r="CZ15" s="5">
        <f t="shared" si="57"/>
        <v>29823.8618517</v>
      </c>
      <c r="DA15" s="5">
        <f t="shared" si="58"/>
        <v>29823.8618517</v>
      </c>
      <c r="DB15" s="5">
        <f t="shared" si="59"/>
        <v>7475.116074099999</v>
      </c>
      <c r="DD15" s="36"/>
      <c r="DE15" s="5">
        <f t="shared" si="60"/>
        <v>6179.140249800001</v>
      </c>
      <c r="DF15" s="5">
        <f t="shared" si="61"/>
        <v>6179.140249800001</v>
      </c>
      <c r="DG15" s="5">
        <f t="shared" si="62"/>
        <v>1548.7528354</v>
      </c>
    </row>
    <row r="16" spans="1:111" ht="12.75">
      <c r="A16" s="37">
        <v>45383</v>
      </c>
      <c r="C16" s="3">
        <v>6125000</v>
      </c>
      <c r="D16" s="3">
        <v>2134713</v>
      </c>
      <c r="E16" s="35">
        <f t="shared" si="0"/>
        <v>8259713</v>
      </c>
      <c r="F16" s="35">
        <v>535049</v>
      </c>
      <c r="H16" s="45">
        <f t="shared" si="63"/>
        <v>2257221.75</v>
      </c>
      <c r="I16" s="36">
        <f t="shared" si="1"/>
        <v>786697.243038</v>
      </c>
      <c r="J16" s="36">
        <f t="shared" si="2"/>
        <v>3043918.993038</v>
      </c>
      <c r="K16" s="36">
        <f t="shared" si="1"/>
        <v>197179.46777399993</v>
      </c>
      <c r="M16" s="36">
        <f t="shared" si="64"/>
        <v>6191.150000000001</v>
      </c>
      <c r="N16" s="5">
        <f t="shared" si="3"/>
        <v>2157.7679004</v>
      </c>
      <c r="O16" s="5">
        <f t="shared" si="4"/>
        <v>8348.9179004</v>
      </c>
      <c r="P16" s="5">
        <f t="shared" si="5"/>
        <v>540.8275292000001</v>
      </c>
      <c r="R16" s="36">
        <f t="shared" si="65"/>
        <v>319183.55</v>
      </c>
      <c r="S16" s="5">
        <f t="shared" si="6"/>
        <v>111243.30997080001</v>
      </c>
      <c r="T16" s="5">
        <f t="shared" si="7"/>
        <v>430426.8599708</v>
      </c>
      <c r="U16" s="5">
        <f t="shared" si="8"/>
        <v>27882.2594684</v>
      </c>
      <c r="W16" s="36">
        <f t="shared" si="66"/>
        <v>875449.9249999999</v>
      </c>
      <c r="X16" s="5">
        <f t="shared" si="9"/>
        <v>305115.80991779995</v>
      </c>
      <c r="Y16" s="5">
        <f t="shared" si="10"/>
        <v>1180565.7349178</v>
      </c>
      <c r="Z16" s="5">
        <f t="shared" si="11"/>
        <v>76474.87459939999</v>
      </c>
      <c r="AB16" s="36">
        <f t="shared" si="67"/>
        <v>257974.5875</v>
      </c>
      <c r="AC16" s="5">
        <f t="shared" si="12"/>
        <v>89910.4825479</v>
      </c>
      <c r="AD16" s="5">
        <f t="shared" si="13"/>
        <v>347885.07004789996</v>
      </c>
      <c r="AE16" s="5">
        <f t="shared" si="14"/>
        <v>22535.3542967</v>
      </c>
      <c r="AG16" s="36">
        <f t="shared" si="68"/>
        <v>973.8749999999999</v>
      </c>
      <c r="AH16" s="5">
        <f t="shared" si="15"/>
        <v>339.41936699999997</v>
      </c>
      <c r="AI16" s="5">
        <f t="shared" si="16"/>
        <v>1313.294367</v>
      </c>
      <c r="AJ16" s="5">
        <f t="shared" si="17"/>
        <v>85.072791</v>
      </c>
      <c r="AL16" s="36">
        <f t="shared" si="69"/>
        <v>21408.712499999998</v>
      </c>
      <c r="AM16" s="5">
        <f t="shared" si="18"/>
        <v>7461.4623489</v>
      </c>
      <c r="AN16" s="5">
        <f t="shared" si="19"/>
        <v>28870.1748489</v>
      </c>
      <c r="AO16" s="5">
        <f t="shared" si="20"/>
        <v>1870.1567696999998</v>
      </c>
      <c r="AQ16" s="36">
        <f t="shared" si="70"/>
        <v>47693.5375</v>
      </c>
      <c r="AR16" s="5">
        <f t="shared" si="21"/>
        <v>16622.3697171</v>
      </c>
      <c r="AS16" s="5">
        <f t="shared" si="22"/>
        <v>64315.9072171</v>
      </c>
      <c r="AT16" s="5">
        <f t="shared" si="23"/>
        <v>4166.2660483</v>
      </c>
      <c r="AV16" s="36">
        <f t="shared" si="71"/>
        <v>102487.78749999999</v>
      </c>
      <c r="AW16" s="5">
        <f t="shared" si="24"/>
        <v>35719.512215099996</v>
      </c>
      <c r="AX16" s="5">
        <f t="shared" si="25"/>
        <v>138207.29971509997</v>
      </c>
      <c r="AY16" s="5">
        <f t="shared" si="26"/>
        <v>8952.8144023</v>
      </c>
      <c r="BA16" s="36">
        <f t="shared" si="72"/>
        <v>3239.5125000000003</v>
      </c>
      <c r="BB16" s="5">
        <f t="shared" si="27"/>
        <v>1129.0497057</v>
      </c>
      <c r="BC16" s="5">
        <f t="shared" si="28"/>
        <v>4368.5622057</v>
      </c>
      <c r="BD16" s="5">
        <f t="shared" si="29"/>
        <v>282.9874161</v>
      </c>
      <c r="BF16" s="36">
        <f t="shared" si="73"/>
        <v>9896.775</v>
      </c>
      <c r="BG16" s="5">
        <f t="shared" si="30"/>
        <v>3449.2692653999998</v>
      </c>
      <c r="BH16" s="5">
        <f t="shared" si="31"/>
        <v>13346.0442654</v>
      </c>
      <c r="BI16" s="5">
        <f t="shared" si="32"/>
        <v>864.5321742</v>
      </c>
      <c r="BK16" s="36">
        <f t="shared" si="74"/>
        <v>48935.075000000004</v>
      </c>
      <c r="BL16" s="5">
        <f t="shared" si="33"/>
        <v>17055.076042200002</v>
      </c>
      <c r="BM16" s="5">
        <f t="shared" si="34"/>
        <v>65990.15104220001</v>
      </c>
      <c r="BN16" s="5">
        <f t="shared" si="35"/>
        <v>4274.7204806</v>
      </c>
      <c r="BP16" s="36">
        <f t="shared" si="75"/>
        <v>10798.375</v>
      </c>
      <c r="BQ16" s="5">
        <f t="shared" si="36"/>
        <v>3763.499019</v>
      </c>
      <c r="BR16" s="5">
        <f t="shared" si="37"/>
        <v>14561.874018999999</v>
      </c>
      <c r="BS16" s="5">
        <f t="shared" si="38"/>
        <v>943.291387</v>
      </c>
      <c r="BU16" s="36">
        <f t="shared" si="76"/>
        <v>411.59999999999997</v>
      </c>
      <c r="BV16" s="5">
        <f t="shared" si="39"/>
        <v>143.45271359999998</v>
      </c>
      <c r="BW16" s="5">
        <f t="shared" si="40"/>
        <v>555.0527136</v>
      </c>
      <c r="BX16" s="5">
        <f t="shared" si="41"/>
        <v>35.955292799999995</v>
      </c>
      <c r="BZ16" s="36">
        <f t="shared" si="77"/>
        <v>2309.125</v>
      </c>
      <c r="CA16" s="5">
        <f t="shared" si="42"/>
        <v>804.786801</v>
      </c>
      <c r="CB16" s="5">
        <f t="shared" si="43"/>
        <v>3113.911801</v>
      </c>
      <c r="CC16" s="5">
        <f t="shared" si="44"/>
        <v>201.713473</v>
      </c>
      <c r="CE16" s="36">
        <f t="shared" si="78"/>
        <v>23955.4875</v>
      </c>
      <c r="CF16" s="5">
        <f t="shared" si="45"/>
        <v>8349.076014299999</v>
      </c>
      <c r="CG16" s="36">
        <f t="shared" si="46"/>
        <v>32304.563514299996</v>
      </c>
      <c r="CH16" s="5">
        <f t="shared" si="47"/>
        <v>2092.6301439</v>
      </c>
      <c r="CJ16" s="36">
        <f t="shared" si="79"/>
        <v>32475.975</v>
      </c>
      <c r="CK16" s="5">
        <f t="shared" si="48"/>
        <v>11318.6752686</v>
      </c>
      <c r="CL16" s="36">
        <f t="shared" si="49"/>
        <v>43794.6502686</v>
      </c>
      <c r="CM16" s="5">
        <f t="shared" si="50"/>
        <v>2836.9368077999998</v>
      </c>
      <c r="CO16" s="36">
        <f t="shared" si="80"/>
        <v>21409.9375</v>
      </c>
      <c r="CP16" s="5">
        <f t="shared" si="51"/>
        <v>7461.8892915</v>
      </c>
      <c r="CQ16" s="36">
        <f t="shared" si="52"/>
        <v>28871.8267915</v>
      </c>
      <c r="CR16" s="5">
        <f t="shared" si="53"/>
        <v>1870.2637795</v>
      </c>
      <c r="CT16" s="36">
        <f t="shared" si="81"/>
        <v>369125.57499999995</v>
      </c>
      <c r="CU16" s="5">
        <f t="shared" si="54"/>
        <v>128649.33283019999</v>
      </c>
      <c r="CV16" s="5">
        <f t="shared" si="55"/>
        <v>497774.9078301999</v>
      </c>
      <c r="CW16" s="5">
        <f t="shared" si="56"/>
        <v>32244.942004599998</v>
      </c>
      <c r="CY16" s="36">
        <f t="shared" si="82"/>
        <v>85571.7625</v>
      </c>
      <c r="CZ16" s="5">
        <f t="shared" si="57"/>
        <v>29823.8618517</v>
      </c>
      <c r="DA16" s="5">
        <f t="shared" si="58"/>
        <v>115395.6243517</v>
      </c>
      <c r="DB16" s="5">
        <f t="shared" si="59"/>
        <v>7475.116074099999</v>
      </c>
      <c r="DD16" s="36">
        <f t="shared" si="83"/>
        <v>17729.425000000003</v>
      </c>
      <c r="DE16" s="5">
        <f t="shared" si="60"/>
        <v>6179.140249800001</v>
      </c>
      <c r="DF16" s="5">
        <f t="shared" si="61"/>
        <v>23908.565249800005</v>
      </c>
      <c r="DG16" s="5">
        <f t="shared" si="62"/>
        <v>1548.7528354</v>
      </c>
    </row>
    <row r="17" spans="1:111" ht="12.75">
      <c r="A17" s="37">
        <v>45566</v>
      </c>
      <c r="D17" s="3">
        <v>1981588</v>
      </c>
      <c r="E17" s="35">
        <f t="shared" si="0"/>
        <v>1981588</v>
      </c>
      <c r="F17" s="35">
        <v>535049</v>
      </c>
      <c r="H17" s="45"/>
      <c r="I17" s="36">
        <f t="shared" si="1"/>
        <v>730266.6992879998</v>
      </c>
      <c r="J17" s="36">
        <f t="shared" si="2"/>
        <v>730266.6992879998</v>
      </c>
      <c r="K17" s="36">
        <f t="shared" si="1"/>
        <v>197179.46777399993</v>
      </c>
      <c r="M17" s="36"/>
      <c r="N17" s="5">
        <f t="shared" si="3"/>
        <v>2002.9891504000002</v>
      </c>
      <c r="O17" s="5">
        <f t="shared" si="4"/>
        <v>2002.9891504000002</v>
      </c>
      <c r="P17" s="5">
        <f t="shared" si="5"/>
        <v>540.8275292000001</v>
      </c>
      <c r="R17" s="36"/>
      <c r="S17" s="5">
        <f t="shared" si="6"/>
        <v>103263.7212208</v>
      </c>
      <c r="T17" s="5">
        <f t="shared" si="7"/>
        <v>103263.7212208</v>
      </c>
      <c r="U17" s="5">
        <f t="shared" si="8"/>
        <v>27882.2594684</v>
      </c>
      <c r="W17" s="36"/>
      <c r="X17" s="5">
        <f t="shared" si="9"/>
        <v>283229.56179279997</v>
      </c>
      <c r="Y17" s="5">
        <f t="shared" si="10"/>
        <v>283229.56179279997</v>
      </c>
      <c r="Z17" s="5">
        <f t="shared" si="11"/>
        <v>76474.87459939999</v>
      </c>
      <c r="AB17" s="36"/>
      <c r="AC17" s="5">
        <f t="shared" si="12"/>
        <v>83461.1178604</v>
      </c>
      <c r="AD17" s="5">
        <f t="shared" si="13"/>
        <v>83461.1178604</v>
      </c>
      <c r="AE17" s="5">
        <f t="shared" si="14"/>
        <v>22535.3542967</v>
      </c>
      <c r="AG17" s="36"/>
      <c r="AH17" s="5">
        <f t="shared" si="15"/>
        <v>315.07249199999995</v>
      </c>
      <c r="AI17" s="5">
        <f t="shared" si="16"/>
        <v>315.07249199999995</v>
      </c>
      <c r="AJ17" s="5">
        <f t="shared" si="17"/>
        <v>85.072791</v>
      </c>
      <c r="AL17" s="36"/>
      <c r="AM17" s="5">
        <f t="shared" si="18"/>
        <v>6926.2445364</v>
      </c>
      <c r="AN17" s="5">
        <f t="shared" si="19"/>
        <v>6926.2445364</v>
      </c>
      <c r="AO17" s="5">
        <f t="shared" si="20"/>
        <v>1870.1567696999998</v>
      </c>
      <c r="AQ17" s="36"/>
      <c r="AR17" s="5">
        <f t="shared" si="21"/>
        <v>15430.0312796</v>
      </c>
      <c r="AS17" s="5">
        <f t="shared" si="22"/>
        <v>15430.0312796</v>
      </c>
      <c r="AT17" s="5">
        <f t="shared" si="23"/>
        <v>4166.2660483</v>
      </c>
      <c r="AV17" s="36"/>
      <c r="AW17" s="5">
        <f t="shared" si="24"/>
        <v>33157.3175276</v>
      </c>
      <c r="AX17" s="5">
        <f t="shared" si="25"/>
        <v>33157.3175276</v>
      </c>
      <c r="AY17" s="5">
        <f t="shared" si="26"/>
        <v>8952.8144023</v>
      </c>
      <c r="BA17" s="36"/>
      <c r="BB17" s="5">
        <f t="shared" si="27"/>
        <v>1048.0618932</v>
      </c>
      <c r="BC17" s="5">
        <f t="shared" si="28"/>
        <v>1048.0618932</v>
      </c>
      <c r="BD17" s="5">
        <f t="shared" si="29"/>
        <v>282.9874161</v>
      </c>
      <c r="BF17" s="36"/>
      <c r="BG17" s="5">
        <f t="shared" si="30"/>
        <v>3201.8498904</v>
      </c>
      <c r="BH17" s="5">
        <f t="shared" si="31"/>
        <v>3201.8498904</v>
      </c>
      <c r="BI17" s="5">
        <f t="shared" si="32"/>
        <v>864.5321742</v>
      </c>
      <c r="BK17" s="36"/>
      <c r="BL17" s="5">
        <f t="shared" si="33"/>
        <v>15831.699167200002</v>
      </c>
      <c r="BM17" s="5">
        <f t="shared" si="34"/>
        <v>15831.699167200002</v>
      </c>
      <c r="BN17" s="5">
        <f t="shared" si="35"/>
        <v>4274.7204806</v>
      </c>
      <c r="BP17" s="36"/>
      <c r="BQ17" s="5">
        <f t="shared" si="36"/>
        <v>3493.539644</v>
      </c>
      <c r="BR17" s="5">
        <f t="shared" si="37"/>
        <v>3493.539644</v>
      </c>
      <c r="BS17" s="5">
        <f t="shared" si="38"/>
        <v>943.291387</v>
      </c>
      <c r="BU17" s="36"/>
      <c r="BV17" s="5">
        <f t="shared" si="39"/>
        <v>133.1627136</v>
      </c>
      <c r="BW17" s="5">
        <f t="shared" si="40"/>
        <v>133.1627136</v>
      </c>
      <c r="BX17" s="5">
        <f t="shared" si="41"/>
        <v>35.955292799999995</v>
      </c>
      <c r="BZ17" s="36"/>
      <c r="CA17" s="5">
        <f t="shared" si="42"/>
        <v>747.058676</v>
      </c>
      <c r="CB17" s="5">
        <f t="shared" si="43"/>
        <v>747.058676</v>
      </c>
      <c r="CC17" s="5">
        <f t="shared" si="44"/>
        <v>201.713473</v>
      </c>
      <c r="CE17" s="36"/>
      <c r="CF17" s="5">
        <f t="shared" si="45"/>
        <v>7750.188826799999</v>
      </c>
      <c r="CG17" s="36">
        <f t="shared" si="46"/>
        <v>7750.188826799999</v>
      </c>
      <c r="CH17" s="5">
        <f t="shared" si="47"/>
        <v>2092.6301439</v>
      </c>
      <c r="CJ17" s="36"/>
      <c r="CK17" s="5">
        <f t="shared" si="48"/>
        <v>10506.7758936</v>
      </c>
      <c r="CL17" s="36">
        <f t="shared" si="49"/>
        <v>10506.7758936</v>
      </c>
      <c r="CM17" s="5">
        <f t="shared" si="50"/>
        <v>2836.9368077999998</v>
      </c>
      <c r="CO17" s="36"/>
      <c r="CP17" s="5">
        <f t="shared" si="51"/>
        <v>6926.640854</v>
      </c>
      <c r="CQ17" s="36">
        <f t="shared" si="52"/>
        <v>6926.640854</v>
      </c>
      <c r="CR17" s="5">
        <f t="shared" si="53"/>
        <v>1870.2637795</v>
      </c>
      <c r="CT17" s="36"/>
      <c r="CU17" s="5">
        <f t="shared" si="54"/>
        <v>119421.19345519999</v>
      </c>
      <c r="CV17" s="5">
        <f t="shared" si="55"/>
        <v>119421.19345519999</v>
      </c>
      <c r="CW17" s="5">
        <f t="shared" si="56"/>
        <v>32244.942004599998</v>
      </c>
      <c r="CY17" s="36"/>
      <c r="CZ17" s="5">
        <f t="shared" si="57"/>
        <v>27684.5677892</v>
      </c>
      <c r="DA17" s="5">
        <f t="shared" si="58"/>
        <v>27684.5677892</v>
      </c>
      <c r="DB17" s="5">
        <f t="shared" si="59"/>
        <v>7475.116074099999</v>
      </c>
      <c r="DD17" s="36"/>
      <c r="DE17" s="5">
        <f t="shared" si="60"/>
        <v>5735.9046248</v>
      </c>
      <c r="DF17" s="5">
        <f t="shared" si="61"/>
        <v>5735.9046248</v>
      </c>
      <c r="DG17" s="5">
        <f t="shared" si="62"/>
        <v>1548.7528354</v>
      </c>
    </row>
    <row r="18" spans="1:111" ht="12.75">
      <c r="A18" s="37">
        <v>45748</v>
      </c>
      <c r="C18" s="3">
        <v>6435000</v>
      </c>
      <c r="D18" s="3">
        <v>1981588</v>
      </c>
      <c r="E18" s="35">
        <f t="shared" si="0"/>
        <v>8416588</v>
      </c>
      <c r="F18" s="35">
        <v>535049</v>
      </c>
      <c r="H18" s="45">
        <f t="shared" si="63"/>
        <v>2371464.81</v>
      </c>
      <c r="I18" s="36">
        <f t="shared" si="1"/>
        <v>730266.6992879998</v>
      </c>
      <c r="J18" s="36">
        <f t="shared" si="2"/>
        <v>3101731.509288</v>
      </c>
      <c r="K18" s="36">
        <f t="shared" si="1"/>
        <v>197179.46777399993</v>
      </c>
      <c r="M18" s="36">
        <f t="shared" si="64"/>
        <v>6504.4980000000005</v>
      </c>
      <c r="N18" s="5">
        <f t="shared" si="3"/>
        <v>2002.9891504000002</v>
      </c>
      <c r="O18" s="5">
        <f t="shared" si="4"/>
        <v>8507.4871504</v>
      </c>
      <c r="P18" s="5">
        <f t="shared" si="5"/>
        <v>540.8275292000001</v>
      </c>
      <c r="R18" s="36">
        <f t="shared" si="65"/>
        <v>335338.146</v>
      </c>
      <c r="S18" s="5">
        <f t="shared" si="6"/>
        <v>103263.7212208</v>
      </c>
      <c r="T18" s="5">
        <f t="shared" si="7"/>
        <v>438601.8672208</v>
      </c>
      <c r="U18" s="5">
        <f t="shared" si="8"/>
        <v>27882.2594684</v>
      </c>
      <c r="W18" s="36">
        <f t="shared" si="66"/>
        <v>919758.411</v>
      </c>
      <c r="X18" s="5">
        <f t="shared" si="9"/>
        <v>283229.56179279997</v>
      </c>
      <c r="Y18" s="5">
        <f t="shared" si="10"/>
        <v>1202987.9727928</v>
      </c>
      <c r="Z18" s="5">
        <f t="shared" si="11"/>
        <v>76474.87459939999</v>
      </c>
      <c r="AB18" s="36">
        <f t="shared" si="67"/>
        <v>271031.2605</v>
      </c>
      <c r="AC18" s="5">
        <f t="shared" si="12"/>
        <v>83461.1178604</v>
      </c>
      <c r="AD18" s="5">
        <f t="shared" si="13"/>
        <v>354492.3783604</v>
      </c>
      <c r="AE18" s="5">
        <f t="shared" si="14"/>
        <v>22535.3542967</v>
      </c>
      <c r="AG18" s="36">
        <f t="shared" si="68"/>
        <v>1023.165</v>
      </c>
      <c r="AH18" s="5">
        <f t="shared" si="15"/>
        <v>315.07249199999995</v>
      </c>
      <c r="AI18" s="5">
        <f t="shared" si="16"/>
        <v>1338.237492</v>
      </c>
      <c r="AJ18" s="5">
        <f t="shared" si="17"/>
        <v>85.072791</v>
      </c>
      <c r="AL18" s="36">
        <f t="shared" si="69"/>
        <v>22492.2555</v>
      </c>
      <c r="AM18" s="5">
        <f t="shared" si="18"/>
        <v>6926.2445364</v>
      </c>
      <c r="AN18" s="5">
        <f t="shared" si="19"/>
        <v>29418.5000364</v>
      </c>
      <c r="AO18" s="5">
        <f t="shared" si="20"/>
        <v>1870.1567696999998</v>
      </c>
      <c r="AQ18" s="36">
        <f t="shared" si="70"/>
        <v>50107.4145</v>
      </c>
      <c r="AR18" s="5">
        <f t="shared" si="21"/>
        <v>15430.0312796</v>
      </c>
      <c r="AS18" s="5">
        <f t="shared" si="22"/>
        <v>65537.4457796</v>
      </c>
      <c r="AT18" s="5">
        <f t="shared" si="23"/>
        <v>4166.2660483</v>
      </c>
      <c r="AV18" s="36">
        <f t="shared" si="71"/>
        <v>107674.9245</v>
      </c>
      <c r="AW18" s="5">
        <f t="shared" si="24"/>
        <v>33157.3175276</v>
      </c>
      <c r="AX18" s="5">
        <f t="shared" si="25"/>
        <v>140832.2420276</v>
      </c>
      <c r="AY18" s="5">
        <f t="shared" si="26"/>
        <v>8952.8144023</v>
      </c>
      <c r="BA18" s="36">
        <f t="shared" si="72"/>
        <v>3403.4715</v>
      </c>
      <c r="BB18" s="5">
        <f t="shared" si="27"/>
        <v>1048.0618932</v>
      </c>
      <c r="BC18" s="5">
        <f t="shared" si="28"/>
        <v>4451.5333932</v>
      </c>
      <c r="BD18" s="5">
        <f t="shared" si="29"/>
        <v>282.9874161</v>
      </c>
      <c r="BF18" s="36">
        <f t="shared" si="73"/>
        <v>10397.672999999999</v>
      </c>
      <c r="BG18" s="5">
        <f t="shared" si="30"/>
        <v>3201.8498904</v>
      </c>
      <c r="BH18" s="5">
        <f t="shared" si="31"/>
        <v>13599.5228904</v>
      </c>
      <c r="BI18" s="5">
        <f t="shared" si="32"/>
        <v>864.5321742</v>
      </c>
      <c r="BK18" s="36">
        <f t="shared" si="74"/>
        <v>51411.789000000004</v>
      </c>
      <c r="BL18" s="5">
        <f t="shared" si="33"/>
        <v>15831.699167200002</v>
      </c>
      <c r="BM18" s="5">
        <f t="shared" si="34"/>
        <v>67243.4881672</v>
      </c>
      <c r="BN18" s="5">
        <f t="shared" si="35"/>
        <v>4274.7204806</v>
      </c>
      <c r="BP18" s="36">
        <f t="shared" si="75"/>
        <v>11344.905</v>
      </c>
      <c r="BQ18" s="5">
        <f t="shared" si="36"/>
        <v>3493.539644</v>
      </c>
      <c r="BR18" s="5">
        <f t="shared" si="37"/>
        <v>14838.444644000001</v>
      </c>
      <c r="BS18" s="5">
        <f t="shared" si="38"/>
        <v>943.291387</v>
      </c>
      <c r="BU18" s="36">
        <f t="shared" si="76"/>
        <v>432.43199999999996</v>
      </c>
      <c r="BV18" s="5">
        <f t="shared" si="39"/>
        <v>133.1627136</v>
      </c>
      <c r="BW18" s="5">
        <f t="shared" si="40"/>
        <v>565.5947136</v>
      </c>
      <c r="BX18" s="5">
        <f t="shared" si="41"/>
        <v>35.955292799999995</v>
      </c>
      <c r="BZ18" s="36">
        <f t="shared" si="77"/>
        <v>2425.995</v>
      </c>
      <c r="CA18" s="5">
        <f t="shared" si="42"/>
        <v>747.058676</v>
      </c>
      <c r="CB18" s="5">
        <f t="shared" si="43"/>
        <v>3173.053676</v>
      </c>
      <c r="CC18" s="5">
        <f t="shared" si="44"/>
        <v>201.713473</v>
      </c>
      <c r="CE18" s="36">
        <f t="shared" si="78"/>
        <v>25167.928499999998</v>
      </c>
      <c r="CF18" s="5">
        <f t="shared" si="45"/>
        <v>7750.188826799999</v>
      </c>
      <c r="CG18" s="36">
        <f t="shared" si="46"/>
        <v>32918.1173268</v>
      </c>
      <c r="CH18" s="5">
        <f t="shared" si="47"/>
        <v>2092.6301439</v>
      </c>
      <c r="CJ18" s="36">
        <f t="shared" si="79"/>
        <v>34119.657</v>
      </c>
      <c r="CK18" s="5">
        <f t="shared" si="48"/>
        <v>10506.7758936</v>
      </c>
      <c r="CL18" s="36">
        <f t="shared" si="49"/>
        <v>44626.432893599995</v>
      </c>
      <c r="CM18" s="5">
        <f t="shared" si="50"/>
        <v>2836.9368077999998</v>
      </c>
      <c r="CO18" s="36">
        <f t="shared" si="80"/>
        <v>22493.5425</v>
      </c>
      <c r="CP18" s="5">
        <f t="shared" si="51"/>
        <v>6926.640854</v>
      </c>
      <c r="CQ18" s="36">
        <f t="shared" si="52"/>
        <v>29420.183354</v>
      </c>
      <c r="CR18" s="5">
        <f t="shared" si="53"/>
        <v>1870.2637795</v>
      </c>
      <c r="CT18" s="36">
        <f t="shared" si="81"/>
        <v>387807.849</v>
      </c>
      <c r="CU18" s="5">
        <f t="shared" si="54"/>
        <v>119421.19345519999</v>
      </c>
      <c r="CV18" s="5">
        <f t="shared" si="55"/>
        <v>507229.0424552</v>
      </c>
      <c r="CW18" s="5">
        <f t="shared" si="56"/>
        <v>32244.942004599998</v>
      </c>
      <c r="CY18" s="36">
        <f t="shared" si="82"/>
        <v>89902.7415</v>
      </c>
      <c r="CZ18" s="5">
        <f t="shared" si="57"/>
        <v>27684.5677892</v>
      </c>
      <c r="DA18" s="5">
        <f t="shared" si="58"/>
        <v>117587.3092892</v>
      </c>
      <c r="DB18" s="5">
        <f t="shared" si="59"/>
        <v>7475.116074099999</v>
      </c>
      <c r="DD18" s="36">
        <f t="shared" si="83"/>
        <v>18626.751</v>
      </c>
      <c r="DE18" s="5">
        <f t="shared" si="60"/>
        <v>5735.9046248</v>
      </c>
      <c r="DF18" s="5">
        <f t="shared" si="61"/>
        <v>24362.6556248</v>
      </c>
      <c r="DG18" s="5">
        <f t="shared" si="62"/>
        <v>1548.7528354</v>
      </c>
    </row>
    <row r="19" spans="1:111" ht="12.75">
      <c r="A19" s="37">
        <v>45931</v>
      </c>
      <c r="D19" s="3">
        <v>1820713</v>
      </c>
      <c r="E19" s="35">
        <f t="shared" si="0"/>
        <v>1820713</v>
      </c>
      <c r="F19" s="35">
        <v>535049</v>
      </c>
      <c r="H19" s="45"/>
      <c r="I19" s="36">
        <f t="shared" si="1"/>
        <v>670980.0790380001</v>
      </c>
      <c r="J19" s="36">
        <f t="shared" si="2"/>
        <v>670980.0790380001</v>
      </c>
      <c r="K19" s="36">
        <f t="shared" si="1"/>
        <v>197179.46777399993</v>
      </c>
      <c r="M19" s="36"/>
      <c r="N19" s="5">
        <f t="shared" si="3"/>
        <v>1840.3767004000001</v>
      </c>
      <c r="O19" s="5">
        <f t="shared" si="4"/>
        <v>1840.3767004000001</v>
      </c>
      <c r="P19" s="5">
        <f t="shared" si="5"/>
        <v>540.8275292000001</v>
      </c>
      <c r="R19" s="36"/>
      <c r="S19" s="5">
        <f t="shared" si="6"/>
        <v>94880.2675708</v>
      </c>
      <c r="T19" s="5">
        <f t="shared" si="7"/>
        <v>94880.2675708</v>
      </c>
      <c r="U19" s="5">
        <f t="shared" si="8"/>
        <v>27882.2594684</v>
      </c>
      <c r="W19" s="36"/>
      <c r="X19" s="5">
        <f t="shared" si="9"/>
        <v>260235.60151779998</v>
      </c>
      <c r="Y19" s="5">
        <f t="shared" si="10"/>
        <v>260235.60151779998</v>
      </c>
      <c r="Z19" s="5">
        <f t="shared" si="11"/>
        <v>76474.87459939999</v>
      </c>
      <c r="AB19" s="36"/>
      <c r="AC19" s="5">
        <f t="shared" si="12"/>
        <v>76685.3363479</v>
      </c>
      <c r="AD19" s="5">
        <f t="shared" si="13"/>
        <v>76685.3363479</v>
      </c>
      <c r="AE19" s="5">
        <f t="shared" si="14"/>
        <v>22535.3542967</v>
      </c>
      <c r="AG19" s="36"/>
      <c r="AH19" s="5">
        <f t="shared" si="15"/>
        <v>289.493367</v>
      </c>
      <c r="AI19" s="5">
        <f t="shared" si="16"/>
        <v>289.493367</v>
      </c>
      <c r="AJ19" s="5">
        <f t="shared" si="17"/>
        <v>85.072791</v>
      </c>
      <c r="AL19" s="36"/>
      <c r="AM19" s="5">
        <f t="shared" si="18"/>
        <v>6363.9381489</v>
      </c>
      <c r="AN19" s="5">
        <f t="shared" si="19"/>
        <v>6363.9381489</v>
      </c>
      <c r="AO19" s="5">
        <f t="shared" si="20"/>
        <v>1870.1567696999998</v>
      </c>
      <c r="AQ19" s="36"/>
      <c r="AR19" s="5">
        <f t="shared" si="21"/>
        <v>14177.3459171</v>
      </c>
      <c r="AS19" s="5">
        <f t="shared" si="22"/>
        <v>14177.3459171</v>
      </c>
      <c r="AT19" s="5">
        <f t="shared" si="23"/>
        <v>4166.2660483</v>
      </c>
      <c r="AV19" s="36"/>
      <c r="AW19" s="5">
        <f t="shared" si="24"/>
        <v>30465.4444151</v>
      </c>
      <c r="AX19" s="5">
        <f t="shared" si="25"/>
        <v>30465.4444151</v>
      </c>
      <c r="AY19" s="5">
        <f t="shared" si="26"/>
        <v>8952.8144023</v>
      </c>
      <c r="BA19" s="36"/>
      <c r="BB19" s="5">
        <f t="shared" si="27"/>
        <v>962.9751057</v>
      </c>
      <c r="BC19" s="5">
        <f t="shared" si="28"/>
        <v>962.9751057</v>
      </c>
      <c r="BD19" s="5">
        <f t="shared" si="29"/>
        <v>282.9874161</v>
      </c>
      <c r="BF19" s="36"/>
      <c r="BG19" s="5">
        <f t="shared" si="30"/>
        <v>2941.9080654</v>
      </c>
      <c r="BH19" s="5">
        <f t="shared" si="31"/>
        <v>2941.9080654</v>
      </c>
      <c r="BI19" s="5">
        <f t="shared" si="32"/>
        <v>864.5321742</v>
      </c>
      <c r="BK19" s="36"/>
      <c r="BL19" s="5">
        <f t="shared" si="33"/>
        <v>14546.4044422</v>
      </c>
      <c r="BM19" s="5">
        <f t="shared" si="34"/>
        <v>14546.4044422</v>
      </c>
      <c r="BN19" s="5">
        <f t="shared" si="35"/>
        <v>4274.7204806</v>
      </c>
      <c r="BP19" s="36"/>
      <c r="BQ19" s="5">
        <f t="shared" si="36"/>
        <v>3209.917019</v>
      </c>
      <c r="BR19" s="5">
        <f t="shared" si="37"/>
        <v>3209.917019</v>
      </c>
      <c r="BS19" s="5">
        <f t="shared" si="38"/>
        <v>943.291387</v>
      </c>
      <c r="BU19" s="36"/>
      <c r="BV19" s="5">
        <f t="shared" si="39"/>
        <v>122.35191359999999</v>
      </c>
      <c r="BW19" s="5">
        <f t="shared" si="40"/>
        <v>122.35191359999999</v>
      </c>
      <c r="BX19" s="5">
        <f t="shared" si="41"/>
        <v>35.955292799999995</v>
      </c>
      <c r="BZ19" s="36"/>
      <c r="CA19" s="5">
        <f t="shared" si="42"/>
        <v>686.408801</v>
      </c>
      <c r="CB19" s="5">
        <f t="shared" si="43"/>
        <v>686.408801</v>
      </c>
      <c r="CC19" s="5">
        <f t="shared" si="44"/>
        <v>201.713473</v>
      </c>
      <c r="CE19" s="36"/>
      <c r="CF19" s="5">
        <f t="shared" si="45"/>
        <v>7120.9906143</v>
      </c>
      <c r="CG19" s="36">
        <f t="shared" si="46"/>
        <v>7120.9906143</v>
      </c>
      <c r="CH19" s="5">
        <f t="shared" si="47"/>
        <v>2092.6301439</v>
      </c>
      <c r="CJ19" s="36"/>
      <c r="CK19" s="5">
        <f t="shared" si="48"/>
        <v>9653.7844686</v>
      </c>
      <c r="CL19" s="36">
        <f t="shared" si="49"/>
        <v>9653.7844686</v>
      </c>
      <c r="CM19" s="5">
        <f t="shared" si="50"/>
        <v>2836.9368077999998</v>
      </c>
      <c r="CO19" s="36"/>
      <c r="CP19" s="5">
        <f t="shared" si="51"/>
        <v>6364.3022915</v>
      </c>
      <c r="CQ19" s="36">
        <f t="shared" si="52"/>
        <v>6364.3022915</v>
      </c>
      <c r="CR19" s="5">
        <f t="shared" si="53"/>
        <v>1870.2637795</v>
      </c>
      <c r="CT19" s="36"/>
      <c r="CU19" s="5">
        <f t="shared" si="54"/>
        <v>109725.9972302</v>
      </c>
      <c r="CV19" s="5">
        <f t="shared" si="55"/>
        <v>109725.9972302</v>
      </c>
      <c r="CW19" s="5">
        <f t="shared" si="56"/>
        <v>32244.942004599998</v>
      </c>
      <c r="CY19" s="36"/>
      <c r="CZ19" s="5">
        <f t="shared" si="57"/>
        <v>25436.9992517</v>
      </c>
      <c r="DA19" s="5">
        <f t="shared" si="58"/>
        <v>25436.9992517</v>
      </c>
      <c r="DB19" s="5">
        <f t="shared" si="59"/>
        <v>7475.116074099999</v>
      </c>
      <c r="DD19" s="36"/>
      <c r="DE19" s="5">
        <f t="shared" si="60"/>
        <v>5270.2358498</v>
      </c>
      <c r="DF19" s="5">
        <f t="shared" si="61"/>
        <v>5270.2358498</v>
      </c>
      <c r="DG19" s="5">
        <f t="shared" si="62"/>
        <v>1548.7528354</v>
      </c>
    </row>
    <row r="20" spans="1:111" ht="12.75">
      <c r="A20" s="37">
        <v>46113</v>
      </c>
      <c r="C20" s="3">
        <v>6755000</v>
      </c>
      <c r="D20" s="3">
        <v>1820713</v>
      </c>
      <c r="E20" s="35">
        <f t="shared" si="0"/>
        <v>8575713</v>
      </c>
      <c r="F20" s="35">
        <v>535049</v>
      </c>
      <c r="H20" s="45">
        <f t="shared" si="63"/>
        <v>2489393.1300000004</v>
      </c>
      <c r="I20" s="36">
        <f t="shared" si="1"/>
        <v>670980.0790380001</v>
      </c>
      <c r="J20" s="36">
        <f t="shared" si="2"/>
        <v>3160373.2090380006</v>
      </c>
      <c r="K20" s="36">
        <f t="shared" si="1"/>
        <v>197179.46777399993</v>
      </c>
      <c r="M20" s="36">
        <f t="shared" si="64"/>
        <v>6827.954000000001</v>
      </c>
      <c r="N20" s="5">
        <f t="shared" si="3"/>
        <v>1840.3767004000001</v>
      </c>
      <c r="O20" s="5">
        <f t="shared" si="4"/>
        <v>8668.330700400002</v>
      </c>
      <c r="P20" s="5">
        <f t="shared" si="5"/>
        <v>540.8275292000001</v>
      </c>
      <c r="R20" s="36">
        <f t="shared" si="65"/>
        <v>352013.858</v>
      </c>
      <c r="S20" s="5">
        <f t="shared" si="6"/>
        <v>94880.2675708</v>
      </c>
      <c r="T20" s="5">
        <f t="shared" si="7"/>
        <v>446894.12557080004</v>
      </c>
      <c r="U20" s="5">
        <f t="shared" si="8"/>
        <v>27882.2594684</v>
      </c>
      <c r="W20" s="36">
        <f t="shared" si="66"/>
        <v>965496.203</v>
      </c>
      <c r="X20" s="5">
        <f t="shared" si="9"/>
        <v>260235.60151779998</v>
      </c>
      <c r="Y20" s="5">
        <f t="shared" si="10"/>
        <v>1225731.8045178</v>
      </c>
      <c r="Z20" s="5">
        <f t="shared" si="11"/>
        <v>76474.87459939999</v>
      </c>
      <c r="AB20" s="36">
        <f t="shared" si="67"/>
        <v>284509.1165</v>
      </c>
      <c r="AC20" s="5">
        <f t="shared" si="12"/>
        <v>76685.3363479</v>
      </c>
      <c r="AD20" s="5">
        <f t="shared" si="13"/>
        <v>361194.4528479</v>
      </c>
      <c r="AE20" s="5">
        <f t="shared" si="14"/>
        <v>22535.3542967</v>
      </c>
      <c r="AG20" s="36">
        <f t="shared" si="68"/>
        <v>1074.0449999999998</v>
      </c>
      <c r="AH20" s="5">
        <f t="shared" si="15"/>
        <v>289.493367</v>
      </c>
      <c r="AI20" s="5">
        <f t="shared" si="16"/>
        <v>1363.5383669999999</v>
      </c>
      <c r="AJ20" s="5">
        <f t="shared" si="17"/>
        <v>85.072791</v>
      </c>
      <c r="AL20" s="36">
        <f t="shared" si="69"/>
        <v>23610.7515</v>
      </c>
      <c r="AM20" s="5">
        <f t="shared" si="18"/>
        <v>6363.9381489</v>
      </c>
      <c r="AN20" s="5">
        <f t="shared" si="19"/>
        <v>29974.6896489</v>
      </c>
      <c r="AO20" s="5">
        <f t="shared" si="20"/>
        <v>1870.1567696999998</v>
      </c>
      <c r="AQ20" s="36">
        <f t="shared" si="70"/>
        <v>52599.1585</v>
      </c>
      <c r="AR20" s="5">
        <f t="shared" si="21"/>
        <v>14177.3459171</v>
      </c>
      <c r="AS20" s="5">
        <f t="shared" si="22"/>
        <v>66776.50441709999</v>
      </c>
      <c r="AT20" s="5">
        <f t="shared" si="23"/>
        <v>4166.2660483</v>
      </c>
      <c r="AV20" s="36">
        <f t="shared" si="71"/>
        <v>113029.3885</v>
      </c>
      <c r="AW20" s="5">
        <f t="shared" si="24"/>
        <v>30465.4444151</v>
      </c>
      <c r="AX20" s="5">
        <f t="shared" si="25"/>
        <v>143494.8329151</v>
      </c>
      <c r="AY20" s="5">
        <f t="shared" si="26"/>
        <v>8952.8144023</v>
      </c>
      <c r="BA20" s="36">
        <f t="shared" si="72"/>
        <v>3572.7195</v>
      </c>
      <c r="BB20" s="5">
        <f t="shared" si="27"/>
        <v>962.9751057</v>
      </c>
      <c r="BC20" s="5">
        <f t="shared" si="28"/>
        <v>4535.6946057000005</v>
      </c>
      <c r="BD20" s="5">
        <f t="shared" si="29"/>
        <v>282.9874161</v>
      </c>
      <c r="BF20" s="36">
        <f t="shared" si="73"/>
        <v>10914.729</v>
      </c>
      <c r="BG20" s="5">
        <f t="shared" si="30"/>
        <v>2941.9080654</v>
      </c>
      <c r="BH20" s="5">
        <f t="shared" si="31"/>
        <v>13856.637065399998</v>
      </c>
      <c r="BI20" s="5">
        <f t="shared" si="32"/>
        <v>864.5321742</v>
      </c>
      <c r="BK20" s="36">
        <f t="shared" si="74"/>
        <v>53968.397000000004</v>
      </c>
      <c r="BL20" s="5">
        <f t="shared" si="33"/>
        <v>14546.4044422</v>
      </c>
      <c r="BM20" s="5">
        <f t="shared" si="34"/>
        <v>68514.8014422</v>
      </c>
      <c r="BN20" s="5">
        <f t="shared" si="35"/>
        <v>4274.7204806</v>
      </c>
      <c r="BP20" s="36">
        <f t="shared" si="75"/>
        <v>11909.065</v>
      </c>
      <c r="BQ20" s="5">
        <f t="shared" si="36"/>
        <v>3209.917019</v>
      </c>
      <c r="BR20" s="5">
        <f t="shared" si="37"/>
        <v>15118.982019000001</v>
      </c>
      <c r="BS20" s="5">
        <f t="shared" si="38"/>
        <v>943.291387</v>
      </c>
      <c r="BU20" s="36">
        <f t="shared" si="76"/>
        <v>453.936</v>
      </c>
      <c r="BV20" s="5">
        <f t="shared" si="39"/>
        <v>122.35191359999999</v>
      </c>
      <c r="BW20" s="5">
        <f t="shared" si="40"/>
        <v>576.2879135999999</v>
      </c>
      <c r="BX20" s="5">
        <f t="shared" si="41"/>
        <v>35.955292799999995</v>
      </c>
      <c r="BZ20" s="36">
        <f t="shared" si="77"/>
        <v>2546.635</v>
      </c>
      <c r="CA20" s="5">
        <f t="shared" si="42"/>
        <v>686.408801</v>
      </c>
      <c r="CB20" s="5">
        <f t="shared" si="43"/>
        <v>3233.0438010000003</v>
      </c>
      <c r="CC20" s="5">
        <f t="shared" si="44"/>
        <v>201.713473</v>
      </c>
      <c r="CE20" s="36">
        <f t="shared" si="78"/>
        <v>26419.480499999998</v>
      </c>
      <c r="CF20" s="5">
        <f t="shared" si="45"/>
        <v>7120.9906143</v>
      </c>
      <c r="CG20" s="36">
        <f t="shared" si="46"/>
        <v>33540.471114299995</v>
      </c>
      <c r="CH20" s="5">
        <f t="shared" si="47"/>
        <v>2092.6301439</v>
      </c>
      <c r="CJ20" s="36">
        <f t="shared" si="79"/>
        <v>35816.361</v>
      </c>
      <c r="CK20" s="5">
        <f t="shared" si="48"/>
        <v>9653.7844686</v>
      </c>
      <c r="CL20" s="36">
        <f t="shared" si="49"/>
        <v>45470.1454686</v>
      </c>
      <c r="CM20" s="5">
        <f t="shared" si="50"/>
        <v>2836.9368077999998</v>
      </c>
      <c r="CO20" s="36">
        <f t="shared" si="80"/>
        <v>23612.1025</v>
      </c>
      <c r="CP20" s="5">
        <f t="shared" si="51"/>
        <v>6364.3022915</v>
      </c>
      <c r="CQ20" s="36">
        <f t="shared" si="52"/>
        <v>29976.4047915</v>
      </c>
      <c r="CR20" s="5">
        <f t="shared" si="53"/>
        <v>1870.2637795</v>
      </c>
      <c r="CT20" s="36">
        <f t="shared" si="81"/>
        <v>407092.777</v>
      </c>
      <c r="CU20" s="5">
        <f t="shared" si="54"/>
        <v>109725.9972302</v>
      </c>
      <c r="CV20" s="5">
        <f t="shared" si="55"/>
        <v>516818.7742302</v>
      </c>
      <c r="CW20" s="5">
        <f t="shared" si="56"/>
        <v>32244.942004599998</v>
      </c>
      <c r="CY20" s="36">
        <f t="shared" si="82"/>
        <v>94373.4295</v>
      </c>
      <c r="CZ20" s="5">
        <f t="shared" si="57"/>
        <v>25436.9992517</v>
      </c>
      <c r="DA20" s="5">
        <f t="shared" si="58"/>
        <v>119810.4287517</v>
      </c>
      <c r="DB20" s="5">
        <f t="shared" si="59"/>
        <v>7475.116074099999</v>
      </c>
      <c r="DD20" s="36">
        <f t="shared" si="83"/>
        <v>19553.023</v>
      </c>
      <c r="DE20" s="5">
        <f t="shared" si="60"/>
        <v>5270.2358498</v>
      </c>
      <c r="DF20" s="5">
        <f t="shared" si="61"/>
        <v>24823.2588498</v>
      </c>
      <c r="DG20" s="5">
        <f t="shared" si="62"/>
        <v>1548.7528354</v>
      </c>
    </row>
    <row r="21" spans="1:111" ht="12.75">
      <c r="A21" s="37">
        <v>46296</v>
      </c>
      <c r="D21" s="3">
        <v>1651838</v>
      </c>
      <c r="E21" s="35">
        <f t="shared" si="0"/>
        <v>1651838</v>
      </c>
      <c r="F21" s="35">
        <v>535049</v>
      </c>
      <c r="H21" s="45"/>
      <c r="I21" s="36">
        <f t="shared" si="1"/>
        <v>608745.250788</v>
      </c>
      <c r="J21" s="36">
        <f t="shared" si="2"/>
        <v>608745.250788</v>
      </c>
      <c r="K21" s="36">
        <f t="shared" si="1"/>
        <v>197179.46777399993</v>
      </c>
      <c r="M21" s="36"/>
      <c r="N21" s="5">
        <f t="shared" si="3"/>
        <v>1669.6778504000001</v>
      </c>
      <c r="O21" s="5">
        <f t="shared" si="4"/>
        <v>1669.6778504000001</v>
      </c>
      <c r="P21" s="5">
        <f t="shared" si="5"/>
        <v>540.8275292000001</v>
      </c>
      <c r="R21" s="36"/>
      <c r="S21" s="5">
        <f t="shared" si="6"/>
        <v>86079.9211208</v>
      </c>
      <c r="T21" s="5">
        <f t="shared" si="7"/>
        <v>86079.9211208</v>
      </c>
      <c r="U21" s="5">
        <f t="shared" si="8"/>
        <v>27882.2594684</v>
      </c>
      <c r="W21" s="36"/>
      <c r="X21" s="5">
        <f t="shared" si="9"/>
        <v>236098.1964428</v>
      </c>
      <c r="Y21" s="5">
        <f t="shared" si="10"/>
        <v>236098.1964428</v>
      </c>
      <c r="Z21" s="5">
        <f t="shared" si="11"/>
        <v>76474.87459939999</v>
      </c>
      <c r="AB21" s="36"/>
      <c r="AC21" s="5">
        <f t="shared" si="12"/>
        <v>69572.60843539999</v>
      </c>
      <c r="AD21" s="5">
        <f t="shared" si="13"/>
        <v>69572.60843539999</v>
      </c>
      <c r="AE21" s="5">
        <f t="shared" si="14"/>
        <v>22535.3542967</v>
      </c>
      <c r="AG21" s="36"/>
      <c r="AH21" s="5">
        <f t="shared" si="15"/>
        <v>262.64224199999995</v>
      </c>
      <c r="AI21" s="5">
        <f t="shared" si="16"/>
        <v>262.64224199999995</v>
      </c>
      <c r="AJ21" s="5">
        <f t="shared" si="17"/>
        <v>85.072791</v>
      </c>
      <c r="AL21" s="36"/>
      <c r="AM21" s="5">
        <f t="shared" si="18"/>
        <v>5773.6693614</v>
      </c>
      <c r="AN21" s="5">
        <f t="shared" si="19"/>
        <v>5773.6693614</v>
      </c>
      <c r="AO21" s="5">
        <f t="shared" si="20"/>
        <v>1870.1567696999998</v>
      </c>
      <c r="AQ21" s="36"/>
      <c r="AR21" s="5">
        <f t="shared" si="21"/>
        <v>12862.3669546</v>
      </c>
      <c r="AS21" s="5">
        <f t="shared" si="22"/>
        <v>12862.3669546</v>
      </c>
      <c r="AT21" s="5">
        <f t="shared" si="23"/>
        <v>4166.2660483</v>
      </c>
      <c r="AV21" s="36"/>
      <c r="AW21" s="5">
        <f t="shared" si="24"/>
        <v>27639.7097026</v>
      </c>
      <c r="AX21" s="5">
        <f t="shared" si="25"/>
        <v>27639.7097026</v>
      </c>
      <c r="AY21" s="5">
        <f t="shared" si="26"/>
        <v>8952.8144023</v>
      </c>
      <c r="BA21" s="36"/>
      <c r="BB21" s="5">
        <f t="shared" si="27"/>
        <v>873.6571182</v>
      </c>
      <c r="BC21" s="5">
        <f t="shared" si="28"/>
        <v>873.6571182</v>
      </c>
      <c r="BD21" s="5">
        <f t="shared" si="29"/>
        <v>282.9874161</v>
      </c>
      <c r="BF21" s="36"/>
      <c r="BG21" s="5">
        <f t="shared" si="30"/>
        <v>2669.0398404</v>
      </c>
      <c r="BH21" s="5">
        <f t="shared" si="31"/>
        <v>2669.0398404</v>
      </c>
      <c r="BI21" s="5">
        <f t="shared" si="32"/>
        <v>864.5321742</v>
      </c>
      <c r="BK21" s="36"/>
      <c r="BL21" s="5">
        <f t="shared" si="33"/>
        <v>13197.194517200001</v>
      </c>
      <c r="BM21" s="5">
        <f t="shared" si="34"/>
        <v>13197.194517200001</v>
      </c>
      <c r="BN21" s="5">
        <f t="shared" si="35"/>
        <v>4274.7204806</v>
      </c>
      <c r="BP21" s="36"/>
      <c r="BQ21" s="5">
        <f t="shared" si="36"/>
        <v>2912.190394</v>
      </c>
      <c r="BR21" s="5">
        <f t="shared" si="37"/>
        <v>2912.190394</v>
      </c>
      <c r="BS21" s="5">
        <f t="shared" si="38"/>
        <v>943.291387</v>
      </c>
      <c r="BU21" s="36"/>
      <c r="BV21" s="5">
        <f t="shared" si="39"/>
        <v>111.00351359999999</v>
      </c>
      <c r="BW21" s="5">
        <f t="shared" si="40"/>
        <v>111.00351359999999</v>
      </c>
      <c r="BX21" s="5">
        <f t="shared" si="41"/>
        <v>35.955292799999995</v>
      </c>
      <c r="BZ21" s="36"/>
      <c r="CA21" s="5">
        <f t="shared" si="42"/>
        <v>622.742926</v>
      </c>
      <c r="CB21" s="5">
        <f t="shared" si="43"/>
        <v>622.742926</v>
      </c>
      <c r="CC21" s="5">
        <f t="shared" si="44"/>
        <v>201.713473</v>
      </c>
      <c r="CE21" s="36"/>
      <c r="CF21" s="5">
        <f t="shared" si="45"/>
        <v>6460.5036018</v>
      </c>
      <c r="CG21" s="36">
        <f t="shared" si="46"/>
        <v>6460.5036018</v>
      </c>
      <c r="CH21" s="5">
        <f t="shared" si="47"/>
        <v>2092.6301439</v>
      </c>
      <c r="CJ21" s="36"/>
      <c r="CK21" s="5">
        <f t="shared" si="48"/>
        <v>8758.3754436</v>
      </c>
      <c r="CL21" s="36">
        <f t="shared" si="49"/>
        <v>8758.3754436</v>
      </c>
      <c r="CM21" s="5">
        <f t="shared" si="50"/>
        <v>2836.9368077999998</v>
      </c>
      <c r="CO21" s="36"/>
      <c r="CP21" s="5">
        <f t="shared" si="51"/>
        <v>5773.999729</v>
      </c>
      <c r="CQ21" s="36">
        <f t="shared" si="52"/>
        <v>5773.999729</v>
      </c>
      <c r="CR21" s="5">
        <f t="shared" si="53"/>
        <v>1870.2637795</v>
      </c>
      <c r="CT21" s="36"/>
      <c r="CU21" s="5">
        <f t="shared" si="54"/>
        <v>99548.6778052</v>
      </c>
      <c r="CV21" s="5">
        <f t="shared" si="55"/>
        <v>99548.6778052</v>
      </c>
      <c r="CW21" s="5">
        <f t="shared" si="56"/>
        <v>32244.942004599998</v>
      </c>
      <c r="CY21" s="36"/>
      <c r="CZ21" s="5">
        <f t="shared" si="57"/>
        <v>23077.663514199998</v>
      </c>
      <c r="DA21" s="5">
        <f t="shared" si="58"/>
        <v>23077.663514199998</v>
      </c>
      <c r="DB21" s="5">
        <f t="shared" si="59"/>
        <v>7475.116074099999</v>
      </c>
      <c r="DD21" s="36"/>
      <c r="DE21" s="5">
        <f t="shared" si="60"/>
        <v>4781.4102748000005</v>
      </c>
      <c r="DF21" s="5">
        <f t="shared" si="61"/>
        <v>4781.4102748000005</v>
      </c>
      <c r="DG21" s="5">
        <f t="shared" si="62"/>
        <v>1548.7528354</v>
      </c>
    </row>
    <row r="22" spans="1:111" ht="12.75">
      <c r="A22" s="37">
        <v>46478</v>
      </c>
      <c r="C22" s="3">
        <v>7095000</v>
      </c>
      <c r="D22" s="3">
        <v>1651838</v>
      </c>
      <c r="E22" s="35">
        <f t="shared" si="0"/>
        <v>8746838</v>
      </c>
      <c r="F22" s="35">
        <v>535049</v>
      </c>
      <c r="H22" s="45">
        <f t="shared" si="63"/>
        <v>2614691.9699999997</v>
      </c>
      <c r="I22" s="36">
        <f t="shared" si="1"/>
        <v>608745.250788</v>
      </c>
      <c r="J22" s="36">
        <f t="shared" si="2"/>
        <v>3223437.2207879997</v>
      </c>
      <c r="K22" s="36">
        <f t="shared" si="1"/>
        <v>197179.46777399993</v>
      </c>
      <c r="M22" s="36">
        <f t="shared" si="64"/>
        <v>7171.626</v>
      </c>
      <c r="N22" s="5">
        <f t="shared" si="3"/>
        <v>1669.6778504000001</v>
      </c>
      <c r="O22" s="5">
        <f t="shared" si="4"/>
        <v>8841.3038504</v>
      </c>
      <c r="P22" s="5">
        <f t="shared" si="5"/>
        <v>540.8275292000001</v>
      </c>
      <c r="R22" s="36">
        <f t="shared" si="65"/>
        <v>369731.802</v>
      </c>
      <c r="S22" s="5">
        <f t="shared" si="6"/>
        <v>86079.9211208</v>
      </c>
      <c r="T22" s="5">
        <f t="shared" si="7"/>
        <v>455811.72312080004</v>
      </c>
      <c r="U22" s="5">
        <f t="shared" si="8"/>
        <v>27882.2594684</v>
      </c>
      <c r="W22" s="36">
        <f t="shared" si="66"/>
        <v>1014092.607</v>
      </c>
      <c r="X22" s="5">
        <f t="shared" si="9"/>
        <v>236098.1964428</v>
      </c>
      <c r="Y22" s="5">
        <f t="shared" si="10"/>
        <v>1250190.8034428</v>
      </c>
      <c r="Z22" s="5">
        <f t="shared" si="11"/>
        <v>76474.87459939999</v>
      </c>
      <c r="AB22" s="36">
        <f t="shared" si="67"/>
        <v>298829.33849999995</v>
      </c>
      <c r="AC22" s="5">
        <f t="shared" si="12"/>
        <v>69572.60843539999</v>
      </c>
      <c r="AD22" s="5">
        <f t="shared" si="13"/>
        <v>368401.94693539996</v>
      </c>
      <c r="AE22" s="5">
        <f t="shared" si="14"/>
        <v>22535.3542967</v>
      </c>
      <c r="AG22" s="36">
        <f t="shared" si="68"/>
        <v>1128.105</v>
      </c>
      <c r="AH22" s="5">
        <f t="shared" si="15"/>
        <v>262.64224199999995</v>
      </c>
      <c r="AI22" s="5">
        <f t="shared" si="16"/>
        <v>1390.747242</v>
      </c>
      <c r="AJ22" s="5">
        <f t="shared" si="17"/>
        <v>85.072791</v>
      </c>
      <c r="AL22" s="36">
        <f t="shared" si="69"/>
        <v>24799.1535</v>
      </c>
      <c r="AM22" s="5">
        <f t="shared" si="18"/>
        <v>5773.6693614</v>
      </c>
      <c r="AN22" s="5">
        <f t="shared" si="19"/>
        <v>30572.8228614</v>
      </c>
      <c r="AO22" s="5">
        <f t="shared" si="20"/>
        <v>1870.1567696999998</v>
      </c>
      <c r="AQ22" s="36">
        <f t="shared" si="70"/>
        <v>55246.6365</v>
      </c>
      <c r="AR22" s="5">
        <f t="shared" si="21"/>
        <v>12862.3669546</v>
      </c>
      <c r="AS22" s="5">
        <f t="shared" si="22"/>
        <v>68109.0034546</v>
      </c>
      <c r="AT22" s="5">
        <f t="shared" si="23"/>
        <v>4166.2660483</v>
      </c>
      <c r="AV22" s="36">
        <f t="shared" si="71"/>
        <v>118718.5065</v>
      </c>
      <c r="AW22" s="5">
        <f t="shared" si="24"/>
        <v>27639.7097026</v>
      </c>
      <c r="AX22" s="5">
        <f t="shared" si="25"/>
        <v>146358.21620260002</v>
      </c>
      <c r="AY22" s="5">
        <f t="shared" si="26"/>
        <v>8952.8144023</v>
      </c>
      <c r="BA22" s="36">
        <f t="shared" si="72"/>
        <v>3752.5455</v>
      </c>
      <c r="BB22" s="5">
        <f t="shared" si="27"/>
        <v>873.6571182</v>
      </c>
      <c r="BC22" s="5">
        <f t="shared" si="28"/>
        <v>4626.2026182</v>
      </c>
      <c r="BD22" s="5">
        <f t="shared" si="29"/>
        <v>282.9874161</v>
      </c>
      <c r="BF22" s="36">
        <f t="shared" si="73"/>
        <v>11464.100999999999</v>
      </c>
      <c r="BG22" s="5">
        <f t="shared" si="30"/>
        <v>2669.0398404</v>
      </c>
      <c r="BH22" s="5">
        <f t="shared" si="31"/>
        <v>14133.1408404</v>
      </c>
      <c r="BI22" s="5">
        <f t="shared" si="32"/>
        <v>864.5321742</v>
      </c>
      <c r="BK22" s="36">
        <f t="shared" si="74"/>
        <v>56684.793000000005</v>
      </c>
      <c r="BL22" s="5">
        <f t="shared" si="33"/>
        <v>13197.194517200001</v>
      </c>
      <c r="BM22" s="5">
        <f t="shared" si="34"/>
        <v>69881.9875172</v>
      </c>
      <c r="BN22" s="5">
        <f t="shared" si="35"/>
        <v>4274.7204806</v>
      </c>
      <c r="BP22" s="36">
        <f t="shared" si="75"/>
        <v>12508.485</v>
      </c>
      <c r="BQ22" s="5">
        <f t="shared" si="36"/>
        <v>2912.190394</v>
      </c>
      <c r="BR22" s="5">
        <f t="shared" si="37"/>
        <v>15420.675394000002</v>
      </c>
      <c r="BS22" s="5">
        <f t="shared" si="38"/>
        <v>943.291387</v>
      </c>
      <c r="BU22" s="36">
        <f t="shared" si="76"/>
        <v>476.78399999999993</v>
      </c>
      <c r="BV22" s="5">
        <f t="shared" si="39"/>
        <v>111.00351359999999</v>
      </c>
      <c r="BW22" s="5">
        <f t="shared" si="40"/>
        <v>587.7875135999999</v>
      </c>
      <c r="BX22" s="5">
        <f t="shared" si="41"/>
        <v>35.955292799999995</v>
      </c>
      <c r="BZ22" s="36">
        <f t="shared" si="77"/>
        <v>2674.815</v>
      </c>
      <c r="CA22" s="5">
        <f t="shared" si="42"/>
        <v>622.742926</v>
      </c>
      <c r="CB22" s="5">
        <f t="shared" si="43"/>
        <v>3297.557926</v>
      </c>
      <c r="CC22" s="5">
        <f t="shared" si="44"/>
        <v>201.713473</v>
      </c>
      <c r="CE22" s="36">
        <f t="shared" si="78"/>
        <v>27749.2545</v>
      </c>
      <c r="CF22" s="5">
        <f t="shared" si="45"/>
        <v>6460.5036018</v>
      </c>
      <c r="CG22" s="36">
        <f t="shared" si="46"/>
        <v>34209.7581018</v>
      </c>
      <c r="CH22" s="5">
        <f t="shared" si="47"/>
        <v>2092.6301439</v>
      </c>
      <c r="CJ22" s="36">
        <f t="shared" si="79"/>
        <v>37619.109</v>
      </c>
      <c r="CK22" s="5">
        <f t="shared" si="48"/>
        <v>8758.3754436</v>
      </c>
      <c r="CL22" s="36">
        <f t="shared" si="49"/>
        <v>46377.4844436</v>
      </c>
      <c r="CM22" s="5">
        <f t="shared" si="50"/>
        <v>2836.9368077999998</v>
      </c>
      <c r="CO22" s="36">
        <f t="shared" si="80"/>
        <v>24800.5725</v>
      </c>
      <c r="CP22" s="5">
        <f t="shared" si="51"/>
        <v>5773.999729</v>
      </c>
      <c r="CQ22" s="36">
        <f t="shared" si="52"/>
        <v>30574.572228999998</v>
      </c>
      <c r="CR22" s="5">
        <f t="shared" si="53"/>
        <v>1870.2637795</v>
      </c>
      <c r="CT22" s="36">
        <f t="shared" si="81"/>
        <v>427583.013</v>
      </c>
      <c r="CU22" s="5">
        <f t="shared" si="54"/>
        <v>99548.6778052</v>
      </c>
      <c r="CV22" s="5">
        <f t="shared" si="55"/>
        <v>527131.6908052</v>
      </c>
      <c r="CW22" s="5">
        <f t="shared" si="56"/>
        <v>32244.942004599998</v>
      </c>
      <c r="CY22" s="36">
        <f t="shared" si="82"/>
        <v>99123.5355</v>
      </c>
      <c r="CZ22" s="5">
        <f t="shared" si="57"/>
        <v>23077.663514199998</v>
      </c>
      <c r="DA22" s="5">
        <f t="shared" si="58"/>
        <v>122201.1990142</v>
      </c>
      <c r="DB22" s="5">
        <f t="shared" si="59"/>
        <v>7475.116074099999</v>
      </c>
      <c r="DD22" s="36">
        <f t="shared" si="83"/>
        <v>20537.187</v>
      </c>
      <c r="DE22" s="5">
        <f t="shared" si="60"/>
        <v>4781.4102748000005</v>
      </c>
      <c r="DF22" s="5">
        <f t="shared" si="61"/>
        <v>25318.597274800002</v>
      </c>
      <c r="DG22" s="5">
        <f t="shared" si="62"/>
        <v>1548.7528354</v>
      </c>
    </row>
    <row r="23" spans="1:111" ht="12.75">
      <c r="A23" s="37">
        <v>46661</v>
      </c>
      <c r="D23" s="3">
        <v>1474463</v>
      </c>
      <c r="E23" s="35">
        <f t="shared" si="0"/>
        <v>1474463</v>
      </c>
      <c r="F23" s="35">
        <v>535049</v>
      </c>
      <c r="H23" s="45"/>
      <c r="I23" s="36">
        <f t="shared" si="1"/>
        <v>543377.951538</v>
      </c>
      <c r="J23" s="36">
        <f t="shared" si="2"/>
        <v>543377.951538</v>
      </c>
      <c r="K23" s="36">
        <f t="shared" si="1"/>
        <v>197179.46777399993</v>
      </c>
      <c r="M23" s="36"/>
      <c r="N23" s="5">
        <f t="shared" si="3"/>
        <v>1490.3872004000002</v>
      </c>
      <c r="O23" s="5">
        <f t="shared" si="4"/>
        <v>1490.3872004000002</v>
      </c>
      <c r="P23" s="5">
        <f t="shared" si="5"/>
        <v>540.8275292000001</v>
      </c>
      <c r="R23" s="36"/>
      <c r="S23" s="5">
        <f t="shared" si="6"/>
        <v>76836.6260708</v>
      </c>
      <c r="T23" s="5">
        <f t="shared" si="7"/>
        <v>76836.6260708</v>
      </c>
      <c r="U23" s="5">
        <f t="shared" si="8"/>
        <v>27882.2594684</v>
      </c>
      <c r="W23" s="36"/>
      <c r="X23" s="5">
        <f t="shared" si="9"/>
        <v>210745.8812678</v>
      </c>
      <c r="Y23" s="5">
        <f t="shared" si="10"/>
        <v>210745.8812678</v>
      </c>
      <c r="Z23" s="5">
        <f t="shared" si="11"/>
        <v>76474.87459939999</v>
      </c>
      <c r="AB23" s="36"/>
      <c r="AC23" s="5">
        <f t="shared" si="12"/>
        <v>62101.8749729</v>
      </c>
      <c r="AD23" s="5">
        <f t="shared" si="13"/>
        <v>62101.8749729</v>
      </c>
      <c r="AE23" s="5">
        <f t="shared" si="14"/>
        <v>22535.3542967</v>
      </c>
      <c r="AG23" s="36"/>
      <c r="AH23" s="5">
        <f t="shared" si="15"/>
        <v>234.43961699999997</v>
      </c>
      <c r="AI23" s="5">
        <f t="shared" si="16"/>
        <v>234.43961699999997</v>
      </c>
      <c r="AJ23" s="5">
        <f t="shared" si="17"/>
        <v>85.072791</v>
      </c>
      <c r="AL23" s="36"/>
      <c r="AM23" s="5">
        <f t="shared" si="18"/>
        <v>5153.6905239</v>
      </c>
      <c r="AN23" s="5">
        <f t="shared" si="19"/>
        <v>5153.6905239</v>
      </c>
      <c r="AO23" s="5">
        <f t="shared" si="20"/>
        <v>1870.1567696999998</v>
      </c>
      <c r="AQ23" s="36"/>
      <c r="AR23" s="5">
        <f t="shared" si="21"/>
        <v>11481.2010421</v>
      </c>
      <c r="AS23" s="5">
        <f t="shared" si="22"/>
        <v>11481.2010421</v>
      </c>
      <c r="AT23" s="5">
        <f t="shared" si="23"/>
        <v>4166.2660483</v>
      </c>
      <c r="AV23" s="36"/>
      <c r="AW23" s="5">
        <f t="shared" si="24"/>
        <v>24671.7470401</v>
      </c>
      <c r="AX23" s="5">
        <f t="shared" si="25"/>
        <v>24671.7470401</v>
      </c>
      <c r="AY23" s="5">
        <f t="shared" si="26"/>
        <v>8952.8144023</v>
      </c>
      <c r="BA23" s="36"/>
      <c r="BB23" s="5">
        <f t="shared" si="27"/>
        <v>779.8434807</v>
      </c>
      <c r="BC23" s="5">
        <f t="shared" si="28"/>
        <v>779.8434807</v>
      </c>
      <c r="BD23" s="5">
        <f t="shared" si="29"/>
        <v>282.9874161</v>
      </c>
      <c r="BF23" s="36"/>
      <c r="BG23" s="5">
        <f t="shared" si="30"/>
        <v>2382.4373154</v>
      </c>
      <c r="BH23" s="5">
        <f t="shared" si="31"/>
        <v>2382.4373154</v>
      </c>
      <c r="BI23" s="5">
        <f t="shared" si="32"/>
        <v>864.5321742</v>
      </c>
      <c r="BK23" s="36"/>
      <c r="BL23" s="5">
        <f t="shared" si="33"/>
        <v>11780.074692200002</v>
      </c>
      <c r="BM23" s="5">
        <f t="shared" si="34"/>
        <v>11780.074692200002</v>
      </c>
      <c r="BN23" s="5">
        <f t="shared" si="35"/>
        <v>4274.7204806</v>
      </c>
      <c r="BP23" s="36"/>
      <c r="BQ23" s="5">
        <f t="shared" si="36"/>
        <v>2599.478269</v>
      </c>
      <c r="BR23" s="5">
        <f t="shared" si="37"/>
        <v>2599.478269</v>
      </c>
      <c r="BS23" s="5">
        <f t="shared" si="38"/>
        <v>943.291387</v>
      </c>
      <c r="BU23" s="36"/>
      <c r="BV23" s="5">
        <f t="shared" si="39"/>
        <v>99.08391359999999</v>
      </c>
      <c r="BW23" s="5">
        <f t="shared" si="40"/>
        <v>99.08391359999999</v>
      </c>
      <c r="BX23" s="5">
        <f t="shared" si="41"/>
        <v>35.955292799999995</v>
      </c>
      <c r="BZ23" s="36"/>
      <c r="CA23" s="5">
        <f t="shared" si="42"/>
        <v>555.872551</v>
      </c>
      <c r="CB23" s="5">
        <f t="shared" si="43"/>
        <v>555.872551</v>
      </c>
      <c r="CC23" s="5">
        <f t="shared" si="44"/>
        <v>201.713473</v>
      </c>
      <c r="CE23" s="36"/>
      <c r="CF23" s="5">
        <f t="shared" si="45"/>
        <v>5766.7722392999995</v>
      </c>
      <c r="CG23" s="36">
        <f t="shared" si="46"/>
        <v>5766.7722392999995</v>
      </c>
      <c r="CH23" s="5">
        <f t="shared" si="47"/>
        <v>2092.6301439</v>
      </c>
      <c r="CJ23" s="36"/>
      <c r="CK23" s="5">
        <f t="shared" si="48"/>
        <v>7817.8977186</v>
      </c>
      <c r="CL23" s="36">
        <f t="shared" si="49"/>
        <v>7817.8977186</v>
      </c>
      <c r="CM23" s="5">
        <f t="shared" si="50"/>
        <v>2836.9368077999998</v>
      </c>
      <c r="CO23" s="36"/>
      <c r="CP23" s="5">
        <f t="shared" si="51"/>
        <v>5153.9854165</v>
      </c>
      <c r="CQ23" s="36">
        <f t="shared" si="52"/>
        <v>5153.9854165</v>
      </c>
      <c r="CR23" s="5">
        <f t="shared" si="53"/>
        <v>1870.2637795</v>
      </c>
      <c r="CT23" s="36"/>
      <c r="CU23" s="5">
        <f t="shared" si="54"/>
        <v>88859.10248019999</v>
      </c>
      <c r="CV23" s="5">
        <f t="shared" si="55"/>
        <v>88859.10248019999</v>
      </c>
      <c r="CW23" s="5">
        <f t="shared" si="56"/>
        <v>32244.942004599998</v>
      </c>
      <c r="CY23" s="36"/>
      <c r="CZ23" s="5">
        <f t="shared" si="57"/>
        <v>20599.575126699998</v>
      </c>
      <c r="DA23" s="5">
        <f t="shared" si="58"/>
        <v>20599.575126699998</v>
      </c>
      <c r="DB23" s="5">
        <f t="shared" si="59"/>
        <v>7475.116074099999</v>
      </c>
      <c r="DD23" s="36"/>
      <c r="DE23" s="5">
        <f t="shared" si="60"/>
        <v>4267.9805998</v>
      </c>
      <c r="DF23" s="5">
        <f t="shared" si="61"/>
        <v>4267.9805998</v>
      </c>
      <c r="DG23" s="5">
        <f t="shared" si="62"/>
        <v>1548.7528354</v>
      </c>
    </row>
    <row r="24" spans="1:111" ht="12.75">
      <c r="A24" s="37">
        <v>46844</v>
      </c>
      <c r="C24" s="3">
        <v>7445000</v>
      </c>
      <c r="D24" s="3">
        <v>1474463</v>
      </c>
      <c r="E24" s="35">
        <f t="shared" si="0"/>
        <v>8919463</v>
      </c>
      <c r="F24" s="35">
        <v>535049</v>
      </c>
      <c r="H24" s="45">
        <f t="shared" si="63"/>
        <v>2743676.07</v>
      </c>
      <c r="I24" s="36">
        <f t="shared" si="1"/>
        <v>543377.951538</v>
      </c>
      <c r="J24" s="36">
        <f t="shared" si="2"/>
        <v>3287054.0215379996</v>
      </c>
      <c r="K24" s="36">
        <f t="shared" si="1"/>
        <v>197179.46777399993</v>
      </c>
      <c r="L24"/>
      <c r="M24" s="36">
        <f t="shared" si="64"/>
        <v>7525.406000000001</v>
      </c>
      <c r="N24" s="5">
        <f t="shared" si="3"/>
        <v>1490.3872004000002</v>
      </c>
      <c r="O24" s="5">
        <f t="shared" si="4"/>
        <v>9015.793200400001</v>
      </c>
      <c r="P24" s="5">
        <f t="shared" si="5"/>
        <v>540.8275292000001</v>
      </c>
      <c r="Q24"/>
      <c r="R24" s="36">
        <f t="shared" si="65"/>
        <v>387970.862</v>
      </c>
      <c r="S24" s="5">
        <f t="shared" si="6"/>
        <v>76836.6260708</v>
      </c>
      <c r="T24" s="5">
        <f t="shared" si="7"/>
        <v>464807.4880708</v>
      </c>
      <c r="U24" s="5">
        <f t="shared" si="8"/>
        <v>27882.2594684</v>
      </c>
      <c r="V24"/>
      <c r="W24" s="36">
        <f t="shared" si="66"/>
        <v>1064118.317</v>
      </c>
      <c r="X24" s="5">
        <f t="shared" si="9"/>
        <v>210745.8812678</v>
      </c>
      <c r="Y24" s="5">
        <f t="shared" si="10"/>
        <v>1274864.1982678</v>
      </c>
      <c r="Z24" s="5">
        <f t="shared" si="11"/>
        <v>76474.87459939999</v>
      </c>
      <c r="AA24"/>
      <c r="AB24" s="36">
        <f t="shared" si="67"/>
        <v>313570.7435</v>
      </c>
      <c r="AC24" s="5">
        <f t="shared" si="12"/>
        <v>62101.8749729</v>
      </c>
      <c r="AD24" s="5">
        <f t="shared" si="13"/>
        <v>375672.6184729</v>
      </c>
      <c r="AE24" s="5">
        <f t="shared" si="14"/>
        <v>22535.3542967</v>
      </c>
      <c r="AF24"/>
      <c r="AG24" s="36">
        <f t="shared" si="68"/>
        <v>1183.7549999999999</v>
      </c>
      <c r="AH24" s="5">
        <f t="shared" si="15"/>
        <v>234.43961699999997</v>
      </c>
      <c r="AI24" s="5">
        <f t="shared" si="16"/>
        <v>1418.1946169999999</v>
      </c>
      <c r="AJ24" s="5">
        <f t="shared" si="17"/>
        <v>85.072791</v>
      </c>
      <c r="AK24"/>
      <c r="AL24" s="36">
        <f t="shared" si="69"/>
        <v>26022.5085</v>
      </c>
      <c r="AM24" s="5">
        <f t="shared" si="18"/>
        <v>5153.6905239</v>
      </c>
      <c r="AN24" s="5">
        <f t="shared" si="19"/>
        <v>31176.1990239</v>
      </c>
      <c r="AO24" s="5">
        <f t="shared" si="20"/>
        <v>1870.1567696999998</v>
      </c>
      <c r="AP24"/>
      <c r="AQ24" s="36">
        <f t="shared" si="70"/>
        <v>57971.981499999994</v>
      </c>
      <c r="AR24" s="5">
        <f t="shared" si="21"/>
        <v>11481.2010421</v>
      </c>
      <c r="AS24" s="5">
        <f t="shared" si="22"/>
        <v>69453.1825421</v>
      </c>
      <c r="AT24" s="5">
        <f t="shared" si="23"/>
        <v>4166.2660483</v>
      </c>
      <c r="AU24"/>
      <c r="AV24" s="36">
        <f t="shared" si="71"/>
        <v>124574.9515</v>
      </c>
      <c r="AW24" s="5">
        <f t="shared" si="24"/>
        <v>24671.7470401</v>
      </c>
      <c r="AX24" s="5">
        <f t="shared" si="25"/>
        <v>149246.69854009998</v>
      </c>
      <c r="AY24" s="5">
        <f t="shared" si="26"/>
        <v>8952.8144023</v>
      </c>
      <c r="AZ24"/>
      <c r="BA24" s="36">
        <f t="shared" si="72"/>
        <v>3937.6605</v>
      </c>
      <c r="BB24" s="5">
        <f t="shared" si="27"/>
        <v>779.8434807</v>
      </c>
      <c r="BC24" s="5">
        <f t="shared" si="28"/>
        <v>4717.5039807</v>
      </c>
      <c r="BD24" s="5">
        <f t="shared" si="29"/>
        <v>282.9874161</v>
      </c>
      <c r="BF24" s="36">
        <f t="shared" si="73"/>
        <v>12029.631</v>
      </c>
      <c r="BG24" s="5">
        <f t="shared" si="30"/>
        <v>2382.4373154</v>
      </c>
      <c r="BH24" s="5">
        <f t="shared" si="31"/>
        <v>14412.0683154</v>
      </c>
      <c r="BI24" s="5">
        <f t="shared" si="32"/>
        <v>864.5321742</v>
      </c>
      <c r="BJ24"/>
      <c r="BK24" s="36">
        <f t="shared" si="74"/>
        <v>59481.083000000006</v>
      </c>
      <c r="BL24" s="5">
        <f t="shared" si="33"/>
        <v>11780.074692200002</v>
      </c>
      <c r="BM24" s="5">
        <f t="shared" si="34"/>
        <v>71261.15769220001</v>
      </c>
      <c r="BN24" s="5">
        <f t="shared" si="35"/>
        <v>4274.7204806</v>
      </c>
      <c r="BO24"/>
      <c r="BP24" s="36">
        <f t="shared" si="75"/>
        <v>13125.535</v>
      </c>
      <c r="BQ24" s="5">
        <f t="shared" si="36"/>
        <v>2599.478269</v>
      </c>
      <c r="BR24" s="5">
        <f t="shared" si="37"/>
        <v>15725.013269</v>
      </c>
      <c r="BS24" s="5">
        <f t="shared" si="38"/>
        <v>943.291387</v>
      </c>
      <c r="BT24"/>
      <c r="BU24" s="36">
        <f t="shared" si="76"/>
        <v>500.304</v>
      </c>
      <c r="BV24" s="5">
        <f t="shared" si="39"/>
        <v>99.08391359999999</v>
      </c>
      <c r="BW24" s="5">
        <f t="shared" si="40"/>
        <v>599.3879135999999</v>
      </c>
      <c r="BX24" s="5">
        <f t="shared" si="41"/>
        <v>35.955292799999995</v>
      </c>
      <c r="BY24"/>
      <c r="BZ24" s="36">
        <f t="shared" si="77"/>
        <v>2806.765</v>
      </c>
      <c r="CA24" s="5">
        <f t="shared" si="42"/>
        <v>555.872551</v>
      </c>
      <c r="CB24" s="5">
        <f t="shared" si="43"/>
        <v>3362.637551</v>
      </c>
      <c r="CC24" s="5">
        <f t="shared" si="44"/>
        <v>201.713473</v>
      </c>
      <c r="CD24"/>
      <c r="CE24" s="36">
        <f t="shared" si="78"/>
        <v>29118.139499999997</v>
      </c>
      <c r="CF24" s="5">
        <f t="shared" si="45"/>
        <v>5766.7722392999995</v>
      </c>
      <c r="CG24" s="36">
        <f t="shared" si="46"/>
        <v>34884.9117393</v>
      </c>
      <c r="CH24" s="5">
        <f t="shared" si="47"/>
        <v>2092.6301439</v>
      </c>
      <c r="CI24"/>
      <c r="CJ24" s="36">
        <f t="shared" si="79"/>
        <v>39474.879</v>
      </c>
      <c r="CK24" s="5">
        <f t="shared" si="48"/>
        <v>7817.8977186</v>
      </c>
      <c r="CL24" s="36">
        <f t="shared" si="49"/>
        <v>47292.7767186</v>
      </c>
      <c r="CM24" s="5">
        <f t="shared" si="50"/>
        <v>2836.9368077999998</v>
      </c>
      <c r="CO24" s="36">
        <f t="shared" si="80"/>
        <v>26023.997499999998</v>
      </c>
      <c r="CP24" s="5">
        <f t="shared" si="51"/>
        <v>5153.9854165</v>
      </c>
      <c r="CQ24" s="36">
        <f t="shared" si="52"/>
        <v>31177.982916499997</v>
      </c>
      <c r="CR24" s="5">
        <f t="shared" si="53"/>
        <v>1870.2637795</v>
      </c>
      <c r="CT24" s="36">
        <f t="shared" si="81"/>
        <v>448675.903</v>
      </c>
      <c r="CU24" s="5">
        <f t="shared" si="54"/>
        <v>88859.10248019999</v>
      </c>
      <c r="CV24" s="5">
        <f t="shared" si="55"/>
        <v>537535.0054801999</v>
      </c>
      <c r="CW24" s="5">
        <f t="shared" si="56"/>
        <v>32244.942004599998</v>
      </c>
      <c r="CY24" s="36">
        <f t="shared" si="82"/>
        <v>104013.3505</v>
      </c>
      <c r="CZ24" s="5">
        <f t="shared" si="57"/>
        <v>20599.575126699998</v>
      </c>
      <c r="DA24" s="5">
        <f t="shared" si="58"/>
        <v>124612.9256267</v>
      </c>
      <c r="DB24" s="5">
        <f t="shared" si="59"/>
        <v>7475.116074099999</v>
      </c>
      <c r="DD24" s="36">
        <f t="shared" si="83"/>
        <v>21550.297000000002</v>
      </c>
      <c r="DE24" s="5">
        <f t="shared" si="60"/>
        <v>4267.9805998</v>
      </c>
      <c r="DF24" s="5">
        <f t="shared" si="61"/>
        <v>25818.277599800003</v>
      </c>
      <c r="DG24" s="5">
        <f t="shared" si="62"/>
        <v>1548.7528354</v>
      </c>
    </row>
    <row r="25" spans="1:111" ht="12.75">
      <c r="A25" s="37">
        <v>47027</v>
      </c>
      <c r="D25" s="3">
        <v>1288338</v>
      </c>
      <c r="E25" s="35">
        <f t="shared" si="0"/>
        <v>1288338</v>
      </c>
      <c r="F25" s="35">
        <v>535049</v>
      </c>
      <c r="H25" s="45"/>
      <c r="I25" s="36">
        <f t="shared" si="1"/>
        <v>474786.04978799995</v>
      </c>
      <c r="J25" s="36">
        <f t="shared" si="2"/>
        <v>474786.04978799995</v>
      </c>
      <c r="K25" s="36">
        <f t="shared" si="1"/>
        <v>197179.46777399993</v>
      </c>
      <c r="L25"/>
      <c r="M25" s="36"/>
      <c r="N25" s="5">
        <f t="shared" si="3"/>
        <v>1302.2520504000001</v>
      </c>
      <c r="O25" s="5">
        <f t="shared" si="4"/>
        <v>1302.2520504000001</v>
      </c>
      <c r="P25" s="5">
        <f t="shared" si="5"/>
        <v>540.8275292000001</v>
      </c>
      <c r="Q25"/>
      <c r="R25" s="36"/>
      <c r="S25" s="5">
        <f t="shared" si="6"/>
        <v>67137.3545208</v>
      </c>
      <c r="T25" s="5">
        <f t="shared" si="7"/>
        <v>67137.3545208</v>
      </c>
      <c r="U25" s="5">
        <f t="shared" si="8"/>
        <v>27882.2594684</v>
      </c>
      <c r="V25"/>
      <c r="W25" s="36"/>
      <c r="X25" s="5">
        <f t="shared" si="9"/>
        <v>184142.9233428</v>
      </c>
      <c r="Y25" s="5">
        <f t="shared" si="10"/>
        <v>184142.9233428</v>
      </c>
      <c r="Z25" s="5">
        <f t="shared" si="11"/>
        <v>76474.87459939999</v>
      </c>
      <c r="AA25"/>
      <c r="AB25" s="36"/>
      <c r="AC25" s="5">
        <f t="shared" si="12"/>
        <v>54262.606385399995</v>
      </c>
      <c r="AD25" s="5">
        <f t="shared" si="13"/>
        <v>54262.606385399995</v>
      </c>
      <c r="AE25" s="5">
        <f t="shared" si="14"/>
        <v>22535.3542967</v>
      </c>
      <c r="AF25"/>
      <c r="AG25" s="36"/>
      <c r="AH25" s="5">
        <f t="shared" si="15"/>
        <v>204.84574199999997</v>
      </c>
      <c r="AI25" s="5">
        <f t="shared" si="16"/>
        <v>204.84574199999997</v>
      </c>
      <c r="AJ25" s="5">
        <f t="shared" si="17"/>
        <v>85.072791</v>
      </c>
      <c r="AK25"/>
      <c r="AL25" s="36"/>
      <c r="AM25" s="5">
        <f t="shared" si="18"/>
        <v>4503.1278114</v>
      </c>
      <c r="AN25" s="5">
        <f t="shared" si="19"/>
        <v>4503.1278114</v>
      </c>
      <c r="AO25" s="5">
        <f t="shared" si="20"/>
        <v>1870.1567696999998</v>
      </c>
      <c r="AP25"/>
      <c r="AQ25" s="36"/>
      <c r="AR25" s="5">
        <f t="shared" si="21"/>
        <v>10031.9015046</v>
      </c>
      <c r="AS25" s="5">
        <f t="shared" si="22"/>
        <v>10031.9015046</v>
      </c>
      <c r="AT25" s="5">
        <f t="shared" si="23"/>
        <v>4166.2660483</v>
      </c>
      <c r="AU25"/>
      <c r="AV25" s="36"/>
      <c r="AW25" s="5">
        <f t="shared" si="24"/>
        <v>21557.3732526</v>
      </c>
      <c r="AX25" s="5">
        <f t="shared" si="25"/>
        <v>21557.3732526</v>
      </c>
      <c r="AY25" s="5">
        <f t="shared" si="26"/>
        <v>8952.8144023</v>
      </c>
      <c r="AZ25"/>
      <c r="BA25" s="36"/>
      <c r="BB25" s="5">
        <f t="shared" si="27"/>
        <v>681.4019682</v>
      </c>
      <c r="BC25" s="5">
        <f t="shared" si="28"/>
        <v>681.4019682</v>
      </c>
      <c r="BD25" s="5">
        <f t="shared" si="29"/>
        <v>282.9874161</v>
      </c>
      <c r="BF25" s="36"/>
      <c r="BG25" s="5">
        <f t="shared" si="30"/>
        <v>2081.6965404</v>
      </c>
      <c r="BH25" s="5">
        <f t="shared" si="31"/>
        <v>2081.6965404</v>
      </c>
      <c r="BI25" s="5">
        <f t="shared" si="32"/>
        <v>864.5321742</v>
      </c>
      <c r="BJ25"/>
      <c r="BK25" s="36"/>
      <c r="BL25" s="5">
        <f t="shared" si="33"/>
        <v>10293.047617200002</v>
      </c>
      <c r="BM25" s="5">
        <f t="shared" si="34"/>
        <v>10293.047617200002</v>
      </c>
      <c r="BN25" s="5">
        <f t="shared" si="35"/>
        <v>4274.7204806</v>
      </c>
      <c r="BO25"/>
      <c r="BP25" s="36"/>
      <c r="BQ25" s="5">
        <f t="shared" si="36"/>
        <v>2271.339894</v>
      </c>
      <c r="BR25" s="5">
        <f t="shared" si="37"/>
        <v>2271.339894</v>
      </c>
      <c r="BS25" s="5">
        <f t="shared" si="38"/>
        <v>943.291387</v>
      </c>
      <c r="BT25"/>
      <c r="BU25" s="36"/>
      <c r="BV25" s="5">
        <f t="shared" si="39"/>
        <v>86.57631359999999</v>
      </c>
      <c r="BW25" s="5">
        <f t="shared" si="40"/>
        <v>86.57631359999999</v>
      </c>
      <c r="BX25" s="5">
        <f t="shared" si="41"/>
        <v>35.955292799999995</v>
      </c>
      <c r="BY25"/>
      <c r="BZ25" s="36"/>
      <c r="CA25" s="5">
        <f t="shared" si="42"/>
        <v>485.703426</v>
      </c>
      <c r="CB25" s="5">
        <f t="shared" si="43"/>
        <v>485.703426</v>
      </c>
      <c r="CC25" s="5">
        <f t="shared" si="44"/>
        <v>201.713473</v>
      </c>
      <c r="CD25"/>
      <c r="CE25" s="36"/>
      <c r="CF25" s="5">
        <f t="shared" si="45"/>
        <v>5038.8187517999995</v>
      </c>
      <c r="CG25" s="36">
        <f t="shared" si="46"/>
        <v>5038.8187517999995</v>
      </c>
      <c r="CH25" s="5">
        <f t="shared" si="47"/>
        <v>2092.6301439</v>
      </c>
      <c r="CI25"/>
      <c r="CJ25" s="36"/>
      <c r="CK25" s="5">
        <f t="shared" si="48"/>
        <v>6831.0257436</v>
      </c>
      <c r="CL25" s="36">
        <f t="shared" si="49"/>
        <v>6831.0257436</v>
      </c>
      <c r="CM25" s="5">
        <f t="shared" si="50"/>
        <v>2836.9368077999998</v>
      </c>
      <c r="CO25" s="36"/>
      <c r="CP25" s="5">
        <f t="shared" si="51"/>
        <v>4503.385479</v>
      </c>
      <c r="CQ25" s="36">
        <f t="shared" si="52"/>
        <v>4503.385479</v>
      </c>
      <c r="CR25" s="5">
        <f t="shared" si="53"/>
        <v>1870.2637795</v>
      </c>
      <c r="CT25" s="36"/>
      <c r="CU25" s="5">
        <f t="shared" si="54"/>
        <v>77642.2049052</v>
      </c>
      <c r="CV25" s="5">
        <f t="shared" si="55"/>
        <v>77642.2049052</v>
      </c>
      <c r="CW25" s="5">
        <f t="shared" si="56"/>
        <v>32244.942004599998</v>
      </c>
      <c r="CY25" s="36"/>
      <c r="CZ25" s="5">
        <f t="shared" si="57"/>
        <v>17999.2413642</v>
      </c>
      <c r="DA25" s="5">
        <f t="shared" si="58"/>
        <v>17999.2413642</v>
      </c>
      <c r="DB25" s="5">
        <f t="shared" si="59"/>
        <v>7475.116074099999</v>
      </c>
      <c r="DD25" s="36"/>
      <c r="DE25" s="5">
        <f t="shared" si="60"/>
        <v>3729.2231748000004</v>
      </c>
      <c r="DF25" s="5">
        <f t="shared" si="61"/>
        <v>3729.2231748000004</v>
      </c>
      <c r="DG25" s="5">
        <f t="shared" si="62"/>
        <v>1548.7528354</v>
      </c>
    </row>
    <row r="26" spans="1:111" ht="12.75">
      <c r="A26" s="37">
        <v>47209</v>
      </c>
      <c r="C26" s="3">
        <v>7820000</v>
      </c>
      <c r="D26" s="3">
        <v>1288338</v>
      </c>
      <c r="E26" s="35">
        <f t="shared" si="0"/>
        <v>9108338</v>
      </c>
      <c r="F26" s="35">
        <v>535049</v>
      </c>
      <c r="H26" s="45">
        <f t="shared" si="63"/>
        <v>2881873.32</v>
      </c>
      <c r="I26" s="36">
        <f t="shared" si="1"/>
        <v>474786.04978799995</v>
      </c>
      <c r="J26" s="36">
        <f t="shared" si="2"/>
        <v>3356659.369788</v>
      </c>
      <c r="K26" s="36">
        <f t="shared" si="1"/>
        <v>197179.46777399993</v>
      </c>
      <c r="L26"/>
      <c r="M26" s="36">
        <f t="shared" si="64"/>
        <v>7904.456</v>
      </c>
      <c r="N26" s="5">
        <f t="shared" si="3"/>
        <v>1302.2520504000001</v>
      </c>
      <c r="O26" s="5">
        <f t="shared" si="4"/>
        <v>9206.7080504</v>
      </c>
      <c r="P26" s="5">
        <f t="shared" si="5"/>
        <v>540.8275292000001</v>
      </c>
      <c r="Q26"/>
      <c r="R26" s="36">
        <f t="shared" si="65"/>
        <v>407512.712</v>
      </c>
      <c r="S26" s="5">
        <f t="shared" si="6"/>
        <v>67137.3545208</v>
      </c>
      <c r="T26" s="5">
        <f t="shared" si="7"/>
        <v>474650.0665208</v>
      </c>
      <c r="U26" s="5">
        <f t="shared" si="8"/>
        <v>27882.2594684</v>
      </c>
      <c r="V26"/>
      <c r="W26" s="36">
        <f t="shared" si="66"/>
        <v>1117717.292</v>
      </c>
      <c r="X26" s="5">
        <f t="shared" si="9"/>
        <v>184142.9233428</v>
      </c>
      <c r="Y26" s="5">
        <f t="shared" si="10"/>
        <v>1301860.2153428</v>
      </c>
      <c r="Z26" s="5">
        <f t="shared" si="11"/>
        <v>76474.87459939999</v>
      </c>
      <c r="AA26"/>
      <c r="AB26" s="36">
        <f t="shared" si="67"/>
        <v>329365.10599999997</v>
      </c>
      <c r="AC26" s="5">
        <f t="shared" si="12"/>
        <v>54262.606385399995</v>
      </c>
      <c r="AD26" s="5">
        <f t="shared" si="13"/>
        <v>383627.71238539997</v>
      </c>
      <c r="AE26" s="5">
        <f t="shared" si="14"/>
        <v>22535.3542967</v>
      </c>
      <c r="AF26"/>
      <c r="AG26" s="36">
        <f t="shared" si="68"/>
        <v>1243.3799999999999</v>
      </c>
      <c r="AH26" s="5">
        <f t="shared" si="15"/>
        <v>204.84574199999997</v>
      </c>
      <c r="AI26" s="5">
        <f t="shared" si="16"/>
        <v>1448.2257419999999</v>
      </c>
      <c r="AJ26" s="5">
        <f t="shared" si="17"/>
        <v>85.072791</v>
      </c>
      <c r="AK26"/>
      <c r="AL26" s="36">
        <f t="shared" si="69"/>
        <v>27333.246</v>
      </c>
      <c r="AM26" s="5">
        <f t="shared" si="18"/>
        <v>4503.1278114</v>
      </c>
      <c r="AN26" s="5">
        <f t="shared" si="19"/>
        <v>31836.3738114</v>
      </c>
      <c r="AO26" s="5">
        <f t="shared" si="20"/>
        <v>1870.1567696999998</v>
      </c>
      <c r="AP26"/>
      <c r="AQ26" s="36">
        <f t="shared" si="70"/>
        <v>60891.994</v>
      </c>
      <c r="AR26" s="5">
        <f t="shared" si="21"/>
        <v>10031.9015046</v>
      </c>
      <c r="AS26" s="5">
        <f t="shared" si="22"/>
        <v>70923.8955046</v>
      </c>
      <c r="AT26" s="5">
        <f t="shared" si="23"/>
        <v>4166.2660483</v>
      </c>
      <c r="AU26"/>
      <c r="AV26" s="36">
        <f t="shared" si="71"/>
        <v>130849.71399999999</v>
      </c>
      <c r="AW26" s="5">
        <f t="shared" si="24"/>
        <v>21557.3732526</v>
      </c>
      <c r="AX26" s="5">
        <f t="shared" si="25"/>
        <v>152407.0872526</v>
      </c>
      <c r="AY26" s="5">
        <f t="shared" si="26"/>
        <v>8952.8144023</v>
      </c>
      <c r="AZ26"/>
      <c r="BA26" s="36">
        <f t="shared" si="72"/>
        <v>4135.9980000000005</v>
      </c>
      <c r="BB26" s="5">
        <f t="shared" si="27"/>
        <v>681.4019682</v>
      </c>
      <c r="BC26" s="5">
        <f t="shared" si="28"/>
        <v>4817.3999682</v>
      </c>
      <c r="BD26" s="5">
        <f t="shared" si="29"/>
        <v>282.9874161</v>
      </c>
      <c r="BF26" s="36">
        <f t="shared" si="73"/>
        <v>12635.555999999999</v>
      </c>
      <c r="BG26" s="5">
        <f t="shared" si="30"/>
        <v>2081.6965404</v>
      </c>
      <c r="BH26" s="5">
        <f t="shared" si="31"/>
        <v>14717.252540399999</v>
      </c>
      <c r="BI26" s="5">
        <f t="shared" si="32"/>
        <v>864.5321742</v>
      </c>
      <c r="BJ26"/>
      <c r="BK26" s="36">
        <f t="shared" si="74"/>
        <v>62477.10800000001</v>
      </c>
      <c r="BL26" s="5">
        <f t="shared" si="33"/>
        <v>10293.047617200002</v>
      </c>
      <c r="BM26" s="5">
        <f t="shared" si="34"/>
        <v>72770.15561720001</v>
      </c>
      <c r="BN26" s="5">
        <f t="shared" si="35"/>
        <v>4274.7204806</v>
      </c>
      <c r="BO26"/>
      <c r="BP26" s="36">
        <f t="shared" si="75"/>
        <v>13786.66</v>
      </c>
      <c r="BQ26" s="5">
        <f t="shared" si="36"/>
        <v>2271.339894</v>
      </c>
      <c r="BR26" s="5">
        <f t="shared" si="37"/>
        <v>16057.999894</v>
      </c>
      <c r="BS26" s="5">
        <f t="shared" si="38"/>
        <v>943.291387</v>
      </c>
      <c r="BT26"/>
      <c r="BU26" s="36">
        <f t="shared" si="76"/>
        <v>525.5039999999999</v>
      </c>
      <c r="BV26" s="5">
        <f t="shared" si="39"/>
        <v>86.57631359999999</v>
      </c>
      <c r="BW26" s="5">
        <f t="shared" si="40"/>
        <v>612.0803136</v>
      </c>
      <c r="BX26" s="5">
        <f t="shared" si="41"/>
        <v>35.955292799999995</v>
      </c>
      <c r="BY26"/>
      <c r="BZ26" s="36">
        <f t="shared" si="77"/>
        <v>2948.14</v>
      </c>
      <c r="CA26" s="5">
        <f t="shared" si="42"/>
        <v>485.703426</v>
      </c>
      <c r="CB26" s="5">
        <f t="shared" si="43"/>
        <v>3433.843426</v>
      </c>
      <c r="CC26" s="5">
        <f t="shared" si="44"/>
        <v>201.713473</v>
      </c>
      <c r="CD26"/>
      <c r="CE26" s="36">
        <f t="shared" si="78"/>
        <v>30584.802</v>
      </c>
      <c r="CF26" s="5">
        <f t="shared" si="45"/>
        <v>5038.8187517999995</v>
      </c>
      <c r="CG26" s="36">
        <f t="shared" si="46"/>
        <v>35623.6207518</v>
      </c>
      <c r="CH26" s="5">
        <f t="shared" si="47"/>
        <v>2092.6301439</v>
      </c>
      <c r="CI26"/>
      <c r="CJ26" s="36">
        <f t="shared" si="79"/>
        <v>41463.204</v>
      </c>
      <c r="CK26" s="5">
        <f t="shared" si="48"/>
        <v>6831.0257436</v>
      </c>
      <c r="CL26" s="36">
        <f t="shared" si="49"/>
        <v>48294.2297436</v>
      </c>
      <c r="CM26" s="5">
        <f t="shared" si="50"/>
        <v>2836.9368077999998</v>
      </c>
      <c r="CO26" s="36">
        <f t="shared" si="80"/>
        <v>27334.809999999998</v>
      </c>
      <c r="CP26" s="5">
        <f t="shared" si="51"/>
        <v>4503.385479</v>
      </c>
      <c r="CQ26" s="36">
        <f t="shared" si="52"/>
        <v>31838.195478999998</v>
      </c>
      <c r="CR26" s="5">
        <f t="shared" si="53"/>
        <v>1870.2637795</v>
      </c>
      <c r="CT26" s="36">
        <f t="shared" si="81"/>
        <v>471275.42799999996</v>
      </c>
      <c r="CU26" s="5">
        <f t="shared" si="54"/>
        <v>77642.2049052</v>
      </c>
      <c r="CV26" s="5">
        <f t="shared" si="55"/>
        <v>548917.6329051999</v>
      </c>
      <c r="CW26" s="5">
        <f t="shared" si="56"/>
        <v>32244.942004599998</v>
      </c>
      <c r="CY26" s="36">
        <f t="shared" si="82"/>
        <v>109252.438</v>
      </c>
      <c r="CZ26" s="5">
        <f t="shared" si="57"/>
        <v>17999.2413642</v>
      </c>
      <c r="DA26" s="5">
        <f t="shared" si="58"/>
        <v>127251.6793642</v>
      </c>
      <c r="DB26" s="5">
        <f t="shared" si="59"/>
        <v>7475.116074099999</v>
      </c>
      <c r="DD26" s="36">
        <f t="shared" si="83"/>
        <v>22635.772</v>
      </c>
      <c r="DE26" s="5">
        <f t="shared" si="60"/>
        <v>3729.2231748000004</v>
      </c>
      <c r="DF26" s="5">
        <f t="shared" si="61"/>
        <v>26364.995174800002</v>
      </c>
      <c r="DG26" s="5">
        <f t="shared" si="62"/>
        <v>1548.7528354</v>
      </c>
    </row>
    <row r="27" spans="1:111" ht="12.75">
      <c r="A27" s="37">
        <v>47392</v>
      </c>
      <c r="D27" s="3">
        <v>1151488</v>
      </c>
      <c r="E27" s="35">
        <f t="shared" si="0"/>
        <v>1151488</v>
      </c>
      <c r="F27" s="35">
        <v>535049</v>
      </c>
      <c r="H27" s="45"/>
      <c r="I27" s="36">
        <f t="shared" si="1"/>
        <v>424353.26668800006</v>
      </c>
      <c r="J27" s="36">
        <f t="shared" si="2"/>
        <v>424353.26668800006</v>
      </c>
      <c r="K27" s="36">
        <f t="shared" si="1"/>
        <v>197179.46777399993</v>
      </c>
      <c r="L27"/>
      <c r="M27" s="36"/>
      <c r="N27" s="5">
        <f t="shared" si="3"/>
        <v>1163.9240704000001</v>
      </c>
      <c r="O27" s="5">
        <f t="shared" si="4"/>
        <v>1163.9240704000001</v>
      </c>
      <c r="P27" s="5">
        <f t="shared" si="5"/>
        <v>540.8275292000001</v>
      </c>
      <c r="Q27"/>
      <c r="R27" s="36"/>
      <c r="S27" s="5">
        <f t="shared" si="6"/>
        <v>60005.8820608</v>
      </c>
      <c r="T27" s="5">
        <f t="shared" si="7"/>
        <v>60005.8820608</v>
      </c>
      <c r="U27" s="5">
        <f t="shared" si="8"/>
        <v>27882.2594684</v>
      </c>
      <c r="V27"/>
      <c r="W27" s="36"/>
      <c r="X27" s="5">
        <f t="shared" si="9"/>
        <v>164582.8707328</v>
      </c>
      <c r="Y27" s="5">
        <f t="shared" si="10"/>
        <v>164582.8707328</v>
      </c>
      <c r="Z27" s="5">
        <f t="shared" si="11"/>
        <v>76474.87459939999</v>
      </c>
      <c r="AA27"/>
      <c r="AB27" s="36"/>
      <c r="AC27" s="5">
        <f t="shared" si="12"/>
        <v>48498.717030399996</v>
      </c>
      <c r="AD27" s="5">
        <f t="shared" si="13"/>
        <v>48498.717030399996</v>
      </c>
      <c r="AE27" s="5">
        <f t="shared" si="14"/>
        <v>22535.3542967</v>
      </c>
      <c r="AF27"/>
      <c r="AG27" s="36"/>
      <c r="AH27" s="5">
        <f t="shared" si="15"/>
        <v>183.086592</v>
      </c>
      <c r="AI27" s="5">
        <f t="shared" si="16"/>
        <v>183.086592</v>
      </c>
      <c r="AJ27" s="5">
        <f t="shared" si="17"/>
        <v>85.072791</v>
      </c>
      <c r="AK27"/>
      <c r="AL27" s="36"/>
      <c r="AM27" s="5">
        <f t="shared" si="18"/>
        <v>4024.7960064</v>
      </c>
      <c r="AN27" s="5">
        <f t="shared" si="19"/>
        <v>4024.7960064</v>
      </c>
      <c r="AO27" s="5">
        <f t="shared" si="20"/>
        <v>1870.1567696999998</v>
      </c>
      <c r="AP27"/>
      <c r="AQ27" s="36"/>
      <c r="AR27" s="5">
        <f t="shared" si="21"/>
        <v>8966.291609599999</v>
      </c>
      <c r="AS27" s="5">
        <f t="shared" si="22"/>
        <v>8966.291609599999</v>
      </c>
      <c r="AT27" s="5">
        <f t="shared" si="23"/>
        <v>4166.2660483</v>
      </c>
      <c r="AU27"/>
      <c r="AV27" s="36"/>
      <c r="AW27" s="5">
        <f t="shared" si="24"/>
        <v>19267.5032576</v>
      </c>
      <c r="AX27" s="5">
        <f t="shared" si="25"/>
        <v>19267.5032576</v>
      </c>
      <c r="AY27" s="5">
        <f t="shared" si="26"/>
        <v>8952.8144023</v>
      </c>
      <c r="AZ27"/>
      <c r="BA27" s="36"/>
      <c r="BB27" s="5">
        <f t="shared" si="27"/>
        <v>609.0220032</v>
      </c>
      <c r="BC27" s="5">
        <f t="shared" si="28"/>
        <v>609.0220032</v>
      </c>
      <c r="BD27" s="5">
        <f t="shared" si="29"/>
        <v>282.9874161</v>
      </c>
      <c r="BF27" s="36"/>
      <c r="BG27" s="5">
        <f t="shared" si="30"/>
        <v>1860.5743103999998</v>
      </c>
      <c r="BH27" s="5">
        <f t="shared" si="31"/>
        <v>1860.5743103999998</v>
      </c>
      <c r="BI27" s="5">
        <f t="shared" si="32"/>
        <v>864.5321742</v>
      </c>
      <c r="BJ27"/>
      <c r="BK27" s="36"/>
      <c r="BL27" s="5">
        <f t="shared" si="33"/>
        <v>9199.6982272</v>
      </c>
      <c r="BM27" s="5">
        <f t="shared" si="34"/>
        <v>9199.6982272</v>
      </c>
      <c r="BN27" s="5">
        <f t="shared" si="35"/>
        <v>4274.7204806</v>
      </c>
      <c r="BO27"/>
      <c r="BP27" s="36"/>
      <c r="BQ27" s="5">
        <f t="shared" si="36"/>
        <v>2030.0733440000001</v>
      </c>
      <c r="BR27" s="5">
        <f t="shared" si="37"/>
        <v>2030.0733440000001</v>
      </c>
      <c r="BS27" s="5">
        <f t="shared" si="38"/>
        <v>943.291387</v>
      </c>
      <c r="BT27"/>
      <c r="BU27" s="36"/>
      <c r="BV27" s="5">
        <f t="shared" si="39"/>
        <v>77.37999359999999</v>
      </c>
      <c r="BW27" s="5">
        <f t="shared" si="40"/>
        <v>77.37999359999999</v>
      </c>
      <c r="BX27" s="5">
        <f t="shared" si="41"/>
        <v>35.955292799999995</v>
      </c>
      <c r="BY27"/>
      <c r="BZ27" s="36"/>
      <c r="CA27" s="5">
        <f t="shared" si="42"/>
        <v>434.110976</v>
      </c>
      <c r="CB27" s="5">
        <f t="shared" si="43"/>
        <v>434.110976</v>
      </c>
      <c r="CC27" s="5">
        <f t="shared" si="44"/>
        <v>201.713473</v>
      </c>
      <c r="CD27"/>
      <c r="CE27" s="36"/>
      <c r="CF27" s="5">
        <f t="shared" si="45"/>
        <v>4503.5847168</v>
      </c>
      <c r="CG27" s="36">
        <f t="shared" si="46"/>
        <v>4503.5847168</v>
      </c>
      <c r="CH27" s="5">
        <f t="shared" si="47"/>
        <v>2092.6301439</v>
      </c>
      <c r="CI27"/>
      <c r="CJ27" s="36"/>
      <c r="CK27" s="5">
        <f t="shared" si="48"/>
        <v>6105.4196736</v>
      </c>
      <c r="CL27" s="36">
        <f t="shared" si="49"/>
        <v>6105.4196736</v>
      </c>
      <c r="CM27" s="5">
        <f t="shared" si="50"/>
        <v>2836.9368077999998</v>
      </c>
      <c r="CO27" s="36"/>
      <c r="CP27" s="5">
        <f t="shared" si="51"/>
        <v>4025.026304</v>
      </c>
      <c r="CQ27" s="36">
        <f t="shared" si="52"/>
        <v>4025.026304</v>
      </c>
      <c r="CR27" s="5">
        <f t="shared" si="53"/>
        <v>1870.2637795</v>
      </c>
      <c r="CT27" s="36"/>
      <c r="CU27" s="5">
        <f t="shared" si="54"/>
        <v>69394.88491519999</v>
      </c>
      <c r="CV27" s="5">
        <f t="shared" si="55"/>
        <v>69394.88491519999</v>
      </c>
      <c r="CW27" s="5">
        <f t="shared" si="56"/>
        <v>32244.942004599998</v>
      </c>
      <c r="CY27" s="36"/>
      <c r="CZ27" s="5">
        <f t="shared" si="57"/>
        <v>16087.3236992</v>
      </c>
      <c r="DA27" s="5">
        <f t="shared" si="58"/>
        <v>16087.3236992</v>
      </c>
      <c r="DB27" s="5">
        <f t="shared" si="59"/>
        <v>7475.116074099999</v>
      </c>
      <c r="DD27" s="36"/>
      <c r="DE27" s="5">
        <f t="shared" si="60"/>
        <v>3333.0971648000004</v>
      </c>
      <c r="DF27" s="5">
        <f t="shared" si="61"/>
        <v>3333.0971648000004</v>
      </c>
      <c r="DG27" s="5">
        <f t="shared" si="62"/>
        <v>1548.7528354</v>
      </c>
    </row>
    <row r="28" spans="1:111" ht="12.75">
      <c r="A28" s="37">
        <v>11049</v>
      </c>
      <c r="C28" s="3">
        <v>8095000</v>
      </c>
      <c r="D28" s="3">
        <v>1151488</v>
      </c>
      <c r="E28" s="35">
        <f t="shared" si="0"/>
        <v>9246488</v>
      </c>
      <c r="F28" s="35">
        <v>535049</v>
      </c>
      <c r="H28" s="45">
        <f t="shared" si="63"/>
        <v>2983217.9699999997</v>
      </c>
      <c r="I28" s="36">
        <f t="shared" si="1"/>
        <v>424353.26668800006</v>
      </c>
      <c r="J28" s="36">
        <f t="shared" si="2"/>
        <v>3407571.2366879997</v>
      </c>
      <c r="K28" s="36">
        <f t="shared" si="1"/>
        <v>197179.46777399993</v>
      </c>
      <c r="L28"/>
      <c r="M28" s="36">
        <f t="shared" si="64"/>
        <v>8182.426</v>
      </c>
      <c r="N28" s="5">
        <f t="shared" si="3"/>
        <v>1163.9240704000001</v>
      </c>
      <c r="O28" s="5">
        <f t="shared" si="4"/>
        <v>9346.3500704</v>
      </c>
      <c r="P28" s="5">
        <f t="shared" si="5"/>
        <v>540.8275292000001</v>
      </c>
      <c r="Q28"/>
      <c r="R28" s="36">
        <f t="shared" si="65"/>
        <v>421843.402</v>
      </c>
      <c r="S28" s="5">
        <f t="shared" si="6"/>
        <v>60005.8820608</v>
      </c>
      <c r="T28" s="5">
        <f t="shared" si="7"/>
        <v>481849.2840608</v>
      </c>
      <c r="U28" s="5">
        <f t="shared" si="8"/>
        <v>27882.2594684</v>
      </c>
      <c r="V28"/>
      <c r="W28" s="36">
        <f t="shared" si="66"/>
        <v>1157023.207</v>
      </c>
      <c r="X28" s="5">
        <f t="shared" si="9"/>
        <v>164582.8707328</v>
      </c>
      <c r="Y28" s="5">
        <f t="shared" si="10"/>
        <v>1321606.0777328</v>
      </c>
      <c r="Z28" s="5">
        <f t="shared" si="11"/>
        <v>76474.87459939999</v>
      </c>
      <c r="AA28"/>
      <c r="AB28" s="36">
        <f t="shared" si="67"/>
        <v>340947.6385</v>
      </c>
      <c r="AC28" s="5">
        <f t="shared" si="12"/>
        <v>48498.717030399996</v>
      </c>
      <c r="AD28" s="5">
        <f t="shared" si="13"/>
        <v>389446.3555304</v>
      </c>
      <c r="AE28" s="5">
        <f t="shared" si="14"/>
        <v>22535.3542967</v>
      </c>
      <c r="AF28"/>
      <c r="AG28" s="36">
        <f t="shared" si="68"/>
        <v>1287.105</v>
      </c>
      <c r="AH28" s="5">
        <f t="shared" si="15"/>
        <v>183.086592</v>
      </c>
      <c r="AI28" s="5">
        <f t="shared" si="16"/>
        <v>1470.1915920000001</v>
      </c>
      <c r="AJ28" s="5">
        <f t="shared" si="17"/>
        <v>85.072791</v>
      </c>
      <c r="AK28"/>
      <c r="AL28" s="36">
        <f t="shared" si="69"/>
        <v>28294.4535</v>
      </c>
      <c r="AM28" s="5">
        <f t="shared" si="18"/>
        <v>4024.7960064</v>
      </c>
      <c r="AN28" s="5">
        <f t="shared" si="19"/>
        <v>32319.2495064</v>
      </c>
      <c r="AO28" s="5">
        <f t="shared" si="20"/>
        <v>1870.1567696999998</v>
      </c>
      <c r="AP28"/>
      <c r="AQ28" s="36">
        <f t="shared" si="70"/>
        <v>63033.3365</v>
      </c>
      <c r="AR28" s="5">
        <f t="shared" si="21"/>
        <v>8966.291609599999</v>
      </c>
      <c r="AS28" s="5">
        <f t="shared" si="22"/>
        <v>71999.6281096</v>
      </c>
      <c r="AT28" s="5">
        <f t="shared" si="23"/>
        <v>4166.2660483</v>
      </c>
      <c r="AU28"/>
      <c r="AV28" s="36">
        <f t="shared" si="71"/>
        <v>135451.2065</v>
      </c>
      <c r="AW28" s="5">
        <f t="shared" si="24"/>
        <v>19267.5032576</v>
      </c>
      <c r="AX28" s="5">
        <f t="shared" si="25"/>
        <v>154718.7097576</v>
      </c>
      <c r="AY28" s="5">
        <f t="shared" si="26"/>
        <v>8952.8144023</v>
      </c>
      <c r="AZ28"/>
      <c r="BA28" s="36">
        <f t="shared" si="72"/>
        <v>4281.4455</v>
      </c>
      <c r="BB28" s="5">
        <f t="shared" si="27"/>
        <v>609.0220032</v>
      </c>
      <c r="BC28" s="5">
        <f t="shared" si="28"/>
        <v>4890.4675032</v>
      </c>
      <c r="BD28" s="5">
        <f t="shared" si="29"/>
        <v>282.9874161</v>
      </c>
      <c r="BF28" s="36">
        <f t="shared" si="73"/>
        <v>13079.901</v>
      </c>
      <c r="BG28" s="5">
        <f t="shared" si="30"/>
        <v>1860.5743103999998</v>
      </c>
      <c r="BH28" s="5">
        <f t="shared" si="31"/>
        <v>14940.4753104</v>
      </c>
      <c r="BI28" s="5">
        <f t="shared" si="32"/>
        <v>864.5321742</v>
      </c>
      <c r="BJ28"/>
      <c r="BK28" s="36">
        <f t="shared" si="74"/>
        <v>64674.19300000001</v>
      </c>
      <c r="BL28" s="5">
        <f t="shared" si="33"/>
        <v>9199.6982272</v>
      </c>
      <c r="BM28" s="5">
        <f t="shared" si="34"/>
        <v>73873.8912272</v>
      </c>
      <c r="BN28" s="5">
        <f t="shared" si="35"/>
        <v>4274.7204806</v>
      </c>
      <c r="BO28"/>
      <c r="BP28" s="36">
        <f t="shared" si="75"/>
        <v>14271.485</v>
      </c>
      <c r="BQ28" s="5">
        <f t="shared" si="36"/>
        <v>2030.0733440000001</v>
      </c>
      <c r="BR28" s="5">
        <f t="shared" si="37"/>
        <v>16301.558344000001</v>
      </c>
      <c r="BS28" s="5">
        <f t="shared" si="38"/>
        <v>943.291387</v>
      </c>
      <c r="BT28"/>
      <c r="BU28" s="36">
        <f t="shared" si="76"/>
        <v>543.9839999999999</v>
      </c>
      <c r="BV28" s="5">
        <f t="shared" si="39"/>
        <v>77.37999359999999</v>
      </c>
      <c r="BW28" s="5">
        <f t="shared" si="40"/>
        <v>621.3639936</v>
      </c>
      <c r="BX28" s="5">
        <f t="shared" si="41"/>
        <v>35.955292799999995</v>
      </c>
      <c r="BY28"/>
      <c r="BZ28" s="36">
        <f t="shared" si="77"/>
        <v>3051.815</v>
      </c>
      <c r="CA28" s="5">
        <f t="shared" si="42"/>
        <v>434.110976</v>
      </c>
      <c r="CB28" s="5">
        <f t="shared" si="43"/>
        <v>3485.925976</v>
      </c>
      <c r="CC28" s="5">
        <f t="shared" si="44"/>
        <v>201.713473</v>
      </c>
      <c r="CD28"/>
      <c r="CE28" s="36">
        <f t="shared" si="78"/>
        <v>31660.354499999998</v>
      </c>
      <c r="CF28" s="5">
        <f t="shared" si="45"/>
        <v>4503.5847168</v>
      </c>
      <c r="CG28" s="36">
        <f t="shared" si="46"/>
        <v>36163.9392168</v>
      </c>
      <c r="CH28" s="5">
        <f t="shared" si="47"/>
        <v>2092.6301439</v>
      </c>
      <c r="CI28"/>
      <c r="CJ28" s="36">
        <f t="shared" si="79"/>
        <v>42921.309</v>
      </c>
      <c r="CK28" s="5">
        <f t="shared" si="48"/>
        <v>6105.4196736</v>
      </c>
      <c r="CL28" s="36">
        <f t="shared" si="49"/>
        <v>49026.7286736</v>
      </c>
      <c r="CM28" s="5">
        <f t="shared" si="50"/>
        <v>2836.9368077999998</v>
      </c>
      <c r="CO28" s="36">
        <f t="shared" si="80"/>
        <v>28296.0725</v>
      </c>
      <c r="CP28" s="5">
        <f t="shared" si="51"/>
        <v>4025.026304</v>
      </c>
      <c r="CQ28" s="36">
        <f t="shared" si="52"/>
        <v>32321.098803999997</v>
      </c>
      <c r="CR28" s="5">
        <f t="shared" si="53"/>
        <v>1870.2637795</v>
      </c>
      <c r="CT28" s="36">
        <f t="shared" si="81"/>
        <v>487848.413</v>
      </c>
      <c r="CU28" s="5">
        <f t="shared" si="54"/>
        <v>69394.88491519999</v>
      </c>
      <c r="CV28" s="5">
        <f t="shared" si="55"/>
        <v>557243.2979152</v>
      </c>
      <c r="CW28" s="5">
        <f t="shared" si="56"/>
        <v>32244.942004599998</v>
      </c>
      <c r="CY28" s="36">
        <f t="shared" si="82"/>
        <v>113094.43549999999</v>
      </c>
      <c r="CZ28" s="5">
        <f t="shared" si="57"/>
        <v>16087.3236992</v>
      </c>
      <c r="DA28" s="5">
        <f t="shared" si="58"/>
        <v>129181.7591992</v>
      </c>
      <c r="DB28" s="5">
        <f t="shared" si="59"/>
        <v>7475.116074099999</v>
      </c>
      <c r="DD28" s="36">
        <f t="shared" si="83"/>
        <v>23431.787</v>
      </c>
      <c r="DE28" s="5">
        <f t="shared" si="60"/>
        <v>3333.0971648000004</v>
      </c>
      <c r="DF28" s="5">
        <f t="shared" si="61"/>
        <v>26764.8841648</v>
      </c>
      <c r="DG28" s="5">
        <f t="shared" si="62"/>
        <v>1548.7528354</v>
      </c>
    </row>
    <row r="29" spans="1:111" ht="12.75">
      <c r="A29" s="37">
        <v>11232</v>
      </c>
      <c r="D29" s="3">
        <v>1009825</v>
      </c>
      <c r="E29" s="35">
        <f t="shared" si="0"/>
        <v>1009825</v>
      </c>
      <c r="F29" s="35">
        <v>535049</v>
      </c>
      <c r="H29" s="45"/>
      <c r="I29" s="36">
        <f t="shared" si="1"/>
        <v>372146.76795</v>
      </c>
      <c r="J29" s="36">
        <f t="shared" si="2"/>
        <v>372146.76795</v>
      </c>
      <c r="K29" s="36">
        <f t="shared" si="1"/>
        <v>197179.46777399993</v>
      </c>
      <c r="L29"/>
      <c r="M29" s="36"/>
      <c r="N29" s="5">
        <f t="shared" si="3"/>
        <v>1020.7311100000001</v>
      </c>
      <c r="O29" s="5">
        <f t="shared" si="4"/>
        <v>1020.7311100000001</v>
      </c>
      <c r="P29" s="5">
        <f t="shared" si="5"/>
        <v>540.8275292000001</v>
      </c>
      <c r="Q29"/>
      <c r="R29" s="36"/>
      <c r="S29" s="5">
        <f t="shared" si="6"/>
        <v>52623.596470000004</v>
      </c>
      <c r="T29" s="5">
        <f t="shared" si="7"/>
        <v>52623.596470000004</v>
      </c>
      <c r="U29" s="5">
        <f t="shared" si="8"/>
        <v>27882.2594684</v>
      </c>
      <c r="V29"/>
      <c r="W29" s="36"/>
      <c r="X29" s="5">
        <f t="shared" si="9"/>
        <v>144334.89314499998</v>
      </c>
      <c r="Y29" s="5">
        <f t="shared" si="10"/>
        <v>144334.89314499998</v>
      </c>
      <c r="Z29" s="5">
        <f t="shared" si="11"/>
        <v>76474.87459939999</v>
      </c>
      <c r="AA29"/>
      <c r="AB29" s="36"/>
      <c r="AC29" s="5">
        <f t="shared" si="12"/>
        <v>42532.112297499996</v>
      </c>
      <c r="AD29" s="5">
        <f t="shared" si="13"/>
        <v>42532.112297499996</v>
      </c>
      <c r="AE29" s="5">
        <f t="shared" si="14"/>
        <v>22535.3542967</v>
      </c>
      <c r="AF29"/>
      <c r="AG29" s="36"/>
      <c r="AH29" s="5">
        <f t="shared" si="15"/>
        <v>160.562175</v>
      </c>
      <c r="AI29" s="5">
        <f t="shared" si="16"/>
        <v>160.562175</v>
      </c>
      <c r="AJ29" s="5">
        <f t="shared" si="17"/>
        <v>85.072791</v>
      </c>
      <c r="AK29"/>
      <c r="AL29" s="36"/>
      <c r="AM29" s="5">
        <f t="shared" si="18"/>
        <v>3529.6413224999997</v>
      </c>
      <c r="AN29" s="5">
        <f t="shared" si="19"/>
        <v>3529.6413224999997</v>
      </c>
      <c r="AO29" s="5">
        <f t="shared" si="20"/>
        <v>1870.1567696999998</v>
      </c>
      <c r="AP29"/>
      <c r="AQ29" s="36"/>
      <c r="AR29" s="5">
        <f t="shared" si="21"/>
        <v>7863.2043275</v>
      </c>
      <c r="AS29" s="5">
        <f t="shared" si="22"/>
        <v>7863.2043275</v>
      </c>
      <c r="AT29" s="5">
        <f t="shared" si="23"/>
        <v>4166.2660483</v>
      </c>
      <c r="AU29"/>
      <c r="AV29" s="36"/>
      <c r="AW29" s="5">
        <f t="shared" si="24"/>
        <v>16897.0987775</v>
      </c>
      <c r="AX29" s="5">
        <f t="shared" si="25"/>
        <v>16897.0987775</v>
      </c>
      <c r="AY29" s="5">
        <f t="shared" si="26"/>
        <v>8952.8144023</v>
      </c>
      <c r="AZ29"/>
      <c r="BA29" s="36"/>
      <c r="BB29" s="5">
        <f t="shared" si="27"/>
        <v>534.0964425</v>
      </c>
      <c r="BC29" s="5">
        <f t="shared" si="28"/>
        <v>534.0964425</v>
      </c>
      <c r="BD29" s="5">
        <f t="shared" si="29"/>
        <v>282.9874161</v>
      </c>
      <c r="BF29" s="36"/>
      <c r="BG29" s="5">
        <f t="shared" si="30"/>
        <v>1631.675235</v>
      </c>
      <c r="BH29" s="5">
        <f t="shared" si="31"/>
        <v>1631.675235</v>
      </c>
      <c r="BI29" s="5">
        <f t="shared" si="32"/>
        <v>864.5321742</v>
      </c>
      <c r="BJ29"/>
      <c r="BK29" s="36"/>
      <c r="BL29" s="5">
        <f t="shared" si="33"/>
        <v>8067.895855000001</v>
      </c>
      <c r="BM29" s="5">
        <f t="shared" si="34"/>
        <v>8067.895855000001</v>
      </c>
      <c r="BN29" s="5">
        <f t="shared" si="35"/>
        <v>4274.7204806</v>
      </c>
      <c r="BO29"/>
      <c r="BP29" s="36"/>
      <c r="BQ29" s="5">
        <f t="shared" si="36"/>
        <v>1780.321475</v>
      </c>
      <c r="BR29" s="5">
        <f t="shared" si="37"/>
        <v>1780.321475</v>
      </c>
      <c r="BS29" s="5">
        <f t="shared" si="38"/>
        <v>943.291387</v>
      </c>
      <c r="BT29"/>
      <c r="BU29" s="36"/>
      <c r="BV29" s="5">
        <f t="shared" si="39"/>
        <v>67.86023999999999</v>
      </c>
      <c r="BW29" s="5">
        <f t="shared" si="40"/>
        <v>67.86023999999999</v>
      </c>
      <c r="BX29" s="5">
        <f t="shared" si="41"/>
        <v>35.955292799999995</v>
      </c>
      <c r="BY29"/>
      <c r="BZ29" s="36"/>
      <c r="CA29" s="5">
        <f t="shared" si="42"/>
        <v>380.704025</v>
      </c>
      <c r="CB29" s="5">
        <f t="shared" si="43"/>
        <v>380.704025</v>
      </c>
      <c r="CC29" s="5">
        <f t="shared" si="44"/>
        <v>201.713473</v>
      </c>
      <c r="CD29"/>
      <c r="CE29" s="36"/>
      <c r="CF29" s="5">
        <f t="shared" si="45"/>
        <v>3949.5265575</v>
      </c>
      <c r="CG29" s="36">
        <f t="shared" si="46"/>
        <v>3949.5265575</v>
      </c>
      <c r="CH29" s="5">
        <f t="shared" si="47"/>
        <v>2092.6301439</v>
      </c>
      <c r="CI29"/>
      <c r="CJ29" s="36"/>
      <c r="CK29" s="5">
        <f t="shared" si="48"/>
        <v>5354.294115</v>
      </c>
      <c r="CL29" s="36">
        <f t="shared" si="49"/>
        <v>5354.294115</v>
      </c>
      <c r="CM29" s="5">
        <f t="shared" si="50"/>
        <v>2836.9368077999998</v>
      </c>
      <c r="CO29" s="36"/>
      <c r="CP29" s="5">
        <f t="shared" si="51"/>
        <v>3529.8432875</v>
      </c>
      <c r="CQ29" s="36">
        <f t="shared" si="52"/>
        <v>3529.8432875</v>
      </c>
      <c r="CR29" s="5">
        <f t="shared" si="53"/>
        <v>1870.2637795</v>
      </c>
      <c r="CT29" s="36"/>
      <c r="CU29" s="5">
        <f t="shared" si="54"/>
        <v>60857.507555</v>
      </c>
      <c r="CV29" s="5">
        <f t="shared" si="55"/>
        <v>60857.507555</v>
      </c>
      <c r="CW29" s="5">
        <f t="shared" si="56"/>
        <v>32244.942004599998</v>
      </c>
      <c r="CY29" s="36"/>
      <c r="CZ29" s="5">
        <f t="shared" si="57"/>
        <v>14108.1640925</v>
      </c>
      <c r="DA29" s="5">
        <f t="shared" si="58"/>
        <v>14108.1640925</v>
      </c>
      <c r="DB29" s="5">
        <f t="shared" si="59"/>
        <v>7475.116074099999</v>
      </c>
      <c r="DD29" s="36"/>
      <c r="DE29" s="5">
        <f t="shared" si="60"/>
        <v>2923.0394450000003</v>
      </c>
      <c r="DF29" s="5">
        <f t="shared" si="61"/>
        <v>2923.0394450000003</v>
      </c>
      <c r="DG29" s="5">
        <f t="shared" si="62"/>
        <v>1548.7528354</v>
      </c>
    </row>
    <row r="30" spans="1:111" ht="12.75">
      <c r="A30" s="37">
        <v>11414</v>
      </c>
      <c r="C30" s="3">
        <v>8375000</v>
      </c>
      <c r="D30" s="3">
        <v>1009825</v>
      </c>
      <c r="E30" s="35">
        <f t="shared" si="0"/>
        <v>9384825</v>
      </c>
      <c r="F30" s="35">
        <v>535049</v>
      </c>
      <c r="H30" s="45">
        <f t="shared" si="63"/>
        <v>3086405.25</v>
      </c>
      <c r="I30" s="36">
        <f t="shared" si="1"/>
        <v>372146.76795</v>
      </c>
      <c r="J30" s="36">
        <f t="shared" si="2"/>
        <v>3458552.0179500002</v>
      </c>
      <c r="K30" s="36">
        <f t="shared" si="1"/>
        <v>197179.46777399993</v>
      </c>
      <c r="L30"/>
      <c r="M30" s="36">
        <f t="shared" si="64"/>
        <v>8465.45</v>
      </c>
      <c r="N30" s="5">
        <f t="shared" si="3"/>
        <v>1020.7311100000001</v>
      </c>
      <c r="O30" s="5">
        <f t="shared" si="4"/>
        <v>9486.181110000001</v>
      </c>
      <c r="P30" s="5">
        <f t="shared" si="5"/>
        <v>540.8275292000001</v>
      </c>
      <c r="Q30"/>
      <c r="R30" s="36">
        <f t="shared" si="65"/>
        <v>436434.65</v>
      </c>
      <c r="S30" s="5">
        <f t="shared" si="6"/>
        <v>52623.596470000004</v>
      </c>
      <c r="T30" s="5">
        <f t="shared" si="7"/>
        <v>489058.24647</v>
      </c>
      <c r="U30" s="5">
        <f t="shared" si="8"/>
        <v>27882.2594684</v>
      </c>
      <c r="V30"/>
      <c r="W30" s="36">
        <f t="shared" si="66"/>
        <v>1197043.775</v>
      </c>
      <c r="X30" s="5">
        <f t="shared" si="9"/>
        <v>144334.89314499998</v>
      </c>
      <c r="Y30" s="5">
        <f t="shared" si="10"/>
        <v>1341378.668145</v>
      </c>
      <c r="Z30" s="5">
        <f t="shared" si="11"/>
        <v>76474.87459939999</v>
      </c>
      <c r="AA30"/>
      <c r="AB30" s="36">
        <f t="shared" si="67"/>
        <v>352740.76249999995</v>
      </c>
      <c r="AC30" s="5">
        <f t="shared" si="12"/>
        <v>42532.112297499996</v>
      </c>
      <c r="AD30" s="5">
        <f t="shared" si="13"/>
        <v>395272.8747975</v>
      </c>
      <c r="AE30" s="5">
        <f t="shared" si="14"/>
        <v>22535.3542967</v>
      </c>
      <c r="AF30"/>
      <c r="AG30" s="36">
        <f t="shared" si="68"/>
        <v>1331.625</v>
      </c>
      <c r="AH30" s="5">
        <f t="shared" si="15"/>
        <v>160.562175</v>
      </c>
      <c r="AI30" s="5">
        <f t="shared" si="16"/>
        <v>1492.187175</v>
      </c>
      <c r="AJ30" s="5">
        <f t="shared" si="17"/>
        <v>85.072791</v>
      </c>
      <c r="AK30"/>
      <c r="AL30" s="36">
        <f t="shared" si="69"/>
        <v>29273.137499999997</v>
      </c>
      <c r="AM30" s="5">
        <f t="shared" si="18"/>
        <v>3529.6413224999997</v>
      </c>
      <c r="AN30" s="5">
        <f t="shared" si="19"/>
        <v>32802.7788225</v>
      </c>
      <c r="AO30" s="5">
        <f t="shared" si="20"/>
        <v>1870.1567696999998</v>
      </c>
      <c r="AP30"/>
      <c r="AQ30" s="36">
        <f t="shared" si="70"/>
        <v>65213.612499999996</v>
      </c>
      <c r="AR30" s="5">
        <f t="shared" si="21"/>
        <v>7863.2043275</v>
      </c>
      <c r="AS30" s="5">
        <f t="shared" si="22"/>
        <v>73076.81682749999</v>
      </c>
      <c r="AT30" s="5">
        <f t="shared" si="23"/>
        <v>4166.2660483</v>
      </c>
      <c r="AU30"/>
      <c r="AV30" s="36">
        <f t="shared" si="71"/>
        <v>140136.3625</v>
      </c>
      <c r="AW30" s="5">
        <f t="shared" si="24"/>
        <v>16897.0987775</v>
      </c>
      <c r="AX30" s="5">
        <f t="shared" si="25"/>
        <v>157033.4612775</v>
      </c>
      <c r="AY30" s="5">
        <f t="shared" si="26"/>
        <v>8952.8144023</v>
      </c>
      <c r="AZ30"/>
      <c r="BA30" s="36">
        <f t="shared" si="72"/>
        <v>4429.5375</v>
      </c>
      <c r="BB30" s="5">
        <f t="shared" si="27"/>
        <v>534.0964425</v>
      </c>
      <c r="BC30" s="5">
        <f t="shared" si="28"/>
        <v>4963.633942500001</v>
      </c>
      <c r="BD30" s="5">
        <f t="shared" si="29"/>
        <v>282.9874161</v>
      </c>
      <c r="BF30" s="36">
        <f t="shared" si="73"/>
        <v>13532.324999999999</v>
      </c>
      <c r="BG30" s="5">
        <f t="shared" si="30"/>
        <v>1631.675235</v>
      </c>
      <c r="BH30" s="5">
        <f t="shared" si="31"/>
        <v>15164.000235</v>
      </c>
      <c r="BI30" s="5">
        <f t="shared" si="32"/>
        <v>864.5321742</v>
      </c>
      <c r="BJ30"/>
      <c r="BK30" s="36">
        <f t="shared" si="74"/>
        <v>66911.225</v>
      </c>
      <c r="BL30" s="5">
        <f t="shared" si="33"/>
        <v>8067.895855000001</v>
      </c>
      <c r="BM30" s="5">
        <f t="shared" si="34"/>
        <v>74979.120855</v>
      </c>
      <c r="BN30" s="5">
        <f t="shared" si="35"/>
        <v>4274.7204806</v>
      </c>
      <c r="BO30"/>
      <c r="BP30" s="36">
        <f t="shared" si="75"/>
        <v>14765.125</v>
      </c>
      <c r="BQ30" s="5">
        <f t="shared" si="36"/>
        <v>1780.321475</v>
      </c>
      <c r="BR30" s="5">
        <f t="shared" si="37"/>
        <v>16545.446475</v>
      </c>
      <c r="BS30" s="5">
        <f t="shared" si="38"/>
        <v>943.291387</v>
      </c>
      <c r="BT30"/>
      <c r="BU30" s="36">
        <f t="shared" si="76"/>
        <v>562.8</v>
      </c>
      <c r="BV30" s="5">
        <f t="shared" si="39"/>
        <v>67.86023999999999</v>
      </c>
      <c r="BW30" s="5">
        <f t="shared" si="40"/>
        <v>630.6602399999999</v>
      </c>
      <c r="BX30" s="5">
        <f t="shared" si="41"/>
        <v>35.955292799999995</v>
      </c>
      <c r="BY30"/>
      <c r="BZ30" s="36">
        <f t="shared" si="77"/>
        <v>3157.375</v>
      </c>
      <c r="CA30" s="5">
        <f t="shared" si="42"/>
        <v>380.704025</v>
      </c>
      <c r="CB30" s="5">
        <f t="shared" si="43"/>
        <v>3538.079025</v>
      </c>
      <c r="CC30" s="5">
        <f t="shared" si="44"/>
        <v>201.713473</v>
      </c>
      <c r="CD30"/>
      <c r="CE30" s="36">
        <f t="shared" si="78"/>
        <v>32755.462499999998</v>
      </c>
      <c r="CF30" s="5">
        <f t="shared" si="45"/>
        <v>3949.5265575</v>
      </c>
      <c r="CG30" s="36">
        <f t="shared" si="46"/>
        <v>36704.989057499995</v>
      </c>
      <c r="CH30" s="5">
        <f t="shared" si="47"/>
        <v>2092.6301439</v>
      </c>
      <c r="CI30"/>
      <c r="CJ30" s="36">
        <f t="shared" si="79"/>
        <v>44405.925</v>
      </c>
      <c r="CK30" s="5">
        <f t="shared" si="48"/>
        <v>5354.294115</v>
      </c>
      <c r="CL30" s="36">
        <f t="shared" si="49"/>
        <v>49760.219115</v>
      </c>
      <c r="CM30" s="5">
        <f t="shared" si="50"/>
        <v>2836.9368077999998</v>
      </c>
      <c r="CO30" s="36">
        <f t="shared" si="80"/>
        <v>29274.8125</v>
      </c>
      <c r="CP30" s="5">
        <f t="shared" si="51"/>
        <v>3529.8432875</v>
      </c>
      <c r="CQ30" s="36">
        <f t="shared" si="52"/>
        <v>32804.6557875</v>
      </c>
      <c r="CR30" s="5">
        <f t="shared" si="53"/>
        <v>1870.2637795</v>
      </c>
      <c r="CT30" s="36">
        <f t="shared" si="81"/>
        <v>504722.725</v>
      </c>
      <c r="CU30" s="5">
        <f t="shared" si="54"/>
        <v>60857.507555</v>
      </c>
      <c r="CV30" s="5">
        <f t="shared" si="55"/>
        <v>565580.232555</v>
      </c>
      <c r="CW30" s="5">
        <f t="shared" si="56"/>
        <v>32244.942004599998</v>
      </c>
      <c r="CY30" s="36">
        <f t="shared" si="82"/>
        <v>117006.28749999999</v>
      </c>
      <c r="CZ30" s="5">
        <f t="shared" si="57"/>
        <v>14108.1640925</v>
      </c>
      <c r="DA30" s="5">
        <f t="shared" si="58"/>
        <v>131114.4515925</v>
      </c>
      <c r="DB30" s="5">
        <f t="shared" si="59"/>
        <v>7475.116074099999</v>
      </c>
      <c r="DD30" s="36">
        <f t="shared" si="83"/>
        <v>24242.275</v>
      </c>
      <c r="DE30" s="5">
        <f t="shared" si="60"/>
        <v>2923.0394450000003</v>
      </c>
      <c r="DF30" s="5">
        <f t="shared" si="61"/>
        <v>27165.314445000004</v>
      </c>
      <c r="DG30" s="5">
        <f t="shared" si="62"/>
        <v>1548.7528354</v>
      </c>
    </row>
    <row r="31" spans="1:111" ht="12.75">
      <c r="A31" s="37">
        <v>11597</v>
      </c>
      <c r="D31" s="3">
        <v>842325</v>
      </c>
      <c r="E31" s="35">
        <f t="shared" si="0"/>
        <v>842325</v>
      </c>
      <c r="F31" s="35">
        <v>535049</v>
      </c>
      <c r="H31" s="45"/>
      <c r="I31" s="36">
        <f t="shared" si="1"/>
        <v>310418.66294999997</v>
      </c>
      <c r="J31" s="36">
        <f t="shared" si="2"/>
        <v>310418.66294999997</v>
      </c>
      <c r="K31" s="36">
        <f t="shared" si="1"/>
        <v>197179.46777399993</v>
      </c>
      <c r="L31"/>
      <c r="M31" s="36"/>
      <c r="N31" s="5">
        <f t="shared" si="3"/>
        <v>851.4221100000001</v>
      </c>
      <c r="O31" s="5">
        <f t="shared" si="4"/>
        <v>851.4221100000001</v>
      </c>
      <c r="P31" s="5">
        <f t="shared" si="5"/>
        <v>540.8275292000001</v>
      </c>
      <c r="Q31"/>
      <c r="R31" s="36"/>
      <c r="S31" s="5">
        <f t="shared" si="6"/>
        <v>43894.90347</v>
      </c>
      <c r="T31" s="5">
        <f t="shared" si="7"/>
        <v>43894.90347</v>
      </c>
      <c r="U31" s="5">
        <f t="shared" si="8"/>
        <v>27882.2594684</v>
      </c>
      <c r="V31"/>
      <c r="W31" s="36"/>
      <c r="X31" s="5">
        <f t="shared" si="9"/>
        <v>120394.01764499999</v>
      </c>
      <c r="Y31" s="5">
        <f t="shared" si="10"/>
        <v>120394.01764499999</v>
      </c>
      <c r="Z31" s="5">
        <f t="shared" si="11"/>
        <v>76474.87459939999</v>
      </c>
      <c r="AA31"/>
      <c r="AB31" s="36"/>
      <c r="AC31" s="5">
        <f t="shared" si="12"/>
        <v>35477.2970475</v>
      </c>
      <c r="AD31" s="5">
        <f t="shared" si="13"/>
        <v>35477.2970475</v>
      </c>
      <c r="AE31" s="5">
        <f t="shared" si="14"/>
        <v>22535.3542967</v>
      </c>
      <c r="AF31"/>
      <c r="AG31" s="36"/>
      <c r="AH31" s="5">
        <f t="shared" si="15"/>
        <v>133.929675</v>
      </c>
      <c r="AI31" s="5">
        <f t="shared" si="16"/>
        <v>133.929675</v>
      </c>
      <c r="AJ31" s="5">
        <f t="shared" si="17"/>
        <v>85.072791</v>
      </c>
      <c r="AK31"/>
      <c r="AL31" s="36"/>
      <c r="AM31" s="5">
        <f t="shared" si="18"/>
        <v>2944.1785725</v>
      </c>
      <c r="AN31" s="5">
        <f t="shared" si="19"/>
        <v>2944.1785725</v>
      </c>
      <c r="AO31" s="5">
        <f t="shared" si="20"/>
        <v>1870.1567696999998</v>
      </c>
      <c r="AP31"/>
      <c r="AQ31" s="36"/>
      <c r="AR31" s="5">
        <f t="shared" si="21"/>
        <v>6558.9320775</v>
      </c>
      <c r="AS31" s="5">
        <f t="shared" si="22"/>
        <v>6558.9320775</v>
      </c>
      <c r="AT31" s="5">
        <f t="shared" si="23"/>
        <v>4166.2660483</v>
      </c>
      <c r="AU31"/>
      <c r="AV31" s="36"/>
      <c r="AW31" s="5">
        <f t="shared" si="24"/>
        <v>14094.3715275</v>
      </c>
      <c r="AX31" s="5">
        <f t="shared" si="25"/>
        <v>14094.3715275</v>
      </c>
      <c r="AY31" s="5">
        <f t="shared" si="26"/>
        <v>8952.8144023</v>
      </c>
      <c r="AZ31"/>
      <c r="BA31" s="36"/>
      <c r="BB31" s="5">
        <f t="shared" si="27"/>
        <v>445.5056925</v>
      </c>
      <c r="BC31" s="5">
        <f t="shared" si="28"/>
        <v>445.5056925</v>
      </c>
      <c r="BD31" s="5">
        <f t="shared" si="29"/>
        <v>282.9874161</v>
      </c>
      <c r="BF31" s="36"/>
      <c r="BG31" s="5">
        <f t="shared" si="30"/>
        <v>1361.0287349999999</v>
      </c>
      <c r="BH31" s="5">
        <f t="shared" si="31"/>
        <v>1361.0287349999999</v>
      </c>
      <c r="BI31" s="5">
        <f t="shared" si="32"/>
        <v>864.5321742</v>
      </c>
      <c r="BJ31"/>
      <c r="BK31" s="36"/>
      <c r="BL31" s="5">
        <f t="shared" si="33"/>
        <v>6729.671355</v>
      </c>
      <c r="BM31" s="5">
        <f t="shared" si="34"/>
        <v>6729.671355</v>
      </c>
      <c r="BN31" s="5">
        <f t="shared" si="35"/>
        <v>4274.7204806</v>
      </c>
      <c r="BO31"/>
      <c r="BP31" s="36"/>
      <c r="BQ31" s="5">
        <f t="shared" si="36"/>
        <v>1485.018975</v>
      </c>
      <c r="BR31" s="5">
        <f t="shared" si="37"/>
        <v>1485.018975</v>
      </c>
      <c r="BS31" s="5">
        <f t="shared" si="38"/>
        <v>943.291387</v>
      </c>
      <c r="BT31"/>
      <c r="BU31" s="36"/>
      <c r="BV31" s="5">
        <f t="shared" si="39"/>
        <v>56.60424</v>
      </c>
      <c r="BW31" s="5">
        <f t="shared" si="40"/>
        <v>56.60424</v>
      </c>
      <c r="BX31" s="5">
        <f t="shared" si="41"/>
        <v>35.955292799999995</v>
      </c>
      <c r="BY31"/>
      <c r="BZ31" s="36"/>
      <c r="CA31" s="5">
        <f t="shared" si="42"/>
        <v>317.556525</v>
      </c>
      <c r="CB31" s="5">
        <f t="shared" si="43"/>
        <v>317.556525</v>
      </c>
      <c r="CC31" s="5">
        <f t="shared" si="44"/>
        <v>201.713473</v>
      </c>
      <c r="CD31"/>
      <c r="CE31" s="36"/>
      <c r="CF31" s="5">
        <f t="shared" si="45"/>
        <v>3294.4173075</v>
      </c>
      <c r="CG31" s="36">
        <f t="shared" si="46"/>
        <v>3294.4173075</v>
      </c>
      <c r="CH31" s="5">
        <f t="shared" si="47"/>
        <v>2092.6301439</v>
      </c>
      <c r="CI31"/>
      <c r="CJ31" s="36"/>
      <c r="CK31" s="5">
        <f t="shared" si="48"/>
        <v>4466.175615</v>
      </c>
      <c r="CL31" s="36">
        <f t="shared" si="49"/>
        <v>4466.175615</v>
      </c>
      <c r="CM31" s="5">
        <f t="shared" si="50"/>
        <v>2836.9368077999998</v>
      </c>
      <c r="CO31" s="36"/>
      <c r="CP31" s="5">
        <f t="shared" si="51"/>
        <v>2944.3470374999997</v>
      </c>
      <c r="CQ31" s="36">
        <f t="shared" si="52"/>
        <v>2944.3470374999997</v>
      </c>
      <c r="CR31" s="5">
        <f t="shared" si="53"/>
        <v>1870.2637795</v>
      </c>
      <c r="CT31" s="36"/>
      <c r="CU31" s="5">
        <f t="shared" si="54"/>
        <v>50763.053055</v>
      </c>
      <c r="CV31" s="5">
        <f t="shared" si="55"/>
        <v>50763.053055</v>
      </c>
      <c r="CW31" s="5">
        <f t="shared" si="56"/>
        <v>32244.942004599998</v>
      </c>
      <c r="CY31" s="36"/>
      <c r="CZ31" s="5">
        <f t="shared" si="57"/>
        <v>11768.0383425</v>
      </c>
      <c r="DA31" s="5">
        <f t="shared" si="58"/>
        <v>11768.0383425</v>
      </c>
      <c r="DB31" s="5">
        <f t="shared" si="59"/>
        <v>7475.116074099999</v>
      </c>
      <c r="DD31" s="36"/>
      <c r="DE31" s="5">
        <f t="shared" si="60"/>
        <v>2438.193945</v>
      </c>
      <c r="DF31" s="5">
        <f t="shared" si="61"/>
        <v>2438.193945</v>
      </c>
      <c r="DG31" s="5">
        <f t="shared" si="62"/>
        <v>1548.7528354</v>
      </c>
    </row>
    <row r="32" spans="1:111" ht="12.75">
      <c r="A32" s="37">
        <v>11780</v>
      </c>
      <c r="C32" s="3">
        <v>8710000</v>
      </c>
      <c r="D32" s="3">
        <v>842325</v>
      </c>
      <c r="E32" s="35">
        <f t="shared" si="0"/>
        <v>9552325</v>
      </c>
      <c r="F32" s="35">
        <v>535049</v>
      </c>
      <c r="H32" s="45">
        <f t="shared" si="63"/>
        <v>3209861.4599999995</v>
      </c>
      <c r="I32" s="36">
        <f t="shared" si="1"/>
        <v>310418.66294999997</v>
      </c>
      <c r="J32" s="36">
        <f t="shared" si="2"/>
        <v>3520280.1229499993</v>
      </c>
      <c r="K32" s="36">
        <f t="shared" si="1"/>
        <v>197179.46777399993</v>
      </c>
      <c r="L32"/>
      <c r="M32" s="36">
        <f t="shared" si="64"/>
        <v>8804.068000000001</v>
      </c>
      <c r="N32" s="5">
        <f t="shared" si="3"/>
        <v>851.4221100000001</v>
      </c>
      <c r="O32" s="5">
        <f t="shared" si="4"/>
        <v>9655.49011</v>
      </c>
      <c r="P32" s="5">
        <f t="shared" si="5"/>
        <v>540.8275292000001</v>
      </c>
      <c r="Q32"/>
      <c r="R32" s="36">
        <f t="shared" si="65"/>
        <v>453892.036</v>
      </c>
      <c r="S32" s="5">
        <f t="shared" si="6"/>
        <v>43894.90347</v>
      </c>
      <c r="T32" s="5">
        <f t="shared" si="7"/>
        <v>497786.93947000004</v>
      </c>
      <c r="U32" s="5">
        <f t="shared" si="8"/>
        <v>27882.2594684</v>
      </c>
      <c r="V32"/>
      <c r="W32" s="36">
        <f t="shared" si="66"/>
        <v>1244925.5259999998</v>
      </c>
      <c r="X32" s="5">
        <f t="shared" si="9"/>
        <v>120394.01764499999</v>
      </c>
      <c r="Y32" s="5">
        <f t="shared" si="10"/>
        <v>1365319.5436449999</v>
      </c>
      <c r="Z32" s="5">
        <f t="shared" si="11"/>
        <v>76474.87459939999</v>
      </c>
      <c r="AA32"/>
      <c r="AB32" s="36">
        <f t="shared" si="67"/>
        <v>366850.393</v>
      </c>
      <c r="AC32" s="5">
        <f t="shared" si="12"/>
        <v>35477.2970475</v>
      </c>
      <c r="AD32" s="5">
        <f t="shared" si="13"/>
        <v>402327.69004749996</v>
      </c>
      <c r="AE32" s="5">
        <f t="shared" si="14"/>
        <v>22535.3542967</v>
      </c>
      <c r="AF32"/>
      <c r="AG32" s="36">
        <f t="shared" si="68"/>
        <v>1384.8899999999999</v>
      </c>
      <c r="AH32" s="5">
        <f t="shared" si="15"/>
        <v>133.929675</v>
      </c>
      <c r="AI32" s="5">
        <f t="shared" si="16"/>
        <v>1518.819675</v>
      </c>
      <c r="AJ32" s="5">
        <f t="shared" si="17"/>
        <v>85.072791</v>
      </c>
      <c r="AK32"/>
      <c r="AL32" s="36">
        <f t="shared" si="69"/>
        <v>30444.063</v>
      </c>
      <c r="AM32" s="5">
        <f t="shared" si="18"/>
        <v>2944.1785725</v>
      </c>
      <c r="AN32" s="5">
        <f t="shared" si="19"/>
        <v>33388.241572499996</v>
      </c>
      <c r="AO32" s="5">
        <f t="shared" si="20"/>
        <v>1870.1567696999998</v>
      </c>
      <c r="AP32"/>
      <c r="AQ32" s="36">
        <f t="shared" si="70"/>
        <v>67822.15699999999</v>
      </c>
      <c r="AR32" s="5">
        <f t="shared" si="21"/>
        <v>6558.9320775</v>
      </c>
      <c r="AS32" s="5">
        <f t="shared" si="22"/>
        <v>74381.08907749999</v>
      </c>
      <c r="AT32" s="5">
        <f t="shared" si="23"/>
        <v>4166.2660483</v>
      </c>
      <c r="AU32"/>
      <c r="AV32" s="36">
        <f t="shared" si="71"/>
        <v>145741.817</v>
      </c>
      <c r="AW32" s="5">
        <f t="shared" si="24"/>
        <v>14094.3715275</v>
      </c>
      <c r="AX32" s="5">
        <f t="shared" si="25"/>
        <v>159836.18852750002</v>
      </c>
      <c r="AY32" s="5">
        <f t="shared" si="26"/>
        <v>8952.8144023</v>
      </c>
      <c r="AZ32"/>
      <c r="BA32" s="36">
        <f t="shared" si="72"/>
        <v>4606.719</v>
      </c>
      <c r="BB32" s="5">
        <f t="shared" si="27"/>
        <v>445.5056925</v>
      </c>
      <c r="BC32" s="5">
        <f t="shared" si="28"/>
        <v>5052.2246925</v>
      </c>
      <c r="BD32" s="5">
        <f t="shared" si="29"/>
        <v>282.9874161</v>
      </c>
      <c r="BF32" s="36">
        <f t="shared" si="73"/>
        <v>14073.617999999999</v>
      </c>
      <c r="BG32" s="5">
        <f t="shared" si="30"/>
        <v>1361.0287349999999</v>
      </c>
      <c r="BH32" s="5">
        <f t="shared" si="31"/>
        <v>15434.646734999998</v>
      </c>
      <c r="BI32" s="5">
        <f t="shared" si="32"/>
        <v>864.5321742</v>
      </c>
      <c r="BJ32"/>
      <c r="BK32" s="36">
        <f t="shared" si="74"/>
        <v>69587.674</v>
      </c>
      <c r="BL32" s="5">
        <f t="shared" si="33"/>
        <v>6729.671355</v>
      </c>
      <c r="BM32" s="5">
        <f t="shared" si="34"/>
        <v>76317.345355</v>
      </c>
      <c r="BN32" s="5">
        <f t="shared" si="35"/>
        <v>4274.7204806</v>
      </c>
      <c r="BO32"/>
      <c r="BP32" s="36">
        <f t="shared" si="75"/>
        <v>15355.73</v>
      </c>
      <c r="BQ32" s="5">
        <f t="shared" si="36"/>
        <v>1485.018975</v>
      </c>
      <c r="BR32" s="5">
        <f t="shared" si="37"/>
        <v>16840.748975</v>
      </c>
      <c r="BS32" s="5">
        <f t="shared" si="38"/>
        <v>943.291387</v>
      </c>
      <c r="BT32"/>
      <c r="BU32" s="36">
        <f t="shared" si="76"/>
        <v>585.3119999999999</v>
      </c>
      <c r="BV32" s="5">
        <f t="shared" si="39"/>
        <v>56.60424</v>
      </c>
      <c r="BW32" s="5">
        <f t="shared" si="40"/>
        <v>641.9162399999999</v>
      </c>
      <c r="BX32" s="5">
        <f t="shared" si="41"/>
        <v>35.955292799999995</v>
      </c>
      <c r="BY32"/>
      <c r="BZ32" s="36">
        <f t="shared" si="77"/>
        <v>3283.67</v>
      </c>
      <c r="CA32" s="5">
        <f t="shared" si="42"/>
        <v>317.556525</v>
      </c>
      <c r="CB32" s="5">
        <f t="shared" si="43"/>
        <v>3601.226525</v>
      </c>
      <c r="CC32" s="5">
        <f t="shared" si="44"/>
        <v>201.713473</v>
      </c>
      <c r="CD32"/>
      <c r="CE32" s="36">
        <f t="shared" si="78"/>
        <v>34065.681</v>
      </c>
      <c r="CF32" s="5">
        <f t="shared" si="45"/>
        <v>3294.4173075</v>
      </c>
      <c r="CG32" s="36">
        <f t="shared" si="46"/>
        <v>37360.0983075</v>
      </c>
      <c r="CH32" s="5">
        <f t="shared" si="47"/>
        <v>2092.6301439</v>
      </c>
      <c r="CI32"/>
      <c r="CJ32" s="36">
        <f t="shared" si="79"/>
        <v>46182.162</v>
      </c>
      <c r="CK32" s="5">
        <f t="shared" si="48"/>
        <v>4466.175615</v>
      </c>
      <c r="CL32" s="36">
        <f t="shared" si="49"/>
        <v>50648.337615</v>
      </c>
      <c r="CM32" s="5">
        <f t="shared" si="50"/>
        <v>2836.9368077999998</v>
      </c>
      <c r="CO32" s="36">
        <f t="shared" si="80"/>
        <v>30445.805</v>
      </c>
      <c r="CP32" s="5">
        <f t="shared" si="51"/>
        <v>2944.3470374999997</v>
      </c>
      <c r="CQ32" s="36">
        <f t="shared" si="52"/>
        <v>33390.1520375</v>
      </c>
      <c r="CR32" s="5">
        <f t="shared" si="53"/>
        <v>1870.2637795</v>
      </c>
      <c r="CT32" s="36">
        <f t="shared" si="81"/>
        <v>524911.634</v>
      </c>
      <c r="CU32" s="5">
        <f t="shared" si="54"/>
        <v>50763.053055</v>
      </c>
      <c r="CV32" s="5">
        <f t="shared" si="55"/>
        <v>575674.687055</v>
      </c>
      <c r="CW32" s="5">
        <f t="shared" si="56"/>
        <v>32244.942004599998</v>
      </c>
      <c r="CY32" s="36">
        <f t="shared" si="82"/>
        <v>121686.53899999999</v>
      </c>
      <c r="CZ32" s="5">
        <f t="shared" si="57"/>
        <v>11768.0383425</v>
      </c>
      <c r="DA32" s="5">
        <f t="shared" si="58"/>
        <v>133454.57734249998</v>
      </c>
      <c r="DB32" s="5">
        <f t="shared" si="59"/>
        <v>7475.116074099999</v>
      </c>
      <c r="DD32" s="36">
        <f t="shared" si="83"/>
        <v>25211.966</v>
      </c>
      <c r="DE32" s="5">
        <f t="shared" si="60"/>
        <v>2438.193945</v>
      </c>
      <c r="DF32" s="5">
        <f t="shared" si="61"/>
        <v>27650.159945</v>
      </c>
      <c r="DG32" s="5">
        <f t="shared" si="62"/>
        <v>1548.7528354</v>
      </c>
    </row>
    <row r="33" spans="1:111" ht="12.75">
      <c r="A33" s="37">
        <v>11963</v>
      </c>
      <c r="D33" s="3">
        <v>668125</v>
      </c>
      <c r="E33" s="35">
        <f t="shared" si="0"/>
        <v>668125</v>
      </c>
      <c r="F33" s="35">
        <v>535049</v>
      </c>
      <c r="H33" s="45"/>
      <c r="I33" s="36">
        <f t="shared" si="1"/>
        <v>246221.43375000003</v>
      </c>
      <c r="J33" s="36">
        <f t="shared" si="2"/>
        <v>246221.43375000003</v>
      </c>
      <c r="K33" s="36">
        <f t="shared" si="1"/>
        <v>197179.46777399993</v>
      </c>
      <c r="L33"/>
      <c r="M33" s="36"/>
      <c r="N33" s="5">
        <f t="shared" si="3"/>
        <v>675.3407500000001</v>
      </c>
      <c r="O33" s="5">
        <f t="shared" si="4"/>
        <v>675.3407500000001</v>
      </c>
      <c r="P33" s="5">
        <f t="shared" si="5"/>
        <v>540.8275292000001</v>
      </c>
      <c r="Q33"/>
      <c r="R33" s="36"/>
      <c r="S33" s="5">
        <f t="shared" si="6"/>
        <v>34817.06275</v>
      </c>
      <c r="T33" s="5">
        <f t="shared" si="7"/>
        <v>34817.06275</v>
      </c>
      <c r="U33" s="5">
        <f t="shared" si="8"/>
        <v>27882.2594684</v>
      </c>
      <c r="V33"/>
      <c r="W33" s="36"/>
      <c r="X33" s="5">
        <f t="shared" si="9"/>
        <v>95495.50712499999</v>
      </c>
      <c r="Y33" s="5">
        <f t="shared" si="10"/>
        <v>95495.50712499999</v>
      </c>
      <c r="Z33" s="5">
        <f t="shared" si="11"/>
        <v>76474.87459939999</v>
      </c>
      <c r="AA33"/>
      <c r="AB33" s="36"/>
      <c r="AC33" s="5">
        <f t="shared" si="12"/>
        <v>28140.2891875</v>
      </c>
      <c r="AD33" s="5">
        <f t="shared" si="13"/>
        <v>28140.2891875</v>
      </c>
      <c r="AE33" s="5">
        <f t="shared" si="14"/>
        <v>22535.3542967</v>
      </c>
      <c r="AF33"/>
      <c r="AG33" s="36"/>
      <c r="AH33" s="5">
        <f t="shared" si="15"/>
        <v>106.23187499999999</v>
      </c>
      <c r="AI33" s="5">
        <f t="shared" si="16"/>
        <v>106.23187499999999</v>
      </c>
      <c r="AJ33" s="5">
        <f t="shared" si="17"/>
        <v>85.072791</v>
      </c>
      <c r="AK33"/>
      <c r="AL33" s="36"/>
      <c r="AM33" s="5">
        <f t="shared" si="18"/>
        <v>2335.2973125</v>
      </c>
      <c r="AN33" s="5">
        <f t="shared" si="19"/>
        <v>2335.2973125</v>
      </c>
      <c r="AO33" s="5">
        <f t="shared" si="20"/>
        <v>1870.1567696999998</v>
      </c>
      <c r="AP33"/>
      <c r="AQ33" s="36"/>
      <c r="AR33" s="5">
        <f t="shared" si="21"/>
        <v>5202.4889375</v>
      </c>
      <c r="AS33" s="5">
        <f t="shared" si="22"/>
        <v>5202.4889375</v>
      </c>
      <c r="AT33" s="5">
        <f t="shared" si="23"/>
        <v>4166.2660483</v>
      </c>
      <c r="AU33"/>
      <c r="AV33" s="36"/>
      <c r="AW33" s="5">
        <f t="shared" si="24"/>
        <v>11179.5351875</v>
      </c>
      <c r="AX33" s="5">
        <f t="shared" si="25"/>
        <v>11179.5351875</v>
      </c>
      <c r="AY33" s="5">
        <f t="shared" si="26"/>
        <v>8952.8144023</v>
      </c>
      <c r="AZ33"/>
      <c r="BA33" s="36"/>
      <c r="BB33" s="5">
        <f t="shared" si="27"/>
        <v>353.3713125</v>
      </c>
      <c r="BC33" s="5">
        <f t="shared" si="28"/>
        <v>353.3713125</v>
      </c>
      <c r="BD33" s="5">
        <f t="shared" si="29"/>
        <v>282.9874161</v>
      </c>
      <c r="BF33" s="36"/>
      <c r="BG33" s="5">
        <f t="shared" si="30"/>
        <v>1079.556375</v>
      </c>
      <c r="BH33" s="5">
        <f t="shared" si="31"/>
        <v>1079.556375</v>
      </c>
      <c r="BI33" s="5">
        <f t="shared" si="32"/>
        <v>864.5321742</v>
      </c>
      <c r="BJ33"/>
      <c r="BK33" s="36"/>
      <c r="BL33" s="5">
        <f t="shared" si="33"/>
        <v>5337.917875</v>
      </c>
      <c r="BM33" s="5">
        <f t="shared" si="34"/>
        <v>5337.917875</v>
      </c>
      <c r="BN33" s="5">
        <f t="shared" si="35"/>
        <v>4274.7204806</v>
      </c>
      <c r="BO33"/>
      <c r="BP33" s="36"/>
      <c r="BQ33" s="5">
        <f t="shared" si="36"/>
        <v>1177.904375</v>
      </c>
      <c r="BR33" s="5">
        <f t="shared" si="37"/>
        <v>1177.904375</v>
      </c>
      <c r="BS33" s="5">
        <f t="shared" si="38"/>
        <v>943.291387</v>
      </c>
      <c r="BT33"/>
      <c r="BU33" s="36"/>
      <c r="BV33" s="5">
        <f t="shared" si="39"/>
        <v>44.897999999999996</v>
      </c>
      <c r="BW33" s="5">
        <f t="shared" si="40"/>
        <v>44.897999999999996</v>
      </c>
      <c r="BX33" s="5">
        <f t="shared" si="41"/>
        <v>35.955292799999995</v>
      </c>
      <c r="BY33"/>
      <c r="BZ33" s="36"/>
      <c r="CA33" s="5">
        <f t="shared" si="42"/>
        <v>251.883125</v>
      </c>
      <c r="CB33" s="5">
        <f t="shared" si="43"/>
        <v>251.883125</v>
      </c>
      <c r="CC33" s="5">
        <f t="shared" si="44"/>
        <v>201.713473</v>
      </c>
      <c r="CD33"/>
      <c r="CE33" s="36"/>
      <c r="CF33" s="5">
        <f t="shared" si="45"/>
        <v>2613.1036875</v>
      </c>
      <c r="CG33" s="36">
        <f t="shared" si="46"/>
        <v>2613.1036875</v>
      </c>
      <c r="CH33" s="5">
        <f t="shared" si="47"/>
        <v>2092.6301439</v>
      </c>
      <c r="CI33"/>
      <c r="CJ33" s="36"/>
      <c r="CK33" s="5">
        <f t="shared" si="48"/>
        <v>3542.532375</v>
      </c>
      <c r="CL33" s="36">
        <f t="shared" si="49"/>
        <v>3542.532375</v>
      </c>
      <c r="CM33" s="5">
        <f t="shared" si="50"/>
        <v>2836.9368077999998</v>
      </c>
      <c r="CO33" s="36"/>
      <c r="CP33" s="5">
        <f t="shared" si="51"/>
        <v>2335.4309375</v>
      </c>
      <c r="CQ33" s="36">
        <f t="shared" si="52"/>
        <v>2335.4309375</v>
      </c>
      <c r="CR33" s="5">
        <f t="shared" si="53"/>
        <v>1870.2637795</v>
      </c>
      <c r="CT33" s="36"/>
      <c r="CU33" s="5">
        <f t="shared" si="54"/>
        <v>40264.820374999996</v>
      </c>
      <c r="CV33" s="5">
        <f t="shared" si="55"/>
        <v>40264.820374999996</v>
      </c>
      <c r="CW33" s="5">
        <f t="shared" si="56"/>
        <v>32244.942004599998</v>
      </c>
      <c r="CY33" s="36"/>
      <c r="CZ33" s="5">
        <f t="shared" si="57"/>
        <v>9334.3075625</v>
      </c>
      <c r="DA33" s="5">
        <f t="shared" si="58"/>
        <v>9334.3075625</v>
      </c>
      <c r="DB33" s="5">
        <f t="shared" si="59"/>
        <v>7475.116074099999</v>
      </c>
      <c r="DD33" s="36"/>
      <c r="DE33" s="5">
        <f t="shared" si="60"/>
        <v>1933.954625</v>
      </c>
      <c r="DF33" s="5">
        <f t="shared" si="61"/>
        <v>1933.954625</v>
      </c>
      <c r="DG33" s="5">
        <f t="shared" si="62"/>
        <v>1548.7528354</v>
      </c>
    </row>
    <row r="34" spans="1:111" ht="12.75">
      <c r="A34" s="37">
        <v>12145</v>
      </c>
      <c r="C34" s="3">
        <v>9060000</v>
      </c>
      <c r="D34" s="3">
        <v>668125</v>
      </c>
      <c r="E34" s="35">
        <f t="shared" si="0"/>
        <v>9728125</v>
      </c>
      <c r="F34" s="35">
        <v>535049</v>
      </c>
      <c r="H34" s="45">
        <f t="shared" si="63"/>
        <v>3338845.5599999996</v>
      </c>
      <c r="I34" s="36">
        <f t="shared" si="1"/>
        <v>246221.43375000003</v>
      </c>
      <c r="J34" s="36">
        <f t="shared" si="2"/>
        <v>3585066.9937499994</v>
      </c>
      <c r="K34" s="36">
        <f t="shared" si="1"/>
        <v>197179.46777399993</v>
      </c>
      <c r="L34"/>
      <c r="M34" s="36">
        <f t="shared" si="64"/>
        <v>9157.848</v>
      </c>
      <c r="N34" s="5">
        <f t="shared" si="3"/>
        <v>675.3407500000001</v>
      </c>
      <c r="O34" s="5">
        <f t="shared" si="4"/>
        <v>9833.18875</v>
      </c>
      <c r="P34" s="5">
        <f t="shared" si="5"/>
        <v>540.8275292000001</v>
      </c>
      <c r="Q34"/>
      <c r="R34" s="36">
        <f t="shared" si="65"/>
        <v>472131.096</v>
      </c>
      <c r="S34" s="5">
        <f t="shared" si="6"/>
        <v>34817.06275</v>
      </c>
      <c r="T34" s="5">
        <f t="shared" si="7"/>
        <v>506948.15875</v>
      </c>
      <c r="U34" s="5">
        <f t="shared" si="8"/>
        <v>27882.2594684</v>
      </c>
      <c r="V34"/>
      <c r="W34" s="36">
        <f t="shared" si="66"/>
        <v>1294951.236</v>
      </c>
      <c r="X34" s="5">
        <f t="shared" si="9"/>
        <v>95495.50712499999</v>
      </c>
      <c r="Y34" s="5">
        <f t="shared" si="10"/>
        <v>1390446.743125</v>
      </c>
      <c r="Z34" s="5">
        <f t="shared" si="11"/>
        <v>76474.87459939999</v>
      </c>
      <c r="AA34"/>
      <c r="AB34" s="36">
        <f t="shared" si="67"/>
        <v>381591.79799999995</v>
      </c>
      <c r="AC34" s="5">
        <f t="shared" si="12"/>
        <v>28140.2891875</v>
      </c>
      <c r="AD34" s="5">
        <f t="shared" si="13"/>
        <v>409732.0871875</v>
      </c>
      <c r="AE34" s="5">
        <f t="shared" si="14"/>
        <v>22535.3542967</v>
      </c>
      <c r="AF34"/>
      <c r="AG34" s="36">
        <f t="shared" si="68"/>
        <v>1440.54</v>
      </c>
      <c r="AH34" s="5">
        <f t="shared" si="15"/>
        <v>106.23187499999999</v>
      </c>
      <c r="AI34" s="5">
        <f t="shared" si="16"/>
        <v>1546.771875</v>
      </c>
      <c r="AJ34" s="5">
        <f t="shared" si="17"/>
        <v>85.072791</v>
      </c>
      <c r="AK34"/>
      <c r="AL34" s="36">
        <f t="shared" si="69"/>
        <v>31667.417999999998</v>
      </c>
      <c r="AM34" s="5">
        <f t="shared" si="18"/>
        <v>2335.2973125</v>
      </c>
      <c r="AN34" s="5">
        <f t="shared" si="19"/>
        <v>34002.7153125</v>
      </c>
      <c r="AO34" s="5">
        <f t="shared" si="20"/>
        <v>1870.1567696999998</v>
      </c>
      <c r="AP34"/>
      <c r="AQ34" s="36">
        <f t="shared" si="70"/>
        <v>70547.502</v>
      </c>
      <c r="AR34" s="5">
        <f t="shared" si="21"/>
        <v>5202.4889375</v>
      </c>
      <c r="AS34" s="5">
        <f t="shared" si="22"/>
        <v>75749.9909375</v>
      </c>
      <c r="AT34" s="5">
        <f t="shared" si="23"/>
        <v>4166.2660483</v>
      </c>
      <c r="AU34"/>
      <c r="AV34" s="36">
        <f t="shared" si="71"/>
        <v>151598.262</v>
      </c>
      <c r="AW34" s="5">
        <f t="shared" si="24"/>
        <v>11179.5351875</v>
      </c>
      <c r="AX34" s="5">
        <f t="shared" si="25"/>
        <v>162777.7971875</v>
      </c>
      <c r="AY34" s="5">
        <f t="shared" si="26"/>
        <v>8952.8144023</v>
      </c>
      <c r="AZ34"/>
      <c r="BA34" s="36">
        <f t="shared" si="72"/>
        <v>4791.834</v>
      </c>
      <c r="BB34" s="5">
        <f t="shared" si="27"/>
        <v>353.3713125</v>
      </c>
      <c r="BC34" s="5">
        <f t="shared" si="28"/>
        <v>5145.2053125</v>
      </c>
      <c r="BD34" s="5">
        <f t="shared" si="29"/>
        <v>282.9874161</v>
      </c>
      <c r="BF34" s="36">
        <f t="shared" si="73"/>
        <v>14639.148</v>
      </c>
      <c r="BG34" s="5">
        <f t="shared" si="30"/>
        <v>1079.556375</v>
      </c>
      <c r="BH34" s="5">
        <f t="shared" si="31"/>
        <v>15718.704375</v>
      </c>
      <c r="BI34" s="5">
        <f t="shared" si="32"/>
        <v>864.5321742</v>
      </c>
      <c r="BJ34"/>
      <c r="BK34" s="36">
        <f t="shared" si="74"/>
        <v>72383.964</v>
      </c>
      <c r="BL34" s="5">
        <f t="shared" si="33"/>
        <v>5337.917875</v>
      </c>
      <c r="BM34" s="5">
        <f t="shared" si="34"/>
        <v>77721.881875</v>
      </c>
      <c r="BN34" s="5">
        <f t="shared" si="35"/>
        <v>4274.7204806</v>
      </c>
      <c r="BO34"/>
      <c r="BP34" s="36">
        <f t="shared" si="75"/>
        <v>15972.78</v>
      </c>
      <c r="BQ34" s="5">
        <f t="shared" si="36"/>
        <v>1177.904375</v>
      </c>
      <c r="BR34" s="5">
        <f t="shared" si="37"/>
        <v>17150.684375</v>
      </c>
      <c r="BS34" s="5">
        <f t="shared" si="38"/>
        <v>943.291387</v>
      </c>
      <c r="BT34"/>
      <c r="BU34" s="36">
        <f t="shared" si="76"/>
        <v>608.832</v>
      </c>
      <c r="BV34" s="5">
        <f t="shared" si="39"/>
        <v>44.897999999999996</v>
      </c>
      <c r="BW34" s="5">
        <f t="shared" si="40"/>
        <v>653.73</v>
      </c>
      <c r="BX34" s="5">
        <f t="shared" si="41"/>
        <v>35.955292799999995</v>
      </c>
      <c r="BY34"/>
      <c r="BZ34" s="36">
        <f t="shared" si="77"/>
        <v>3415.62</v>
      </c>
      <c r="CA34" s="5">
        <f t="shared" si="42"/>
        <v>251.883125</v>
      </c>
      <c r="CB34" s="5">
        <f t="shared" si="43"/>
        <v>3667.5031249999997</v>
      </c>
      <c r="CC34" s="5">
        <f t="shared" si="44"/>
        <v>201.713473</v>
      </c>
      <c r="CD34"/>
      <c r="CE34" s="36">
        <f t="shared" si="78"/>
        <v>35434.566</v>
      </c>
      <c r="CF34" s="5">
        <f t="shared" si="45"/>
        <v>2613.1036875</v>
      </c>
      <c r="CG34" s="36">
        <f t="shared" si="46"/>
        <v>38047.6696875</v>
      </c>
      <c r="CH34" s="5">
        <f t="shared" si="47"/>
        <v>2092.6301439</v>
      </c>
      <c r="CI34"/>
      <c r="CJ34" s="36">
        <f t="shared" si="79"/>
        <v>48037.932</v>
      </c>
      <c r="CK34" s="5">
        <f t="shared" si="48"/>
        <v>3542.532375</v>
      </c>
      <c r="CL34" s="36">
        <f t="shared" si="49"/>
        <v>51580.464375</v>
      </c>
      <c r="CM34" s="5">
        <f t="shared" si="50"/>
        <v>2836.9368077999998</v>
      </c>
      <c r="CO34" s="36">
        <f t="shared" si="80"/>
        <v>31669.23</v>
      </c>
      <c r="CP34" s="5">
        <f t="shared" si="51"/>
        <v>2335.4309375</v>
      </c>
      <c r="CQ34" s="36">
        <f t="shared" si="52"/>
        <v>34004.6609375</v>
      </c>
      <c r="CR34" s="5">
        <f t="shared" si="53"/>
        <v>1870.2637795</v>
      </c>
      <c r="CT34" s="36">
        <f t="shared" si="81"/>
        <v>546004.524</v>
      </c>
      <c r="CU34" s="5">
        <f t="shared" si="54"/>
        <v>40264.820374999996</v>
      </c>
      <c r="CV34" s="5">
        <f t="shared" si="55"/>
        <v>586269.344375</v>
      </c>
      <c r="CW34" s="5">
        <f t="shared" si="56"/>
        <v>32244.942004599998</v>
      </c>
      <c r="CY34" s="36">
        <f t="shared" si="82"/>
        <v>126576.35399999999</v>
      </c>
      <c r="CZ34" s="5">
        <f t="shared" si="57"/>
        <v>9334.3075625</v>
      </c>
      <c r="DA34" s="5">
        <f t="shared" si="58"/>
        <v>135910.6615625</v>
      </c>
      <c r="DB34" s="5">
        <f t="shared" si="59"/>
        <v>7475.116074099999</v>
      </c>
      <c r="DD34" s="36">
        <f t="shared" si="83"/>
        <v>26225.076</v>
      </c>
      <c r="DE34" s="5">
        <f t="shared" si="60"/>
        <v>1933.954625</v>
      </c>
      <c r="DF34" s="5">
        <f t="shared" si="61"/>
        <v>28159.030625</v>
      </c>
      <c r="DG34" s="5">
        <f t="shared" si="62"/>
        <v>1548.7528354</v>
      </c>
    </row>
    <row r="35" spans="1:111" ht="12.75">
      <c r="A35" s="37">
        <v>12328</v>
      </c>
      <c r="D35" s="3">
        <v>486925</v>
      </c>
      <c r="E35" s="35">
        <f t="shared" si="0"/>
        <v>486925</v>
      </c>
      <c r="F35" s="35">
        <v>535049</v>
      </c>
      <c r="H35" s="45"/>
      <c r="I35" s="36">
        <f t="shared" si="1"/>
        <v>179444.52254999997</v>
      </c>
      <c r="J35" s="36">
        <f t="shared" si="2"/>
        <v>179444.52254999997</v>
      </c>
      <c r="K35" s="36">
        <f t="shared" si="1"/>
        <v>197179.46777399993</v>
      </c>
      <c r="L35"/>
      <c r="M35" s="36"/>
      <c r="N35" s="5">
        <f t="shared" si="3"/>
        <v>492.18379000000004</v>
      </c>
      <c r="O35" s="5">
        <f t="shared" si="4"/>
        <v>492.18379000000004</v>
      </c>
      <c r="P35" s="5">
        <f t="shared" si="5"/>
        <v>540.8275292000001</v>
      </c>
      <c r="Q35"/>
      <c r="R35" s="36"/>
      <c r="S35" s="5">
        <f t="shared" si="6"/>
        <v>25374.44083</v>
      </c>
      <c r="T35" s="5">
        <f t="shared" si="7"/>
        <v>25374.44083</v>
      </c>
      <c r="U35" s="5">
        <f t="shared" si="8"/>
        <v>27882.2594684</v>
      </c>
      <c r="V35"/>
      <c r="W35" s="36"/>
      <c r="X35" s="5">
        <f t="shared" si="9"/>
        <v>69596.482405</v>
      </c>
      <c r="Y35" s="5">
        <f t="shared" si="10"/>
        <v>69596.482405</v>
      </c>
      <c r="Z35" s="5">
        <f t="shared" si="11"/>
        <v>76474.87459939999</v>
      </c>
      <c r="AA35"/>
      <c r="AB35" s="36"/>
      <c r="AC35" s="5">
        <f t="shared" si="12"/>
        <v>20508.4532275</v>
      </c>
      <c r="AD35" s="5">
        <f t="shared" si="13"/>
        <v>20508.4532275</v>
      </c>
      <c r="AE35" s="5">
        <f t="shared" si="14"/>
        <v>22535.3542967</v>
      </c>
      <c r="AF35"/>
      <c r="AG35" s="36"/>
      <c r="AH35" s="5">
        <f t="shared" si="15"/>
        <v>77.42107499999999</v>
      </c>
      <c r="AI35" s="5">
        <f t="shared" si="16"/>
        <v>77.42107499999999</v>
      </c>
      <c r="AJ35" s="5">
        <f t="shared" si="17"/>
        <v>85.072791</v>
      </c>
      <c r="AK35"/>
      <c r="AL35" s="36"/>
      <c r="AM35" s="5">
        <f t="shared" si="18"/>
        <v>1701.9489525</v>
      </c>
      <c r="AN35" s="5">
        <f t="shared" si="19"/>
        <v>1701.9489525</v>
      </c>
      <c r="AO35" s="5">
        <f t="shared" si="20"/>
        <v>1870.1567696999998</v>
      </c>
      <c r="AP35"/>
      <c r="AQ35" s="36"/>
      <c r="AR35" s="5">
        <f t="shared" si="21"/>
        <v>3791.5388975</v>
      </c>
      <c r="AS35" s="5">
        <f t="shared" si="22"/>
        <v>3791.5388975</v>
      </c>
      <c r="AT35" s="5">
        <f t="shared" si="23"/>
        <v>4166.2660483</v>
      </c>
      <c r="AU35"/>
      <c r="AV35" s="36"/>
      <c r="AW35" s="5">
        <f t="shared" si="24"/>
        <v>8147.5699475</v>
      </c>
      <c r="AX35" s="5">
        <f t="shared" si="25"/>
        <v>8147.5699475</v>
      </c>
      <c r="AY35" s="5">
        <f t="shared" si="26"/>
        <v>8952.8144023</v>
      </c>
      <c r="AZ35"/>
      <c r="BA35" s="36"/>
      <c r="BB35" s="5">
        <f t="shared" si="27"/>
        <v>257.5346325</v>
      </c>
      <c r="BC35" s="5">
        <f t="shared" si="28"/>
        <v>257.5346325</v>
      </c>
      <c r="BD35" s="5">
        <f t="shared" si="29"/>
        <v>282.9874161</v>
      </c>
      <c r="BF35" s="36"/>
      <c r="BG35" s="5">
        <f t="shared" si="30"/>
        <v>786.773415</v>
      </c>
      <c r="BH35" s="5">
        <f t="shared" si="31"/>
        <v>786.773415</v>
      </c>
      <c r="BI35" s="5">
        <f t="shared" si="32"/>
        <v>864.5321742</v>
      </c>
      <c r="BJ35"/>
      <c r="BK35" s="36"/>
      <c r="BL35" s="5">
        <f t="shared" si="33"/>
        <v>3890.2385950000003</v>
      </c>
      <c r="BM35" s="5">
        <f t="shared" si="34"/>
        <v>3890.2385950000003</v>
      </c>
      <c r="BN35" s="5">
        <f t="shared" si="35"/>
        <v>4274.7204806</v>
      </c>
      <c r="BO35"/>
      <c r="BP35" s="36"/>
      <c r="BQ35" s="5">
        <f t="shared" si="36"/>
        <v>858.4487750000001</v>
      </c>
      <c r="BR35" s="5">
        <f t="shared" si="37"/>
        <v>858.4487750000001</v>
      </c>
      <c r="BS35" s="5">
        <f t="shared" si="38"/>
        <v>943.291387</v>
      </c>
      <c r="BT35"/>
      <c r="BU35" s="36"/>
      <c r="BV35" s="5">
        <f t="shared" si="39"/>
        <v>32.72136</v>
      </c>
      <c r="BW35" s="5">
        <f t="shared" si="40"/>
        <v>32.72136</v>
      </c>
      <c r="BX35" s="5">
        <f t="shared" si="41"/>
        <v>35.955292799999995</v>
      </c>
      <c r="BY35"/>
      <c r="BZ35" s="36"/>
      <c r="CA35" s="5">
        <f t="shared" si="42"/>
        <v>183.570725</v>
      </c>
      <c r="CB35" s="5">
        <f t="shared" si="43"/>
        <v>183.570725</v>
      </c>
      <c r="CC35" s="5">
        <f t="shared" si="44"/>
        <v>201.713473</v>
      </c>
      <c r="CD35"/>
      <c r="CE35" s="36"/>
      <c r="CF35" s="5">
        <f t="shared" si="45"/>
        <v>1904.4123674999998</v>
      </c>
      <c r="CG35" s="36">
        <f t="shared" si="46"/>
        <v>1904.4123674999998</v>
      </c>
      <c r="CH35" s="5">
        <f t="shared" si="47"/>
        <v>2092.6301439</v>
      </c>
      <c r="CI35"/>
      <c r="CJ35" s="36"/>
      <c r="CK35" s="5">
        <f t="shared" si="48"/>
        <v>2581.7737349999998</v>
      </c>
      <c r="CL35" s="36">
        <f t="shared" si="49"/>
        <v>2581.7737349999998</v>
      </c>
      <c r="CM35" s="5">
        <f t="shared" si="50"/>
        <v>2836.9368077999998</v>
      </c>
      <c r="CO35" s="36"/>
      <c r="CP35" s="5">
        <f t="shared" si="51"/>
        <v>1702.0463375</v>
      </c>
      <c r="CQ35" s="36">
        <f t="shared" si="52"/>
        <v>1702.0463375</v>
      </c>
      <c r="CR35" s="5">
        <f t="shared" si="53"/>
        <v>1870.2637795</v>
      </c>
      <c r="CT35" s="36"/>
      <c r="CU35" s="5">
        <f t="shared" si="54"/>
        <v>29344.729894999997</v>
      </c>
      <c r="CV35" s="5">
        <f t="shared" si="55"/>
        <v>29344.729894999997</v>
      </c>
      <c r="CW35" s="5">
        <f t="shared" si="56"/>
        <v>32244.942004599998</v>
      </c>
      <c r="CY35" s="36"/>
      <c r="CZ35" s="5">
        <f t="shared" si="57"/>
        <v>6802.780482499999</v>
      </c>
      <c r="DA35" s="5">
        <f t="shared" si="58"/>
        <v>6802.780482499999</v>
      </c>
      <c r="DB35" s="5">
        <f t="shared" si="59"/>
        <v>7475.116074099999</v>
      </c>
      <c r="DD35" s="36"/>
      <c r="DE35" s="5">
        <f t="shared" si="60"/>
        <v>1409.453105</v>
      </c>
      <c r="DF35" s="5">
        <f t="shared" si="61"/>
        <v>1409.453105</v>
      </c>
      <c r="DG35" s="5">
        <f t="shared" si="62"/>
        <v>1548.7528354</v>
      </c>
    </row>
    <row r="36" spans="1:111" ht="12.75">
      <c r="A36" s="37">
        <v>12510</v>
      </c>
      <c r="C36" s="3">
        <v>9425000</v>
      </c>
      <c r="D36" s="3">
        <v>486925</v>
      </c>
      <c r="E36" s="35">
        <f t="shared" si="0"/>
        <v>9911925</v>
      </c>
      <c r="F36" s="35">
        <v>535049</v>
      </c>
      <c r="H36" s="45">
        <f t="shared" si="63"/>
        <v>3473357.55</v>
      </c>
      <c r="I36" s="36">
        <f t="shared" si="1"/>
        <v>179444.52254999997</v>
      </c>
      <c r="J36" s="36">
        <f t="shared" si="2"/>
        <v>3652802.0725499997</v>
      </c>
      <c r="K36" s="36">
        <f t="shared" si="1"/>
        <v>197179.46777399993</v>
      </c>
      <c r="L36"/>
      <c r="M36" s="36">
        <f t="shared" si="64"/>
        <v>9526.79</v>
      </c>
      <c r="N36" s="5">
        <f t="shared" si="3"/>
        <v>492.18379000000004</v>
      </c>
      <c r="O36" s="5">
        <f t="shared" si="4"/>
        <v>10018.97379</v>
      </c>
      <c r="P36" s="5">
        <f t="shared" si="5"/>
        <v>540.8275292000001</v>
      </c>
      <c r="Q36"/>
      <c r="R36" s="36">
        <f t="shared" si="65"/>
        <v>491151.83</v>
      </c>
      <c r="S36" s="5">
        <f t="shared" si="6"/>
        <v>25374.44083</v>
      </c>
      <c r="T36" s="5">
        <f t="shared" si="7"/>
        <v>516526.27083</v>
      </c>
      <c r="U36" s="5">
        <f t="shared" si="8"/>
        <v>27882.2594684</v>
      </c>
      <c r="V36"/>
      <c r="W36" s="36">
        <f t="shared" si="66"/>
        <v>1347120.905</v>
      </c>
      <c r="X36" s="5">
        <f t="shared" si="9"/>
        <v>69596.482405</v>
      </c>
      <c r="Y36" s="5">
        <f t="shared" si="10"/>
        <v>1416717.387405</v>
      </c>
      <c r="Z36" s="5">
        <f t="shared" si="11"/>
        <v>76474.87459939999</v>
      </c>
      <c r="AA36"/>
      <c r="AB36" s="36">
        <f t="shared" si="67"/>
        <v>396964.9775</v>
      </c>
      <c r="AC36" s="5">
        <f t="shared" si="12"/>
        <v>20508.4532275</v>
      </c>
      <c r="AD36" s="5">
        <f t="shared" si="13"/>
        <v>417473.4307275</v>
      </c>
      <c r="AE36" s="5">
        <f t="shared" si="14"/>
        <v>22535.3542967</v>
      </c>
      <c r="AF36"/>
      <c r="AG36" s="36">
        <f t="shared" si="68"/>
        <v>1498.5749999999998</v>
      </c>
      <c r="AH36" s="5">
        <f t="shared" si="15"/>
        <v>77.42107499999999</v>
      </c>
      <c r="AI36" s="5">
        <f t="shared" si="16"/>
        <v>1575.9960749999998</v>
      </c>
      <c r="AJ36" s="5">
        <f t="shared" si="17"/>
        <v>85.072791</v>
      </c>
      <c r="AK36"/>
      <c r="AL36" s="36">
        <f t="shared" si="69"/>
        <v>32943.2025</v>
      </c>
      <c r="AM36" s="5">
        <f t="shared" si="18"/>
        <v>1701.9489525</v>
      </c>
      <c r="AN36" s="5">
        <f t="shared" si="19"/>
        <v>34645.1514525</v>
      </c>
      <c r="AO36" s="5">
        <f t="shared" si="20"/>
        <v>1870.1567696999998</v>
      </c>
      <c r="AP36"/>
      <c r="AQ36" s="36">
        <f t="shared" si="70"/>
        <v>73389.64749999999</v>
      </c>
      <c r="AR36" s="5">
        <f t="shared" si="21"/>
        <v>3791.5388975</v>
      </c>
      <c r="AS36" s="5">
        <f t="shared" si="22"/>
        <v>77181.18639749999</v>
      </c>
      <c r="AT36" s="5">
        <f t="shared" si="23"/>
        <v>4166.2660483</v>
      </c>
      <c r="AU36"/>
      <c r="AV36" s="36">
        <f t="shared" si="71"/>
        <v>157705.6975</v>
      </c>
      <c r="AW36" s="5">
        <f t="shared" si="24"/>
        <v>8147.5699475</v>
      </c>
      <c r="AX36" s="5">
        <f t="shared" si="25"/>
        <v>165853.26744750002</v>
      </c>
      <c r="AY36" s="5">
        <f t="shared" si="26"/>
        <v>8952.8144023</v>
      </c>
      <c r="AZ36"/>
      <c r="BA36" s="36">
        <f t="shared" si="72"/>
        <v>4984.8825</v>
      </c>
      <c r="BB36" s="5">
        <f t="shared" si="27"/>
        <v>257.5346325</v>
      </c>
      <c r="BC36" s="5">
        <f t="shared" si="28"/>
        <v>5242.4171325</v>
      </c>
      <c r="BD36" s="5">
        <f t="shared" si="29"/>
        <v>282.9874161</v>
      </c>
      <c r="BF36" s="36">
        <f t="shared" si="73"/>
        <v>15228.914999999999</v>
      </c>
      <c r="BG36" s="5">
        <f t="shared" si="30"/>
        <v>786.773415</v>
      </c>
      <c r="BH36" s="5">
        <f t="shared" si="31"/>
        <v>16015.688414999999</v>
      </c>
      <c r="BI36" s="5">
        <f t="shared" si="32"/>
        <v>864.5321742</v>
      </c>
      <c r="BJ36"/>
      <c r="BK36" s="36">
        <f t="shared" si="74"/>
        <v>75300.095</v>
      </c>
      <c r="BL36" s="5">
        <f t="shared" si="33"/>
        <v>3890.2385950000003</v>
      </c>
      <c r="BM36" s="5">
        <f t="shared" si="34"/>
        <v>79190.333595</v>
      </c>
      <c r="BN36" s="5">
        <f t="shared" si="35"/>
        <v>4274.7204806</v>
      </c>
      <c r="BO36"/>
      <c r="BP36" s="36">
        <f t="shared" si="75"/>
        <v>16616.275</v>
      </c>
      <c r="BQ36" s="5">
        <f t="shared" si="36"/>
        <v>858.4487750000001</v>
      </c>
      <c r="BR36" s="5">
        <f t="shared" si="37"/>
        <v>17474.723775000002</v>
      </c>
      <c r="BS36" s="5">
        <f t="shared" si="38"/>
        <v>943.291387</v>
      </c>
      <c r="BT36"/>
      <c r="BU36" s="36">
        <f t="shared" si="76"/>
        <v>633.3599999999999</v>
      </c>
      <c r="BV36" s="5">
        <f t="shared" si="39"/>
        <v>32.72136</v>
      </c>
      <c r="BW36" s="5">
        <f t="shared" si="40"/>
        <v>666.0813599999999</v>
      </c>
      <c r="BX36" s="5">
        <f t="shared" si="41"/>
        <v>35.955292799999995</v>
      </c>
      <c r="BY36"/>
      <c r="BZ36" s="36">
        <f t="shared" si="77"/>
        <v>3553.225</v>
      </c>
      <c r="CA36" s="5">
        <f t="shared" si="42"/>
        <v>183.570725</v>
      </c>
      <c r="CB36" s="5">
        <f t="shared" si="43"/>
        <v>3736.795725</v>
      </c>
      <c r="CC36" s="5">
        <f t="shared" si="44"/>
        <v>201.713473</v>
      </c>
      <c r="CD36"/>
      <c r="CE36" s="36">
        <f t="shared" si="78"/>
        <v>36862.1175</v>
      </c>
      <c r="CF36" s="5">
        <f t="shared" si="45"/>
        <v>1904.4123674999998</v>
      </c>
      <c r="CG36" s="36">
        <f t="shared" si="46"/>
        <v>38766.5298675</v>
      </c>
      <c r="CH36" s="5">
        <f t="shared" si="47"/>
        <v>2092.6301439</v>
      </c>
      <c r="CI36"/>
      <c r="CJ36" s="36">
        <f t="shared" si="79"/>
        <v>49973.235</v>
      </c>
      <c r="CK36" s="5">
        <f t="shared" si="48"/>
        <v>2581.7737349999998</v>
      </c>
      <c r="CL36" s="36">
        <f t="shared" si="49"/>
        <v>52555.008735</v>
      </c>
      <c r="CM36" s="5">
        <f t="shared" si="50"/>
        <v>2836.9368077999998</v>
      </c>
      <c r="CO36" s="36">
        <f t="shared" si="80"/>
        <v>32945.0875</v>
      </c>
      <c r="CP36" s="5">
        <f t="shared" si="51"/>
        <v>1702.0463375</v>
      </c>
      <c r="CQ36" s="36">
        <f t="shared" si="52"/>
        <v>34647.133837500005</v>
      </c>
      <c r="CR36" s="5">
        <f t="shared" si="53"/>
        <v>1870.2637795</v>
      </c>
      <c r="CT36" s="36">
        <f t="shared" si="81"/>
        <v>568001.395</v>
      </c>
      <c r="CU36" s="5">
        <f t="shared" si="54"/>
        <v>29344.729894999997</v>
      </c>
      <c r="CV36" s="5">
        <f t="shared" si="55"/>
        <v>597346.124895</v>
      </c>
      <c r="CW36" s="5">
        <f t="shared" si="56"/>
        <v>32244.942004599998</v>
      </c>
      <c r="CY36" s="36">
        <f t="shared" si="82"/>
        <v>131675.73249999998</v>
      </c>
      <c r="CZ36" s="5">
        <f t="shared" si="57"/>
        <v>6802.780482499999</v>
      </c>
      <c r="DA36" s="5">
        <f t="shared" si="58"/>
        <v>138478.5129825</v>
      </c>
      <c r="DB36" s="5">
        <f t="shared" si="59"/>
        <v>7475.116074099999</v>
      </c>
      <c r="DD36" s="36">
        <f t="shared" si="83"/>
        <v>27281.605000000003</v>
      </c>
      <c r="DE36" s="5">
        <f t="shared" si="60"/>
        <v>1409.453105</v>
      </c>
      <c r="DF36" s="5">
        <f t="shared" si="61"/>
        <v>28691.058105000004</v>
      </c>
      <c r="DG36" s="5">
        <f t="shared" si="62"/>
        <v>1548.7528354</v>
      </c>
    </row>
    <row r="37" spans="1:111" ht="12.75">
      <c r="A37" s="37">
        <v>12693</v>
      </c>
      <c r="D37" s="3">
        <v>298425</v>
      </c>
      <c r="E37" s="35">
        <f t="shared" si="0"/>
        <v>298425</v>
      </c>
      <c r="F37" s="35">
        <v>535049</v>
      </c>
      <c r="H37" s="45"/>
      <c r="I37" s="36">
        <f t="shared" si="1"/>
        <v>109977.37155000001</v>
      </c>
      <c r="J37" s="36">
        <f t="shared" si="2"/>
        <v>109977.37155000001</v>
      </c>
      <c r="K37" s="36">
        <f t="shared" si="1"/>
        <v>197179.46777399993</v>
      </c>
      <c r="L37"/>
      <c r="M37" s="36"/>
      <c r="N37" s="5">
        <f t="shared" si="3"/>
        <v>301.64799</v>
      </c>
      <c r="O37" s="5">
        <f t="shared" si="4"/>
        <v>301.64799</v>
      </c>
      <c r="P37" s="5">
        <f t="shared" si="5"/>
        <v>540.8275292000001</v>
      </c>
      <c r="Q37"/>
      <c r="R37" s="36"/>
      <c r="S37" s="5">
        <f t="shared" si="6"/>
        <v>15551.40423</v>
      </c>
      <c r="T37" s="5">
        <f t="shared" si="7"/>
        <v>15551.40423</v>
      </c>
      <c r="U37" s="5">
        <f t="shared" si="8"/>
        <v>27882.2594684</v>
      </c>
      <c r="V37"/>
      <c r="W37" s="36"/>
      <c r="X37" s="5">
        <f t="shared" si="9"/>
        <v>42654.064305</v>
      </c>
      <c r="Y37" s="5">
        <f t="shared" si="10"/>
        <v>42654.064305</v>
      </c>
      <c r="Z37" s="5">
        <f t="shared" si="11"/>
        <v>76474.87459939999</v>
      </c>
      <c r="AA37"/>
      <c r="AB37" s="36"/>
      <c r="AC37" s="5">
        <f t="shared" si="12"/>
        <v>12569.153677499999</v>
      </c>
      <c r="AD37" s="5">
        <f t="shared" si="13"/>
        <v>12569.153677499999</v>
      </c>
      <c r="AE37" s="5">
        <f t="shared" si="14"/>
        <v>22535.3542967</v>
      </c>
      <c r="AF37"/>
      <c r="AG37" s="36"/>
      <c r="AH37" s="5">
        <f t="shared" si="15"/>
        <v>47.449574999999996</v>
      </c>
      <c r="AI37" s="5">
        <f t="shared" si="16"/>
        <v>47.449574999999996</v>
      </c>
      <c r="AJ37" s="5">
        <f t="shared" si="17"/>
        <v>85.072791</v>
      </c>
      <c r="AK37"/>
      <c r="AL37" s="36"/>
      <c r="AM37" s="5">
        <f t="shared" si="18"/>
        <v>1043.0849025</v>
      </c>
      <c r="AN37" s="5">
        <f t="shared" si="19"/>
        <v>1043.0849025</v>
      </c>
      <c r="AO37" s="5">
        <f t="shared" si="20"/>
        <v>1870.1567696999998</v>
      </c>
      <c r="AP37"/>
      <c r="AQ37" s="36"/>
      <c r="AR37" s="5">
        <f t="shared" si="21"/>
        <v>2323.7459475</v>
      </c>
      <c r="AS37" s="5">
        <f t="shared" si="22"/>
        <v>2323.7459475</v>
      </c>
      <c r="AT37" s="5">
        <f t="shared" si="23"/>
        <v>4166.2660483</v>
      </c>
      <c r="AU37"/>
      <c r="AV37" s="36"/>
      <c r="AW37" s="5">
        <f t="shared" si="24"/>
        <v>4993.4559975</v>
      </c>
      <c r="AX37" s="5">
        <f t="shared" si="25"/>
        <v>4993.4559975</v>
      </c>
      <c r="AY37" s="5">
        <f t="shared" si="26"/>
        <v>8952.8144023</v>
      </c>
      <c r="AZ37"/>
      <c r="BA37" s="36"/>
      <c r="BB37" s="5">
        <f t="shared" si="27"/>
        <v>157.8369825</v>
      </c>
      <c r="BC37" s="5">
        <f t="shared" si="28"/>
        <v>157.8369825</v>
      </c>
      <c r="BD37" s="5">
        <f t="shared" si="29"/>
        <v>282.9874161</v>
      </c>
      <c r="BF37" s="36"/>
      <c r="BG37" s="5">
        <f t="shared" si="30"/>
        <v>482.195115</v>
      </c>
      <c r="BH37" s="5">
        <f t="shared" si="31"/>
        <v>482.195115</v>
      </c>
      <c r="BI37" s="5">
        <f t="shared" si="32"/>
        <v>864.5321742</v>
      </c>
      <c r="BJ37"/>
      <c r="BK37" s="36"/>
      <c r="BL37" s="5">
        <f t="shared" si="33"/>
        <v>2384.236695</v>
      </c>
      <c r="BM37" s="5">
        <f t="shared" si="34"/>
        <v>2384.236695</v>
      </c>
      <c r="BN37" s="5">
        <f t="shared" si="35"/>
        <v>4274.7204806</v>
      </c>
      <c r="BO37"/>
      <c r="BP37" s="36"/>
      <c r="BQ37" s="5">
        <f t="shared" si="36"/>
        <v>526.123275</v>
      </c>
      <c r="BR37" s="5">
        <f t="shared" si="37"/>
        <v>526.123275</v>
      </c>
      <c r="BS37" s="5">
        <f t="shared" si="38"/>
        <v>943.291387</v>
      </c>
      <c r="BT37"/>
      <c r="BU37" s="36"/>
      <c r="BV37" s="5">
        <f t="shared" si="39"/>
        <v>20.05416</v>
      </c>
      <c r="BW37" s="5">
        <f t="shared" si="40"/>
        <v>20.05416</v>
      </c>
      <c r="BX37" s="5">
        <f t="shared" si="41"/>
        <v>35.955292799999995</v>
      </c>
      <c r="BY37"/>
      <c r="BZ37" s="36"/>
      <c r="CA37" s="5">
        <f t="shared" si="42"/>
        <v>112.506225</v>
      </c>
      <c r="CB37" s="5">
        <f t="shared" si="43"/>
        <v>112.506225</v>
      </c>
      <c r="CC37" s="5">
        <f t="shared" si="44"/>
        <v>201.713473</v>
      </c>
      <c r="CD37"/>
      <c r="CE37" s="36"/>
      <c r="CF37" s="5">
        <f t="shared" si="45"/>
        <v>1167.1700174999999</v>
      </c>
      <c r="CG37" s="36">
        <f t="shared" si="46"/>
        <v>1167.1700174999999</v>
      </c>
      <c r="CH37" s="5">
        <f t="shared" si="47"/>
        <v>2092.6301439</v>
      </c>
      <c r="CI37"/>
      <c r="CJ37" s="36"/>
      <c r="CK37" s="5">
        <f t="shared" si="48"/>
        <v>1582.309035</v>
      </c>
      <c r="CL37" s="36">
        <f t="shared" si="49"/>
        <v>1582.309035</v>
      </c>
      <c r="CM37" s="5">
        <f t="shared" si="50"/>
        <v>2836.9368077999998</v>
      </c>
      <c r="CO37" s="36"/>
      <c r="CP37" s="5">
        <f t="shared" si="51"/>
        <v>1043.1445875</v>
      </c>
      <c r="CQ37" s="36">
        <f t="shared" si="52"/>
        <v>1043.1445875</v>
      </c>
      <c r="CR37" s="5">
        <f t="shared" si="53"/>
        <v>1870.2637795</v>
      </c>
      <c r="CT37" s="36"/>
      <c r="CU37" s="5">
        <f t="shared" si="54"/>
        <v>17984.701995</v>
      </c>
      <c r="CV37" s="5">
        <f t="shared" si="55"/>
        <v>17984.701995</v>
      </c>
      <c r="CW37" s="5">
        <f t="shared" si="56"/>
        <v>32244.942004599998</v>
      </c>
      <c r="CY37" s="36"/>
      <c r="CZ37" s="5">
        <f t="shared" si="57"/>
        <v>4169.2658325</v>
      </c>
      <c r="DA37" s="5">
        <f t="shared" si="58"/>
        <v>4169.2658325</v>
      </c>
      <c r="DB37" s="5">
        <f t="shared" si="59"/>
        <v>7475.116074099999</v>
      </c>
      <c r="DD37" s="36"/>
      <c r="DE37" s="5">
        <f t="shared" si="60"/>
        <v>863.821005</v>
      </c>
      <c r="DF37" s="5">
        <f t="shared" si="61"/>
        <v>863.821005</v>
      </c>
      <c r="DG37" s="5">
        <f t="shared" si="62"/>
        <v>1548.7528354</v>
      </c>
    </row>
    <row r="38" spans="1:111" ht="12.75">
      <c r="A38" s="37">
        <v>12875</v>
      </c>
      <c r="C38" s="3">
        <v>9800000</v>
      </c>
      <c r="D38" s="3">
        <v>298425</v>
      </c>
      <c r="E38" s="35">
        <f t="shared" si="0"/>
        <v>10098425</v>
      </c>
      <c r="F38" s="35">
        <v>535049</v>
      </c>
      <c r="H38" s="45">
        <f t="shared" si="63"/>
        <v>3611554.8</v>
      </c>
      <c r="I38" s="36">
        <f t="shared" si="1"/>
        <v>109977.37155000001</v>
      </c>
      <c r="J38" s="36">
        <f t="shared" si="2"/>
        <v>3721532.1715499996</v>
      </c>
      <c r="K38" s="36">
        <f t="shared" si="1"/>
        <v>197179.46777399993</v>
      </c>
      <c r="L38"/>
      <c r="M38" s="36">
        <f t="shared" si="64"/>
        <v>9905.84</v>
      </c>
      <c r="N38" s="5">
        <f t="shared" si="3"/>
        <v>301.64799</v>
      </c>
      <c r="O38" s="5">
        <f t="shared" si="4"/>
        <v>10207.48799</v>
      </c>
      <c r="P38" s="5">
        <f t="shared" si="5"/>
        <v>540.8275292000001</v>
      </c>
      <c r="Q38"/>
      <c r="R38" s="36">
        <f t="shared" si="65"/>
        <v>510693.68</v>
      </c>
      <c r="S38" s="5">
        <f t="shared" si="6"/>
        <v>15551.40423</v>
      </c>
      <c r="T38" s="5">
        <f t="shared" si="7"/>
        <v>526245.08423</v>
      </c>
      <c r="U38" s="5">
        <f t="shared" si="8"/>
        <v>27882.2594684</v>
      </c>
      <c r="V38"/>
      <c r="W38" s="36">
        <f t="shared" si="66"/>
        <v>1400719.88</v>
      </c>
      <c r="X38" s="5">
        <f t="shared" si="9"/>
        <v>42654.064305</v>
      </c>
      <c r="Y38" s="5">
        <f t="shared" si="10"/>
        <v>1443373.944305</v>
      </c>
      <c r="Z38" s="5">
        <f t="shared" si="11"/>
        <v>76474.87459939999</v>
      </c>
      <c r="AA38"/>
      <c r="AB38" s="36">
        <f t="shared" si="67"/>
        <v>412759.33999999997</v>
      </c>
      <c r="AC38" s="5">
        <f t="shared" si="12"/>
        <v>12569.153677499999</v>
      </c>
      <c r="AD38" s="5">
        <f t="shared" si="13"/>
        <v>425328.49367749994</v>
      </c>
      <c r="AE38" s="5">
        <f t="shared" si="14"/>
        <v>22535.3542967</v>
      </c>
      <c r="AF38"/>
      <c r="AG38" s="36">
        <f t="shared" si="68"/>
        <v>1558.1999999999998</v>
      </c>
      <c r="AH38" s="5">
        <f t="shared" si="15"/>
        <v>47.449574999999996</v>
      </c>
      <c r="AI38" s="5">
        <f t="shared" si="16"/>
        <v>1605.649575</v>
      </c>
      <c r="AJ38" s="5">
        <f t="shared" si="17"/>
        <v>85.072791</v>
      </c>
      <c r="AK38"/>
      <c r="AL38" s="36">
        <f t="shared" si="69"/>
        <v>34253.939999999995</v>
      </c>
      <c r="AM38" s="5">
        <f t="shared" si="18"/>
        <v>1043.0849025</v>
      </c>
      <c r="AN38" s="5">
        <f t="shared" si="19"/>
        <v>35297.024902499994</v>
      </c>
      <c r="AO38" s="5">
        <f t="shared" si="20"/>
        <v>1870.1567696999998</v>
      </c>
      <c r="AP38"/>
      <c r="AQ38" s="36">
        <f t="shared" si="70"/>
        <v>76309.66</v>
      </c>
      <c r="AR38" s="5">
        <f t="shared" si="21"/>
        <v>2323.7459475</v>
      </c>
      <c r="AS38" s="5">
        <f t="shared" si="22"/>
        <v>78633.40594750001</v>
      </c>
      <c r="AT38" s="5">
        <f t="shared" si="23"/>
        <v>4166.2660483</v>
      </c>
      <c r="AU38"/>
      <c r="AV38" s="36">
        <f t="shared" si="71"/>
        <v>163980.46</v>
      </c>
      <c r="AW38" s="5">
        <f t="shared" si="24"/>
        <v>4993.4559975</v>
      </c>
      <c r="AX38" s="5">
        <f t="shared" si="25"/>
        <v>168973.91599749998</v>
      </c>
      <c r="AY38" s="5">
        <f t="shared" si="26"/>
        <v>8952.8144023</v>
      </c>
      <c r="AZ38"/>
      <c r="BA38" s="36">
        <f t="shared" si="72"/>
        <v>5183.22</v>
      </c>
      <c r="BB38" s="5">
        <f t="shared" si="27"/>
        <v>157.8369825</v>
      </c>
      <c r="BC38" s="5">
        <f t="shared" si="28"/>
        <v>5341.0569825</v>
      </c>
      <c r="BD38" s="5">
        <f t="shared" si="29"/>
        <v>282.9874161</v>
      </c>
      <c r="BF38" s="36">
        <f t="shared" si="73"/>
        <v>15834.839999999998</v>
      </c>
      <c r="BG38" s="5">
        <f t="shared" si="30"/>
        <v>482.195115</v>
      </c>
      <c r="BH38" s="5">
        <f t="shared" si="31"/>
        <v>16317.035114999999</v>
      </c>
      <c r="BI38" s="5">
        <f t="shared" si="32"/>
        <v>864.5321742</v>
      </c>
      <c r="BJ38"/>
      <c r="BK38" s="36">
        <f t="shared" si="74"/>
        <v>78296.12000000001</v>
      </c>
      <c r="BL38" s="5">
        <f t="shared" si="33"/>
        <v>2384.236695</v>
      </c>
      <c r="BM38" s="5">
        <f t="shared" si="34"/>
        <v>80680.35669500001</v>
      </c>
      <c r="BN38" s="5">
        <f t="shared" si="35"/>
        <v>4274.7204806</v>
      </c>
      <c r="BO38"/>
      <c r="BP38" s="36">
        <f t="shared" si="75"/>
        <v>17277.4</v>
      </c>
      <c r="BQ38" s="5">
        <f t="shared" si="36"/>
        <v>526.123275</v>
      </c>
      <c r="BR38" s="5">
        <f t="shared" si="37"/>
        <v>17803.523275000003</v>
      </c>
      <c r="BS38" s="5">
        <f t="shared" si="38"/>
        <v>943.291387</v>
      </c>
      <c r="BT38"/>
      <c r="BU38" s="36">
        <f t="shared" si="76"/>
        <v>658.56</v>
      </c>
      <c r="BV38" s="5">
        <f t="shared" si="39"/>
        <v>20.05416</v>
      </c>
      <c r="BW38" s="5">
        <f t="shared" si="40"/>
        <v>678.61416</v>
      </c>
      <c r="BX38" s="5">
        <f t="shared" si="41"/>
        <v>35.955292799999995</v>
      </c>
      <c r="BY38"/>
      <c r="BZ38" s="36">
        <f t="shared" si="77"/>
        <v>3694.6</v>
      </c>
      <c r="CA38" s="5">
        <f t="shared" si="42"/>
        <v>112.506225</v>
      </c>
      <c r="CB38" s="5">
        <f t="shared" si="43"/>
        <v>3807.106225</v>
      </c>
      <c r="CC38" s="5">
        <f t="shared" si="44"/>
        <v>201.713473</v>
      </c>
      <c r="CD38"/>
      <c r="CE38" s="36">
        <f t="shared" si="78"/>
        <v>38328.78</v>
      </c>
      <c r="CF38" s="5">
        <f t="shared" si="45"/>
        <v>1167.1700174999999</v>
      </c>
      <c r="CG38" s="36">
        <f t="shared" si="46"/>
        <v>39495.9500175</v>
      </c>
      <c r="CH38" s="5">
        <f t="shared" si="47"/>
        <v>2092.6301439</v>
      </c>
      <c r="CI38"/>
      <c r="CJ38" s="36">
        <f t="shared" si="79"/>
        <v>51961.56</v>
      </c>
      <c r="CK38" s="5">
        <f t="shared" si="48"/>
        <v>1582.309035</v>
      </c>
      <c r="CL38" s="36">
        <f t="shared" si="49"/>
        <v>53543.869034999996</v>
      </c>
      <c r="CM38" s="5">
        <f t="shared" si="50"/>
        <v>2836.9368077999998</v>
      </c>
      <c r="CO38" s="36">
        <f t="shared" si="80"/>
        <v>34255.9</v>
      </c>
      <c r="CP38" s="5">
        <f t="shared" si="51"/>
        <v>1043.1445875</v>
      </c>
      <c r="CQ38" s="36">
        <f t="shared" si="52"/>
        <v>35299.0445875</v>
      </c>
      <c r="CR38" s="5">
        <f t="shared" si="53"/>
        <v>1870.2637795</v>
      </c>
      <c r="CT38" s="36">
        <f t="shared" si="81"/>
        <v>590600.9199999999</v>
      </c>
      <c r="CU38" s="5">
        <f t="shared" si="54"/>
        <v>17984.701995</v>
      </c>
      <c r="CV38" s="5">
        <f t="shared" si="55"/>
        <v>608585.6219949999</v>
      </c>
      <c r="CW38" s="5">
        <f t="shared" si="56"/>
        <v>32244.942004599998</v>
      </c>
      <c r="CY38" s="36">
        <f t="shared" si="82"/>
        <v>136914.82</v>
      </c>
      <c r="CZ38" s="5">
        <f t="shared" si="57"/>
        <v>4169.2658325</v>
      </c>
      <c r="DA38" s="5">
        <f t="shared" si="58"/>
        <v>141084.08583250002</v>
      </c>
      <c r="DB38" s="5">
        <f t="shared" si="59"/>
        <v>7475.116074099999</v>
      </c>
      <c r="DD38" s="36">
        <f t="shared" si="83"/>
        <v>28367.08</v>
      </c>
      <c r="DE38" s="5">
        <f t="shared" si="60"/>
        <v>863.821005</v>
      </c>
      <c r="DF38" s="5">
        <f t="shared" si="61"/>
        <v>29230.901005000003</v>
      </c>
      <c r="DG38" s="5">
        <f t="shared" si="62"/>
        <v>1548.7528354</v>
      </c>
    </row>
    <row r="39" spans="1:111" ht="12.75">
      <c r="A39" s="37">
        <v>13058</v>
      </c>
      <c r="D39" s="3">
        <v>151425</v>
      </c>
      <c r="E39" s="35">
        <f t="shared" si="0"/>
        <v>151425</v>
      </c>
      <c r="F39" s="35">
        <v>535049</v>
      </c>
      <c r="H39" s="45"/>
      <c r="I39" s="36">
        <f t="shared" si="1"/>
        <v>55804.049549999996</v>
      </c>
      <c r="J39" s="36">
        <f t="shared" si="2"/>
        <v>55804.049549999996</v>
      </c>
      <c r="K39" s="36">
        <f t="shared" si="1"/>
        <v>197179.46777399993</v>
      </c>
      <c r="L39"/>
      <c r="M39" s="36"/>
      <c r="N39" s="5">
        <f t="shared" si="3"/>
        <v>153.06039</v>
      </c>
      <c r="O39" s="5">
        <f t="shared" si="4"/>
        <v>153.06039</v>
      </c>
      <c r="P39" s="5">
        <f t="shared" si="5"/>
        <v>540.8275292000001</v>
      </c>
      <c r="Q39"/>
      <c r="R39" s="36"/>
      <c r="S39" s="5">
        <f t="shared" si="6"/>
        <v>7890.99903</v>
      </c>
      <c r="T39" s="5">
        <f t="shared" si="7"/>
        <v>7890.99903</v>
      </c>
      <c r="U39" s="5">
        <f t="shared" si="8"/>
        <v>27882.2594684</v>
      </c>
      <c r="V39"/>
      <c r="W39" s="36"/>
      <c r="X39" s="5">
        <f t="shared" si="9"/>
        <v>21643.266105</v>
      </c>
      <c r="Y39" s="5">
        <f t="shared" si="10"/>
        <v>21643.266105</v>
      </c>
      <c r="Z39" s="5">
        <f t="shared" si="11"/>
        <v>76474.87459939999</v>
      </c>
      <c r="AA39"/>
      <c r="AB39" s="36"/>
      <c r="AC39" s="5">
        <f t="shared" si="12"/>
        <v>6377.7635775</v>
      </c>
      <c r="AD39" s="5">
        <f t="shared" si="13"/>
        <v>6377.7635775</v>
      </c>
      <c r="AE39" s="5">
        <f t="shared" si="14"/>
        <v>22535.3542967</v>
      </c>
      <c r="AF39"/>
      <c r="AG39" s="36"/>
      <c r="AH39" s="5">
        <f t="shared" si="15"/>
        <v>24.076575</v>
      </c>
      <c r="AI39" s="5">
        <f t="shared" si="16"/>
        <v>24.076575</v>
      </c>
      <c r="AJ39" s="5">
        <f t="shared" si="17"/>
        <v>85.072791</v>
      </c>
      <c r="AK39"/>
      <c r="AL39" s="36"/>
      <c r="AM39" s="5">
        <f t="shared" si="18"/>
        <v>529.2758024999999</v>
      </c>
      <c r="AN39" s="5">
        <f t="shared" si="19"/>
        <v>529.2758024999999</v>
      </c>
      <c r="AO39" s="5">
        <f t="shared" si="20"/>
        <v>1870.1567696999998</v>
      </c>
      <c r="AP39"/>
      <c r="AQ39" s="36"/>
      <c r="AR39" s="5">
        <f t="shared" si="21"/>
        <v>1179.1010475</v>
      </c>
      <c r="AS39" s="5">
        <f t="shared" si="22"/>
        <v>1179.1010475</v>
      </c>
      <c r="AT39" s="5">
        <f t="shared" si="23"/>
        <v>4166.2660483</v>
      </c>
      <c r="AU39"/>
      <c r="AV39" s="36"/>
      <c r="AW39" s="5">
        <f t="shared" si="24"/>
        <v>2533.7490975</v>
      </c>
      <c r="AX39" s="5">
        <f t="shared" si="25"/>
        <v>2533.7490975</v>
      </c>
      <c r="AY39" s="5">
        <f t="shared" si="26"/>
        <v>8952.8144023</v>
      </c>
      <c r="AZ39"/>
      <c r="BA39" s="36"/>
      <c r="BB39" s="5">
        <f t="shared" si="27"/>
        <v>80.0886825</v>
      </c>
      <c r="BC39" s="5">
        <f t="shared" si="28"/>
        <v>80.0886825</v>
      </c>
      <c r="BD39" s="5">
        <f t="shared" si="29"/>
        <v>282.9874161</v>
      </c>
      <c r="BF39" s="36"/>
      <c r="BG39" s="5">
        <f t="shared" si="30"/>
        <v>244.67251499999998</v>
      </c>
      <c r="BH39" s="5">
        <f t="shared" si="31"/>
        <v>244.67251499999998</v>
      </c>
      <c r="BI39" s="5">
        <f t="shared" si="32"/>
        <v>864.5321742</v>
      </c>
      <c r="BJ39"/>
      <c r="BK39" s="36"/>
      <c r="BL39" s="5">
        <f t="shared" si="33"/>
        <v>1209.794895</v>
      </c>
      <c r="BM39" s="5">
        <f t="shared" si="34"/>
        <v>1209.794895</v>
      </c>
      <c r="BN39" s="5">
        <f t="shared" si="35"/>
        <v>4274.7204806</v>
      </c>
      <c r="BO39"/>
      <c r="BP39" s="36"/>
      <c r="BQ39" s="5">
        <f t="shared" si="36"/>
        <v>266.962275</v>
      </c>
      <c r="BR39" s="5">
        <f t="shared" si="37"/>
        <v>266.962275</v>
      </c>
      <c r="BS39" s="5">
        <f t="shared" si="38"/>
        <v>943.291387</v>
      </c>
      <c r="BT39"/>
      <c r="BU39" s="36"/>
      <c r="BV39" s="5">
        <f t="shared" si="39"/>
        <v>10.175759999999999</v>
      </c>
      <c r="BW39" s="5">
        <f t="shared" si="40"/>
        <v>10.175759999999999</v>
      </c>
      <c r="BX39" s="5">
        <f t="shared" si="41"/>
        <v>35.955292799999995</v>
      </c>
      <c r="BY39"/>
      <c r="BZ39" s="36"/>
      <c r="CA39" s="5">
        <f t="shared" si="42"/>
        <v>57.087225000000004</v>
      </c>
      <c r="CB39" s="5">
        <f t="shared" si="43"/>
        <v>57.087225000000004</v>
      </c>
      <c r="CC39" s="5">
        <f t="shared" si="44"/>
        <v>201.713473</v>
      </c>
      <c r="CD39"/>
      <c r="CE39" s="36"/>
      <c r="CF39" s="5">
        <f t="shared" si="45"/>
        <v>592.2383175</v>
      </c>
      <c r="CG39" s="36">
        <f t="shared" si="46"/>
        <v>592.2383175</v>
      </c>
      <c r="CH39" s="5">
        <f t="shared" si="47"/>
        <v>2092.6301439</v>
      </c>
      <c r="CI39"/>
      <c r="CJ39" s="36"/>
      <c r="CK39" s="5">
        <f t="shared" si="48"/>
        <v>802.885635</v>
      </c>
      <c r="CL39" s="36">
        <f t="shared" si="49"/>
        <v>802.885635</v>
      </c>
      <c r="CM39" s="5">
        <f t="shared" si="50"/>
        <v>2836.9368077999998</v>
      </c>
      <c r="CO39" s="36"/>
      <c r="CP39" s="5">
        <f t="shared" si="51"/>
        <v>529.3060875</v>
      </c>
      <c r="CQ39" s="36">
        <f t="shared" si="52"/>
        <v>529.3060875</v>
      </c>
      <c r="CR39" s="5">
        <f t="shared" si="53"/>
        <v>1870.2637795</v>
      </c>
      <c r="CT39" s="36"/>
      <c r="CU39" s="5">
        <f t="shared" si="54"/>
        <v>9125.688194999999</v>
      </c>
      <c r="CV39" s="5">
        <f t="shared" si="55"/>
        <v>9125.688194999999</v>
      </c>
      <c r="CW39" s="5">
        <f t="shared" si="56"/>
        <v>32244.942004599998</v>
      </c>
      <c r="CY39" s="36"/>
      <c r="CZ39" s="5">
        <f t="shared" si="57"/>
        <v>2115.5435325</v>
      </c>
      <c r="DA39" s="5">
        <f t="shared" si="58"/>
        <v>2115.5435325</v>
      </c>
      <c r="DB39" s="5">
        <f t="shared" si="59"/>
        <v>7475.116074099999</v>
      </c>
      <c r="DD39" s="36"/>
      <c r="DE39" s="5">
        <f t="shared" si="60"/>
        <v>438.31480500000004</v>
      </c>
      <c r="DF39" s="5">
        <f t="shared" si="61"/>
        <v>438.31480500000004</v>
      </c>
      <c r="DG39" s="5">
        <f t="shared" si="62"/>
        <v>1548.7528354</v>
      </c>
    </row>
    <row r="40" spans="1:111" ht="12.75">
      <c r="A40" s="37">
        <v>13241</v>
      </c>
      <c r="C40" s="3">
        <v>10095000</v>
      </c>
      <c r="D40" s="3">
        <v>151425</v>
      </c>
      <c r="E40" s="35">
        <f t="shared" si="0"/>
        <v>10246425</v>
      </c>
      <c r="F40" s="35">
        <v>535049</v>
      </c>
      <c r="H40" s="45">
        <f t="shared" si="63"/>
        <v>3720269.9699999993</v>
      </c>
      <c r="I40" s="36">
        <f t="shared" si="1"/>
        <v>55804.049549999996</v>
      </c>
      <c r="J40" s="36">
        <f t="shared" si="2"/>
        <v>3776074.0195499994</v>
      </c>
      <c r="K40" s="36">
        <f t="shared" si="1"/>
        <v>197179.46777399993</v>
      </c>
      <c r="L40"/>
      <c r="M40" s="36">
        <f t="shared" si="64"/>
        <v>10204.026</v>
      </c>
      <c r="N40" s="5">
        <f t="shared" si="3"/>
        <v>153.06039</v>
      </c>
      <c r="O40" s="5">
        <f t="shared" si="4"/>
        <v>10357.08639</v>
      </c>
      <c r="P40" s="5">
        <f t="shared" si="5"/>
        <v>540.8275292000001</v>
      </c>
      <c r="Q40"/>
      <c r="R40" s="36">
        <f t="shared" si="65"/>
        <v>526066.602</v>
      </c>
      <c r="S40" s="5">
        <f t="shared" si="6"/>
        <v>7890.99903</v>
      </c>
      <c r="T40" s="5">
        <f t="shared" si="7"/>
        <v>533957.6010299999</v>
      </c>
      <c r="U40" s="5">
        <f t="shared" si="8"/>
        <v>27882.2594684</v>
      </c>
      <c r="V40"/>
      <c r="W40" s="36">
        <f t="shared" si="66"/>
        <v>1442884.407</v>
      </c>
      <c r="X40" s="5">
        <f t="shared" si="9"/>
        <v>21643.266105</v>
      </c>
      <c r="Y40" s="5">
        <f t="shared" si="10"/>
        <v>1464527.6731049998</v>
      </c>
      <c r="Z40" s="5">
        <f t="shared" si="11"/>
        <v>76474.87459939999</v>
      </c>
      <c r="AA40"/>
      <c r="AB40" s="36">
        <f t="shared" si="67"/>
        <v>425184.2385</v>
      </c>
      <c r="AC40" s="5">
        <f t="shared" si="12"/>
        <v>6377.7635775</v>
      </c>
      <c r="AD40" s="5">
        <f t="shared" si="13"/>
        <v>431562.0020775</v>
      </c>
      <c r="AE40" s="5">
        <f t="shared" si="14"/>
        <v>22535.3542967</v>
      </c>
      <c r="AF40"/>
      <c r="AG40" s="36">
        <f t="shared" si="68"/>
        <v>1605.1049999999998</v>
      </c>
      <c r="AH40" s="5">
        <f t="shared" si="15"/>
        <v>24.076575</v>
      </c>
      <c r="AI40" s="5">
        <f t="shared" si="16"/>
        <v>1629.1815749999998</v>
      </c>
      <c r="AJ40" s="5">
        <f t="shared" si="17"/>
        <v>85.072791</v>
      </c>
      <c r="AK40"/>
      <c r="AL40" s="36">
        <f t="shared" si="69"/>
        <v>35285.053499999995</v>
      </c>
      <c r="AM40" s="5">
        <f t="shared" si="18"/>
        <v>529.2758024999999</v>
      </c>
      <c r="AN40" s="5">
        <f t="shared" si="19"/>
        <v>35814.329302499995</v>
      </c>
      <c r="AO40" s="5">
        <f t="shared" si="20"/>
        <v>1870.1567696999998</v>
      </c>
      <c r="AP40"/>
      <c r="AQ40" s="36">
        <f t="shared" si="70"/>
        <v>78606.7365</v>
      </c>
      <c r="AR40" s="5">
        <f t="shared" si="21"/>
        <v>1179.1010475</v>
      </c>
      <c r="AS40" s="5">
        <f t="shared" si="22"/>
        <v>79785.83754749999</v>
      </c>
      <c r="AT40" s="5">
        <f t="shared" si="23"/>
        <v>4166.2660483</v>
      </c>
      <c r="AU40"/>
      <c r="AV40" s="36">
        <f t="shared" si="71"/>
        <v>168916.6065</v>
      </c>
      <c r="AW40" s="5">
        <f t="shared" si="24"/>
        <v>2533.7490975</v>
      </c>
      <c r="AX40" s="5">
        <f t="shared" si="25"/>
        <v>171450.3555975</v>
      </c>
      <c r="AY40" s="5">
        <f t="shared" si="26"/>
        <v>8952.8144023</v>
      </c>
      <c r="AZ40"/>
      <c r="BA40" s="36">
        <f t="shared" si="72"/>
        <v>5339.2455</v>
      </c>
      <c r="BB40" s="5">
        <f t="shared" si="27"/>
        <v>80.0886825</v>
      </c>
      <c r="BC40" s="5">
        <f t="shared" si="28"/>
        <v>5419.3341825</v>
      </c>
      <c r="BD40" s="5">
        <f t="shared" si="29"/>
        <v>282.9874161</v>
      </c>
      <c r="BF40" s="36">
        <f t="shared" si="73"/>
        <v>16311.500999999998</v>
      </c>
      <c r="BG40" s="5">
        <f t="shared" si="30"/>
        <v>244.67251499999998</v>
      </c>
      <c r="BH40" s="5">
        <f t="shared" si="31"/>
        <v>16556.173515</v>
      </c>
      <c r="BI40" s="5">
        <f t="shared" si="32"/>
        <v>864.5321742</v>
      </c>
      <c r="BJ40"/>
      <c r="BK40" s="36">
        <f t="shared" si="74"/>
        <v>80652.993</v>
      </c>
      <c r="BL40" s="5">
        <f t="shared" si="33"/>
        <v>1209.794895</v>
      </c>
      <c r="BM40" s="5">
        <f t="shared" si="34"/>
        <v>81862.787895</v>
      </c>
      <c r="BN40" s="5">
        <f t="shared" si="35"/>
        <v>4274.7204806</v>
      </c>
      <c r="BO40"/>
      <c r="BP40" s="36">
        <f t="shared" si="75"/>
        <v>17797.485</v>
      </c>
      <c r="BQ40" s="5">
        <f t="shared" si="36"/>
        <v>266.962275</v>
      </c>
      <c r="BR40" s="5">
        <f t="shared" si="37"/>
        <v>18064.447275000002</v>
      </c>
      <c r="BS40" s="5">
        <f t="shared" si="38"/>
        <v>943.291387</v>
      </c>
      <c r="BT40"/>
      <c r="BU40" s="36">
        <f t="shared" si="76"/>
        <v>678.3839999999999</v>
      </c>
      <c r="BV40" s="5">
        <f t="shared" si="39"/>
        <v>10.175759999999999</v>
      </c>
      <c r="BW40" s="5">
        <f t="shared" si="40"/>
        <v>688.5597599999999</v>
      </c>
      <c r="BX40" s="5">
        <f t="shared" si="41"/>
        <v>35.955292799999995</v>
      </c>
      <c r="BY40"/>
      <c r="BZ40" s="36">
        <f t="shared" si="77"/>
        <v>3805.815</v>
      </c>
      <c r="CA40" s="5">
        <f t="shared" si="42"/>
        <v>57.087225000000004</v>
      </c>
      <c r="CB40" s="5">
        <f t="shared" si="43"/>
        <v>3862.9022250000003</v>
      </c>
      <c r="CC40" s="5">
        <f t="shared" si="44"/>
        <v>201.713473</v>
      </c>
      <c r="CD40"/>
      <c r="CE40" s="36">
        <f t="shared" si="78"/>
        <v>39482.5545</v>
      </c>
      <c r="CF40" s="5">
        <f t="shared" si="45"/>
        <v>592.2383175</v>
      </c>
      <c r="CG40" s="36">
        <f t="shared" si="46"/>
        <v>40074.7928175</v>
      </c>
      <c r="CH40" s="5">
        <f t="shared" si="47"/>
        <v>2092.6301439</v>
      </c>
      <c r="CI40"/>
      <c r="CJ40" s="36">
        <f t="shared" si="79"/>
        <v>53525.709</v>
      </c>
      <c r="CK40" s="5">
        <f t="shared" si="48"/>
        <v>802.885635</v>
      </c>
      <c r="CL40" s="36">
        <f t="shared" si="49"/>
        <v>54328.594635</v>
      </c>
      <c r="CM40" s="5">
        <f t="shared" si="50"/>
        <v>2836.9368077999998</v>
      </c>
      <c r="CO40" s="36">
        <f t="shared" si="80"/>
        <v>35287.0725</v>
      </c>
      <c r="CP40" s="5">
        <f t="shared" si="51"/>
        <v>529.3060875</v>
      </c>
      <c r="CQ40" s="36">
        <f t="shared" si="52"/>
        <v>35816.3785875</v>
      </c>
      <c r="CR40" s="5">
        <f t="shared" si="53"/>
        <v>1870.2637795</v>
      </c>
      <c r="CT40" s="36">
        <f t="shared" si="81"/>
        <v>608379.213</v>
      </c>
      <c r="CU40" s="5">
        <f t="shared" si="54"/>
        <v>9125.688194999999</v>
      </c>
      <c r="CV40" s="5">
        <f t="shared" si="55"/>
        <v>617504.901195</v>
      </c>
      <c r="CW40" s="5">
        <f t="shared" si="56"/>
        <v>32244.942004599998</v>
      </c>
      <c r="CY40" s="36">
        <f t="shared" si="82"/>
        <v>141036.2355</v>
      </c>
      <c r="CZ40" s="5">
        <f t="shared" si="57"/>
        <v>2115.5435325</v>
      </c>
      <c r="DA40" s="5">
        <f t="shared" si="58"/>
        <v>143151.7790325</v>
      </c>
      <c r="DB40" s="5">
        <f t="shared" si="59"/>
        <v>7475.116074099999</v>
      </c>
      <c r="DD40" s="36">
        <f t="shared" si="83"/>
        <v>29220.987</v>
      </c>
      <c r="DE40" s="5">
        <f t="shared" si="60"/>
        <v>438.31480500000004</v>
      </c>
      <c r="DF40" s="5">
        <f t="shared" si="61"/>
        <v>29659.301805000003</v>
      </c>
      <c r="DG40" s="5">
        <f t="shared" si="62"/>
        <v>1548.7528354</v>
      </c>
    </row>
    <row r="41" spans="6:111" ht="12.75">
      <c r="F41" s="35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H41"/>
      <c r="CI41"/>
      <c r="CJ41"/>
      <c r="CK41"/>
      <c r="CM41"/>
      <c r="CO41"/>
      <c r="CP41"/>
      <c r="CR41"/>
      <c r="CW41"/>
      <c r="DB41"/>
      <c r="DG41"/>
    </row>
    <row r="42" spans="1:111" ht="13.5" thickBot="1">
      <c r="A42" s="39" t="s">
        <v>7</v>
      </c>
      <c r="C42" s="40">
        <f>SUM(C9:C40)</f>
        <v>121920000</v>
      </c>
      <c r="D42" s="40">
        <f>SUM(D9:D40)</f>
        <v>44424160</v>
      </c>
      <c r="E42" s="40">
        <f>SUM(E9:E40)</f>
        <v>166344160</v>
      </c>
      <c r="F42" s="40">
        <f>SUM(F9:F41)</f>
        <v>17121568</v>
      </c>
      <c r="H42" s="40">
        <f>SUM(H9:H41)</f>
        <v>44930689.919999994</v>
      </c>
      <c r="I42" s="40">
        <f>SUM(I9:I41)</f>
        <v>16371457.988159996</v>
      </c>
      <c r="J42" s="40">
        <f>SUM(J9:J41)</f>
        <v>61302147.90816</v>
      </c>
      <c r="K42" s="40">
        <f>SUM(K9:K41)</f>
        <v>6309742.968768</v>
      </c>
      <c r="M42" s="40">
        <f>SUM(M9:M41)</f>
        <v>123236.73599999999</v>
      </c>
      <c r="N42" s="40">
        <f>SUM(N9:N41)</f>
        <v>44903.940927999996</v>
      </c>
      <c r="O42" s="40">
        <f>SUM(O9:O41)</f>
        <v>168140.676928</v>
      </c>
      <c r="P42" s="40">
        <f>SUM(P9:P41)</f>
        <v>17306.4809344</v>
      </c>
      <c r="R42" s="40">
        <f>SUM(R9:R41)</f>
        <v>6353446.272</v>
      </c>
      <c r="S42" s="40">
        <f>SUM(S9:S41)</f>
        <v>2315014.0562560004</v>
      </c>
      <c r="T42" s="40">
        <f>SUM(T9:T41)</f>
        <v>8668460.328256</v>
      </c>
      <c r="U42" s="40">
        <f>SUM(U9:U41)</f>
        <v>892232.3029888003</v>
      </c>
      <c r="W42" s="40">
        <f>SUM(W9:W41)</f>
        <v>17426098.752</v>
      </c>
      <c r="X42" s="40">
        <f>SUM(X9:X41)</f>
        <v>6349571.843295998</v>
      </c>
      <c r="Y42" s="40">
        <f>SUM(Y9:Y41)</f>
        <v>23775670.595296</v>
      </c>
      <c r="Z42" s="40">
        <f>SUM(Z9:Z41)</f>
        <v>2447195.9871807997</v>
      </c>
      <c r="AB42" s="40">
        <f>SUM(AB9:AB41)</f>
        <v>5135063.135999999</v>
      </c>
      <c r="AC42" s="40">
        <f>SUM(AC9:AC41)</f>
        <v>1871070.0981279998</v>
      </c>
      <c r="AD42" s="40">
        <f>SUM(AD9:AD41)</f>
        <v>7006133.234127999</v>
      </c>
      <c r="AE42" s="40">
        <f>SUM(AE9:AE41)</f>
        <v>721131.3374943997</v>
      </c>
      <c r="AG42" s="40">
        <f>SUM(AG9:AG41)</f>
        <v>19385.28</v>
      </c>
      <c r="AH42" s="40">
        <f>SUM(AH9:AH41)</f>
        <v>7063.441439999999</v>
      </c>
      <c r="AI42" s="40">
        <f>SUM(AI9:AI41)</f>
        <v>26448.721439999987</v>
      </c>
      <c r="AJ42" s="40">
        <f>SUM(AJ9:AJ41)</f>
        <v>2722.329312000001</v>
      </c>
      <c r="AL42" s="40">
        <f>SUM(AL9:AL41)</f>
        <v>426146.976</v>
      </c>
      <c r="AM42" s="40">
        <f>SUM(AM9:AM41)</f>
        <v>155275.76644800004</v>
      </c>
      <c r="AN42" s="40">
        <f>SUM(AN9:AN41)</f>
        <v>581422.742448</v>
      </c>
      <c r="AO42" s="40">
        <f>SUM(AO9:AO41)</f>
        <v>59845.01663039998</v>
      </c>
      <c r="AQ42" s="40">
        <f>SUM(AQ9:AQ41)</f>
        <v>949354.464</v>
      </c>
      <c r="AR42" s="40">
        <f>SUM(AR9:AR41)</f>
        <v>345917.60667199997</v>
      </c>
      <c r="AS42" s="40">
        <f>SUM(AS9:AS41)</f>
        <v>1295272.0706719994</v>
      </c>
      <c r="AT42" s="40">
        <f>SUM(AT9:AT41)</f>
        <v>133320.51354559988</v>
      </c>
      <c r="AV42" s="40">
        <f>SUM(AV9:AV41)</f>
        <v>2040050.784</v>
      </c>
      <c r="AW42" s="40">
        <f>SUM(AW9:AW41)</f>
        <v>743336.1420319998</v>
      </c>
      <c r="AX42" s="40">
        <f>SUM(AX9:AX41)</f>
        <v>2783386.9260319993</v>
      </c>
      <c r="AY42" s="40">
        <f>SUM(AY9:AY41)</f>
        <v>286490.0608735999</v>
      </c>
      <c r="BA42" s="40">
        <f>SUM(BA9:BA41)</f>
        <v>64483.488</v>
      </c>
      <c r="BB42" s="40">
        <f>SUM(BB9:BB41)</f>
        <v>23495.938223999998</v>
      </c>
      <c r="BC42" s="40">
        <f>SUM(BC9:BC41)</f>
        <v>87979.426224</v>
      </c>
      <c r="BD42" s="40">
        <f>SUM(BD9:BD41)</f>
        <v>9055.597315199999</v>
      </c>
      <c r="BE42" s="35"/>
      <c r="BF42" s="40">
        <f>SUM(BF9:BF41)</f>
        <v>196998.33599999995</v>
      </c>
      <c r="BG42" s="40">
        <f>SUM(BG9:BG41)</f>
        <v>71780.55772799999</v>
      </c>
      <c r="BH42" s="40">
        <f>SUM(BH9:BH41)</f>
        <v>268778.89372800005</v>
      </c>
      <c r="BI42" s="40">
        <f>SUM(BI9:BI41)</f>
        <v>27665.029574400014</v>
      </c>
      <c r="BK42" s="40">
        <f>SUM(BK9:BK41)</f>
        <v>974067.648</v>
      </c>
      <c r="BL42" s="40">
        <f>SUM(BL9:BL41)</f>
        <v>354922.3839040001</v>
      </c>
      <c r="BM42" s="40">
        <f>SUM(BM9:BM41)</f>
        <v>1328990.0319040003</v>
      </c>
      <c r="BN42" s="40">
        <f>SUM(BN9:BN41)</f>
        <v>136791.0553791999</v>
      </c>
      <c r="BP42" s="40">
        <f>SUM(BP9:BP41)</f>
        <v>214944.96000000002</v>
      </c>
      <c r="BQ42" s="40">
        <f>SUM(BQ9:BQ41)</f>
        <v>78319.79407999998</v>
      </c>
      <c r="BR42" s="40">
        <f>SUM(BR9:BR41)</f>
        <v>293264.75408000004</v>
      </c>
      <c r="BS42" s="40">
        <f>SUM(BS9:BS41)</f>
        <v>30185.32438400001</v>
      </c>
      <c r="BU42" s="40">
        <f>SUM(BU9:BU41)</f>
        <v>8193.024</v>
      </c>
      <c r="BV42" s="40">
        <f>SUM(BV9:BV41)</f>
        <v>2985.3035520000008</v>
      </c>
      <c r="BW42" s="40">
        <f>SUM(BW9:BW41)</f>
        <v>11178.327551999997</v>
      </c>
      <c r="BX42" s="40">
        <f>SUM(BX9:BX41)</f>
        <v>1150.5693696000008</v>
      </c>
      <c r="BZ42" s="40">
        <f>SUM(BZ9:BZ41)</f>
        <v>45963.84</v>
      </c>
      <c r="CA42" s="40">
        <f>SUM(CA9:CA41)</f>
        <v>16747.908320000002</v>
      </c>
      <c r="CB42" s="40">
        <f>SUM(CB9:CB41)</f>
        <v>62711.748320000006</v>
      </c>
      <c r="CC42" s="40">
        <f>SUM(CC9:CC41)</f>
        <v>6454.831135999996</v>
      </c>
      <c r="CE42" s="40">
        <f>SUM(CE9:CE41)</f>
        <v>476841.3119999999</v>
      </c>
      <c r="CF42" s="40">
        <f>SUM(CF9:CF41)</f>
        <v>173747.33217599997</v>
      </c>
      <c r="CG42" s="40">
        <f>SUM(CG9:CG41)</f>
        <v>650588.6441759998</v>
      </c>
      <c r="CH42" s="40">
        <f>SUM(CH9:CH41)</f>
        <v>66964.16460480004</v>
      </c>
      <c r="CJ42" s="40">
        <f>SUM(CJ9:CJ41)</f>
        <v>646444.2239999999</v>
      </c>
      <c r="CK42" s="40">
        <f>SUM(CK9:CK41)</f>
        <v>235545.78115200007</v>
      </c>
      <c r="CL42" s="40">
        <f>SUM(CL9:CL41)</f>
        <v>881990.0051519999</v>
      </c>
      <c r="CM42" s="40">
        <f>SUM(CM9:CM41)</f>
        <v>90781.97784959995</v>
      </c>
      <c r="CO42" s="40">
        <f>SUM(CO9:CO41)</f>
        <v>426171.36000000004</v>
      </c>
      <c r="CP42" s="40">
        <f>SUM(CP9:CP41)</f>
        <v>155284.65128000005</v>
      </c>
      <c r="CQ42" s="40">
        <f>SUM(CQ9:CQ41)</f>
        <v>581456.01128</v>
      </c>
      <c r="CR42" s="40">
        <f>SUM(CR9:CR41)</f>
        <v>59848.44094399997</v>
      </c>
      <c r="CT42" s="40">
        <f>SUM(CT9:CT41)</f>
        <v>7347557.567999998</v>
      </c>
      <c r="CU42" s="40">
        <f>SUM(CU9:CU41)</f>
        <v>2677239.7720639994</v>
      </c>
      <c r="CV42" s="40">
        <f>SUM(CV9:CV41)</f>
        <v>10024797.340064002</v>
      </c>
      <c r="CW42" s="40">
        <f>SUM(CW9:CW41)</f>
        <v>1031838.1441471995</v>
      </c>
      <c r="CY42" s="40">
        <f>SUM(CY9:CY41)</f>
        <v>1703332.128</v>
      </c>
      <c r="CZ42" s="40">
        <f>SUM(CZ9:CZ41)</f>
        <v>620645.496944</v>
      </c>
      <c r="DA42" s="40">
        <f>SUM(DA9:DA41)</f>
        <v>2323977.624944</v>
      </c>
      <c r="DB42" s="40">
        <f>SUM(DB9:DB41)</f>
        <v>239203.71437119992</v>
      </c>
      <c r="DD42" s="40">
        <f>SUM(DD9:DD41)</f>
        <v>352909.63200000004</v>
      </c>
      <c r="DE42" s="40">
        <f>SUM(DE9:DE41)</f>
        <v>128590.173536</v>
      </c>
      <c r="DF42" s="40">
        <f>SUM(DF9:DF41)</f>
        <v>481499.80553600006</v>
      </c>
      <c r="DG42" s="40">
        <f>SUM(DG9:DG41)</f>
        <v>49560.09073280002</v>
      </c>
    </row>
    <row r="43" spans="8:94" ht="13.5" thickTop="1"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I43"/>
      <c r="CJ43"/>
      <c r="CK43"/>
      <c r="CO43"/>
      <c r="CP43"/>
    </row>
    <row r="44" spans="8:94" ht="12.75"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I44"/>
      <c r="CJ44"/>
      <c r="CK44"/>
      <c r="CO44"/>
      <c r="CP44"/>
    </row>
    <row r="45" spans="8:94" ht="12.75"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I45"/>
      <c r="CJ45"/>
      <c r="CK45"/>
      <c r="CO45"/>
      <c r="CP45"/>
    </row>
    <row r="46" spans="8:94" ht="12.75"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I46"/>
      <c r="CJ46"/>
      <c r="CK46"/>
      <c r="CO46"/>
      <c r="CP46"/>
    </row>
    <row r="47" spans="8:94" ht="12.75"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I47"/>
      <c r="CJ47"/>
      <c r="CK47"/>
      <c r="CO47"/>
      <c r="CP47"/>
    </row>
    <row r="48" spans="8:94" ht="12.75"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I48"/>
      <c r="CJ48"/>
      <c r="CK48"/>
      <c r="CO48"/>
      <c r="CP48"/>
    </row>
    <row r="49" spans="1:94" ht="12.75">
      <c r="A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I49"/>
      <c r="CJ49"/>
      <c r="CK49"/>
      <c r="CO49"/>
      <c r="CP49"/>
    </row>
    <row r="50" spans="1:94" ht="12.75">
      <c r="A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I50"/>
      <c r="CJ50"/>
      <c r="CK50"/>
      <c r="CO50"/>
      <c r="CP50"/>
    </row>
    <row r="51" spans="1:94" ht="12.75">
      <c r="A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I51"/>
      <c r="CJ51"/>
      <c r="CK51"/>
      <c r="CO51"/>
      <c r="CP51"/>
    </row>
    <row r="52" spans="1:94" ht="12.75">
      <c r="A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I52"/>
      <c r="CJ52"/>
      <c r="CK52"/>
      <c r="CO52"/>
      <c r="CP52"/>
    </row>
    <row r="53" spans="1:94" ht="12.75">
      <c r="A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I53"/>
      <c r="CJ53"/>
      <c r="CK53"/>
      <c r="CO53"/>
      <c r="CP53"/>
    </row>
    <row r="54" spans="1:94" ht="12.75">
      <c r="A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I54"/>
      <c r="CJ54"/>
      <c r="CK54"/>
      <c r="CO54"/>
      <c r="CP54"/>
    </row>
    <row r="55" spans="1:94" ht="12.75">
      <c r="A55"/>
      <c r="C55"/>
      <c r="D55"/>
      <c r="E55"/>
      <c r="F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I55"/>
      <c r="CJ55"/>
      <c r="CK55"/>
      <c r="CO55"/>
      <c r="CP55"/>
    </row>
    <row r="56" spans="1:6" ht="12.75">
      <c r="A56"/>
      <c r="C56"/>
      <c r="D56"/>
      <c r="E56"/>
      <c r="F56"/>
    </row>
    <row r="57" spans="1:6" ht="12.75">
      <c r="A57"/>
      <c r="C57"/>
      <c r="D57"/>
      <c r="E57"/>
      <c r="F57"/>
    </row>
    <row r="58" spans="1:6" ht="12.75">
      <c r="A58"/>
      <c r="C58"/>
      <c r="D58"/>
      <c r="E58"/>
      <c r="F58"/>
    </row>
    <row r="59" spans="1:6" ht="12.75">
      <c r="A59"/>
      <c r="C59"/>
      <c r="D59"/>
      <c r="E59"/>
      <c r="F59"/>
    </row>
    <row r="60" spans="1:6" ht="12.75">
      <c r="A60"/>
      <c r="C60"/>
      <c r="D60"/>
      <c r="E60"/>
      <c r="F60"/>
    </row>
    <row r="61" spans="1:6" ht="12.75">
      <c r="A61"/>
      <c r="C61"/>
      <c r="D61"/>
      <c r="E61"/>
      <c r="F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1:6" ht="12.75">
      <c r="A66"/>
      <c r="C66"/>
      <c r="D66"/>
      <c r="E66"/>
      <c r="F66"/>
    </row>
    <row r="67" spans="1:6" ht="12.75">
      <c r="A67"/>
      <c r="C67"/>
      <c r="D67"/>
      <c r="E67"/>
      <c r="F67"/>
    </row>
    <row r="68" spans="1:6" ht="12.75">
      <c r="A68"/>
      <c r="C68"/>
      <c r="D68"/>
      <c r="E68"/>
      <c r="F68"/>
    </row>
    <row r="69" spans="1:6" ht="12.75">
      <c r="A69"/>
      <c r="C69"/>
      <c r="D69"/>
      <c r="E69"/>
      <c r="F69"/>
    </row>
    <row r="70" spans="1:6" ht="12.75">
      <c r="A70"/>
      <c r="C70"/>
      <c r="D70"/>
      <c r="E70"/>
      <c r="F70"/>
    </row>
    <row r="71" spans="1:6" ht="12.75">
      <c r="A71"/>
      <c r="C71"/>
      <c r="D71"/>
      <c r="E71"/>
      <c r="F71"/>
    </row>
    <row r="72" spans="1:6" ht="12.75">
      <c r="A72"/>
      <c r="C72"/>
      <c r="D72"/>
      <c r="E72"/>
      <c r="F72"/>
    </row>
    <row r="73" spans="1:6" ht="12.75">
      <c r="A73"/>
      <c r="C73"/>
      <c r="D73"/>
      <c r="E73"/>
      <c r="F73"/>
    </row>
    <row r="74" spans="1:6" ht="12.75">
      <c r="A74"/>
      <c r="C74"/>
      <c r="D74"/>
      <c r="E74"/>
      <c r="F74"/>
    </row>
    <row r="75" spans="1:6" ht="12.75">
      <c r="A75"/>
      <c r="C75"/>
      <c r="D75"/>
      <c r="E75"/>
      <c r="F75"/>
    </row>
    <row r="76" spans="3:6" ht="12.75">
      <c r="C76"/>
      <c r="D76"/>
      <c r="E76"/>
      <c r="F76"/>
    </row>
    <row r="77" spans="3:6" ht="12.75">
      <c r="C77"/>
      <c r="D77"/>
      <c r="E77"/>
      <c r="F77"/>
    </row>
    <row r="78" spans="3:6" ht="12.75">
      <c r="C78"/>
      <c r="D78"/>
      <c r="E78"/>
      <c r="F78"/>
    </row>
    <row r="79" spans="3:6" ht="12.75">
      <c r="C79"/>
      <c r="D79"/>
      <c r="E79"/>
      <c r="F79"/>
    </row>
    <row r="80" spans="3:6" ht="12.75">
      <c r="C80"/>
      <c r="D80"/>
      <c r="E80"/>
      <c r="F80"/>
    </row>
    <row r="81" spans="3:6" ht="12.75">
      <c r="C81"/>
      <c r="D81"/>
      <c r="E81"/>
      <c r="F81"/>
    </row>
  </sheetData>
  <sheetProtection/>
  <printOptions/>
  <pageMargins left="0.75" right="0" top="0" bottom="0" header="0.5" footer="0"/>
  <pageSetup horizontalDpi="600" verticalDpi="600" orientation="landscape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="214" zoomScaleNormal="214" zoomScalePageLayoutView="0" workbookViewId="0" topLeftCell="A1">
      <pane xSplit="3" ySplit="5" topLeftCell="D2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45" sqref="R45"/>
    </sheetView>
  </sheetViews>
  <sheetFormatPr defaultColWidth="10.7109375" defaultRowHeight="12.75"/>
  <cols>
    <col min="1" max="1" width="11.00390625" style="0" customWidth="1"/>
    <col min="2" max="2" width="18.7109375" style="0" customWidth="1"/>
    <col min="3" max="3" width="44.00390625" style="0" customWidth="1"/>
    <col min="4" max="4" width="20.140625" style="47" customWidth="1"/>
    <col min="5" max="5" width="18.28125" style="47" customWidth="1"/>
    <col min="6" max="6" width="17.00390625" style="47" customWidth="1"/>
    <col min="7" max="7" width="14.00390625" style="47" hidden="1" customWidth="1"/>
    <col min="8" max="8" width="14.7109375" style="47" customWidth="1"/>
    <col min="9" max="9" width="17.28125" style="47" customWidth="1"/>
    <col min="10" max="10" width="14.140625" style="47" hidden="1" customWidth="1"/>
    <col min="11" max="11" width="17.28125" style="47" customWidth="1"/>
    <col min="12" max="12" width="16.28125" style="47" customWidth="1"/>
    <col min="13" max="13" width="15.140625" style="47" customWidth="1"/>
    <col min="14" max="14" width="17.7109375" style="47" customWidth="1"/>
    <col min="15" max="15" width="17.00390625" style="47" customWidth="1"/>
    <col min="16" max="16" width="15.7109375" style="47" customWidth="1"/>
    <col min="17" max="17" width="17.7109375" style="47" customWidth="1"/>
    <col min="18" max="18" width="15.140625" style="8" customWidth="1"/>
    <col min="19" max="19" width="15.7109375" style="0" customWidth="1"/>
  </cols>
  <sheetData>
    <row r="1" ht="12.75">
      <c r="A1" s="46" t="s">
        <v>95</v>
      </c>
    </row>
    <row r="3" spans="1:18" ht="12.75">
      <c r="A3" s="48"/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72" t="s">
        <v>96</v>
      </c>
      <c r="R3" s="50" t="s">
        <v>18</v>
      </c>
    </row>
    <row r="4" spans="1:18" ht="12.75">
      <c r="A4" s="51" t="s">
        <v>19</v>
      </c>
      <c r="B4" s="51" t="s">
        <v>20</v>
      </c>
      <c r="C4" s="51" t="s">
        <v>21</v>
      </c>
      <c r="D4" s="52" t="s">
        <v>7</v>
      </c>
      <c r="E4" s="52" t="s">
        <v>22</v>
      </c>
      <c r="F4" s="52" t="s">
        <v>23</v>
      </c>
      <c r="G4" s="52" t="s">
        <v>24</v>
      </c>
      <c r="H4" s="52" t="s">
        <v>25</v>
      </c>
      <c r="I4" s="52" t="s">
        <v>26</v>
      </c>
      <c r="J4" s="52" t="s">
        <v>27</v>
      </c>
      <c r="K4" s="52" t="s">
        <v>28</v>
      </c>
      <c r="L4" s="52" t="s">
        <v>29</v>
      </c>
      <c r="M4" s="52" t="s">
        <v>30</v>
      </c>
      <c r="N4" s="52" t="s">
        <v>31</v>
      </c>
      <c r="O4" s="52" t="s">
        <v>32</v>
      </c>
      <c r="P4" s="52" t="s">
        <v>33</v>
      </c>
      <c r="Q4" s="52" t="s">
        <v>55</v>
      </c>
      <c r="R4" s="53" t="s">
        <v>34</v>
      </c>
    </row>
    <row r="5" spans="1:18" s="57" customFormat="1" ht="13.5" thickBot="1">
      <c r="A5" s="54"/>
      <c r="B5" s="54"/>
      <c r="C5" s="54" t="s">
        <v>35</v>
      </c>
      <c r="D5" s="55">
        <f>SUM(E5:Q5)</f>
        <v>160388262.97000003</v>
      </c>
      <c r="E5" s="55">
        <f aca="true" t="shared" si="0" ref="E5:Q5">SUM(E6:E51)</f>
        <v>38637028.88</v>
      </c>
      <c r="F5" s="55">
        <f t="shared" si="0"/>
        <v>4844521.380000001</v>
      </c>
      <c r="G5" s="55">
        <f t="shared" si="0"/>
        <v>0</v>
      </c>
      <c r="H5" s="55">
        <f t="shared" si="0"/>
        <v>284655.61</v>
      </c>
      <c r="I5" s="55">
        <f t="shared" si="0"/>
        <v>12753888.73</v>
      </c>
      <c r="J5" s="55">
        <f t="shared" si="0"/>
        <v>0</v>
      </c>
      <c r="K5" s="55">
        <f t="shared" si="0"/>
        <v>127021.89</v>
      </c>
      <c r="L5" s="55">
        <f t="shared" si="0"/>
        <v>326216.97</v>
      </c>
      <c r="M5" s="55">
        <f t="shared" si="0"/>
        <v>289229.1</v>
      </c>
      <c r="N5" s="55">
        <f t="shared" si="0"/>
        <v>2366154.23</v>
      </c>
      <c r="O5" s="55">
        <f t="shared" si="0"/>
        <v>73341272.58000001</v>
      </c>
      <c r="P5" s="55">
        <f t="shared" si="0"/>
        <v>374309.16</v>
      </c>
      <c r="Q5" s="55">
        <f t="shared" si="0"/>
        <v>27043964.439999998</v>
      </c>
      <c r="R5" s="56"/>
    </row>
    <row r="6" spans="1:17" ht="13.5" thickTop="1">
      <c r="A6" s="58"/>
      <c r="B6" s="59"/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8" ht="12.75" hidden="1">
      <c r="A7" s="59" t="s">
        <v>22</v>
      </c>
      <c r="B7" s="73" t="s">
        <v>73</v>
      </c>
      <c r="C7" s="59" t="s">
        <v>37</v>
      </c>
      <c r="D7" s="47">
        <f aca="true" t="shared" si="1" ref="D7:D49">SUM(E7:Q7)</f>
        <v>0</v>
      </c>
      <c r="E7" s="61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8">
        <f aca="true" t="shared" si="2" ref="R7:R50">D7/$D$5</f>
        <v>0</v>
      </c>
    </row>
    <row r="8" spans="1:18" ht="12.75" hidden="1">
      <c r="A8" s="73" t="s">
        <v>22</v>
      </c>
      <c r="B8" s="73" t="s">
        <v>38</v>
      </c>
      <c r="C8" s="73" t="s">
        <v>39</v>
      </c>
      <c r="D8" s="47">
        <f t="shared" si="1"/>
        <v>0</v>
      </c>
      <c r="E8" s="61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8">
        <f t="shared" si="2"/>
        <v>0</v>
      </c>
    </row>
    <row r="9" spans="1:18" ht="12.75">
      <c r="A9" s="73" t="s">
        <v>22</v>
      </c>
      <c r="B9" s="73" t="s">
        <v>101</v>
      </c>
      <c r="C9" s="73" t="s">
        <v>68</v>
      </c>
      <c r="D9" s="47">
        <f t="shared" si="1"/>
        <v>162157.83000000002</v>
      </c>
      <c r="E9" s="61">
        <f>57065.83+105092</f>
        <v>162157.83000000002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8">
        <f t="shared" si="2"/>
        <v>0.0010110330207287735</v>
      </c>
    </row>
    <row r="10" spans="1:18" ht="12.75">
      <c r="A10" s="73" t="s">
        <v>22</v>
      </c>
      <c r="B10" s="73" t="s">
        <v>102</v>
      </c>
      <c r="C10" s="73" t="s">
        <v>103</v>
      </c>
      <c r="D10" s="47">
        <f t="shared" si="1"/>
        <v>7373608.33</v>
      </c>
      <c r="E10" s="61">
        <f>7373608.33</f>
        <v>7373608.33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8">
        <f t="shared" si="2"/>
        <v>0.04597349078703598</v>
      </c>
    </row>
    <row r="11" spans="1:18" ht="12.75">
      <c r="A11" s="73" t="s">
        <v>22</v>
      </c>
      <c r="B11" s="73" t="s">
        <v>99</v>
      </c>
      <c r="C11" s="73" t="s">
        <v>98</v>
      </c>
      <c r="D11" s="47">
        <f t="shared" si="1"/>
        <v>19923609.95</v>
      </c>
      <c r="E11" s="61">
        <f>19923609.95</f>
        <v>19923609.95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8">
        <f t="shared" si="2"/>
        <v>0.12422112180195273</v>
      </c>
    </row>
    <row r="12" spans="1:18" ht="12.75">
      <c r="A12" s="59" t="s">
        <v>23</v>
      </c>
      <c r="B12" s="59" t="s">
        <v>109</v>
      </c>
      <c r="C12" s="59" t="s">
        <v>37</v>
      </c>
      <c r="D12" s="47">
        <f t="shared" si="1"/>
        <v>4428348.07</v>
      </c>
      <c r="E12" s="61"/>
      <c r="F12" s="61">
        <f>146337.92+618393.23+2108818.83+790350.41+676918.22+87529.46</f>
        <v>4428348.07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8">
        <f t="shared" si="2"/>
        <v>0.027610175383146987</v>
      </c>
    </row>
    <row r="13" spans="1:18" ht="12.75">
      <c r="A13" s="59" t="s">
        <v>23</v>
      </c>
      <c r="B13" s="73" t="s">
        <v>108</v>
      </c>
      <c r="C13" s="59" t="s">
        <v>39</v>
      </c>
      <c r="D13" s="47">
        <f t="shared" si="1"/>
        <v>25506.08</v>
      </c>
      <c r="E13" s="61"/>
      <c r="F13" s="61">
        <f>15312.33+10193.75</f>
        <v>25506.08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8">
        <f t="shared" si="2"/>
        <v>0.00015902709791657766</v>
      </c>
    </row>
    <row r="14" spans="1:18" ht="12.75" hidden="1">
      <c r="A14" s="59" t="s">
        <v>63</v>
      </c>
      <c r="B14" s="73" t="s">
        <v>61</v>
      </c>
      <c r="C14" s="59" t="s">
        <v>37</v>
      </c>
      <c r="D14" s="47">
        <f t="shared" si="1"/>
        <v>0</v>
      </c>
      <c r="E14" s="61"/>
      <c r="F14" s="61"/>
      <c r="G14" s="61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8">
        <f t="shared" si="2"/>
        <v>0</v>
      </c>
    </row>
    <row r="15" spans="1:18" ht="12.75">
      <c r="A15" s="59" t="s">
        <v>25</v>
      </c>
      <c r="B15" s="73" t="s">
        <v>110</v>
      </c>
      <c r="C15" s="59" t="s">
        <v>37</v>
      </c>
      <c r="D15" s="47">
        <f t="shared" si="1"/>
        <v>284655.61</v>
      </c>
      <c r="E15" s="61"/>
      <c r="F15" s="61"/>
      <c r="G15" s="60"/>
      <c r="H15" s="61">
        <f>191665.99+92989.62</f>
        <v>284655.61</v>
      </c>
      <c r="I15" s="60"/>
      <c r="J15" s="60"/>
      <c r="K15" s="60"/>
      <c r="L15" s="60"/>
      <c r="M15" s="60"/>
      <c r="N15" s="60"/>
      <c r="O15" s="60"/>
      <c r="P15" s="60"/>
      <c r="Q15" s="60"/>
      <c r="R15" s="8">
        <f t="shared" si="2"/>
        <v>0.0017747907778840628</v>
      </c>
    </row>
    <row r="16" spans="1:18" ht="12.75">
      <c r="A16" s="59" t="s">
        <v>26</v>
      </c>
      <c r="B16" s="73" t="s">
        <v>106</v>
      </c>
      <c r="C16" s="59" t="s">
        <v>37</v>
      </c>
      <c r="D16" s="47">
        <f t="shared" si="1"/>
        <v>813156.44</v>
      </c>
      <c r="E16" s="61"/>
      <c r="F16" s="61"/>
      <c r="G16" s="60"/>
      <c r="H16" s="61"/>
      <c r="I16" s="61">
        <f>498591.67+38257.4+52195.67+133880.33+48526.54+39635.33+2069.5</f>
        <v>813156.44</v>
      </c>
      <c r="J16" s="60"/>
      <c r="K16" s="60"/>
      <c r="L16" s="60"/>
      <c r="M16" s="60"/>
      <c r="N16" s="60"/>
      <c r="O16" s="60"/>
      <c r="P16" s="60"/>
      <c r="Q16" s="60"/>
      <c r="R16" s="8">
        <f t="shared" si="2"/>
        <v>0.005069924849501597</v>
      </c>
    </row>
    <row r="17" spans="1:18" ht="12.75">
      <c r="A17" s="73" t="s">
        <v>26</v>
      </c>
      <c r="B17" s="73" t="s">
        <v>71</v>
      </c>
      <c r="C17" s="73" t="s">
        <v>72</v>
      </c>
      <c r="D17" s="47">
        <f t="shared" si="1"/>
        <v>2648500.06</v>
      </c>
      <c r="E17" s="61"/>
      <c r="F17" s="61"/>
      <c r="G17" s="60"/>
      <c r="H17" s="61"/>
      <c r="I17" s="61">
        <f>2648500.06</f>
        <v>2648500.06</v>
      </c>
      <c r="J17" s="60"/>
      <c r="K17" s="60"/>
      <c r="L17" s="60"/>
      <c r="M17" s="60"/>
      <c r="N17" s="60"/>
      <c r="O17" s="60"/>
      <c r="P17" s="60"/>
      <c r="Q17" s="60"/>
      <c r="R17" s="8">
        <f t="shared" si="2"/>
        <v>0.016513054078622892</v>
      </c>
    </row>
    <row r="18" spans="1:18" ht="12.75">
      <c r="A18" s="73" t="s">
        <v>26</v>
      </c>
      <c r="B18" s="73" t="s">
        <v>69</v>
      </c>
      <c r="C18" s="73" t="s">
        <v>107</v>
      </c>
      <c r="D18" s="47">
        <f t="shared" si="1"/>
        <v>84844.97</v>
      </c>
      <c r="E18" s="61"/>
      <c r="F18" s="61"/>
      <c r="G18" s="60"/>
      <c r="H18" s="61"/>
      <c r="I18" s="61">
        <f>84844.97</f>
        <v>84844.97</v>
      </c>
      <c r="J18" s="60"/>
      <c r="K18" s="60"/>
      <c r="L18" s="60"/>
      <c r="M18" s="60"/>
      <c r="N18" s="60"/>
      <c r="O18" s="60"/>
      <c r="P18" s="60"/>
      <c r="Q18" s="60"/>
      <c r="R18" s="8">
        <f t="shared" si="2"/>
        <v>0.0005289973744267678</v>
      </c>
    </row>
    <row r="19" spans="1:18" ht="12.75" hidden="1">
      <c r="A19" s="59" t="s">
        <v>27</v>
      </c>
      <c r="B19" s="73" t="s">
        <v>74</v>
      </c>
      <c r="C19" s="59" t="s">
        <v>37</v>
      </c>
      <c r="D19" s="47">
        <f t="shared" si="1"/>
        <v>0</v>
      </c>
      <c r="E19" s="61"/>
      <c r="F19" s="61"/>
      <c r="G19" s="60"/>
      <c r="H19" s="61"/>
      <c r="I19" s="60"/>
      <c r="J19" s="61"/>
      <c r="K19" s="60"/>
      <c r="L19" s="60"/>
      <c r="M19" s="60"/>
      <c r="N19" s="60"/>
      <c r="O19" s="60"/>
      <c r="P19" s="60"/>
      <c r="Q19" s="60"/>
      <c r="R19" s="8">
        <f t="shared" si="2"/>
        <v>0</v>
      </c>
    </row>
    <row r="20" spans="1:18" ht="12.75" hidden="1">
      <c r="A20" s="59" t="s">
        <v>27</v>
      </c>
      <c r="B20" s="73" t="s">
        <v>75</v>
      </c>
      <c r="C20" s="59" t="s">
        <v>39</v>
      </c>
      <c r="D20" s="47">
        <f t="shared" si="1"/>
        <v>0</v>
      </c>
      <c r="E20" s="61"/>
      <c r="F20" s="61"/>
      <c r="G20" s="60"/>
      <c r="H20" s="61"/>
      <c r="I20" s="60"/>
      <c r="J20" s="61"/>
      <c r="K20" s="60"/>
      <c r="L20" s="60"/>
      <c r="M20" s="60"/>
      <c r="N20" s="60"/>
      <c r="O20" s="60"/>
      <c r="P20" s="60"/>
      <c r="Q20" s="60"/>
      <c r="R20" s="8">
        <f t="shared" si="2"/>
        <v>0</v>
      </c>
    </row>
    <row r="21" spans="1:18" ht="12.75">
      <c r="A21" s="59" t="s">
        <v>28</v>
      </c>
      <c r="B21" s="73" t="s">
        <v>111</v>
      </c>
      <c r="C21" s="59" t="s">
        <v>37</v>
      </c>
      <c r="D21" s="47">
        <f t="shared" si="1"/>
        <v>126001.39</v>
      </c>
      <c r="E21" s="61"/>
      <c r="F21" s="61"/>
      <c r="G21" s="60"/>
      <c r="H21" s="61"/>
      <c r="I21" s="60"/>
      <c r="J21" s="61"/>
      <c r="K21" s="61">
        <f>84789.89+41211.5</f>
        <v>126001.39</v>
      </c>
      <c r="L21" s="60"/>
      <c r="M21" s="60"/>
      <c r="N21" s="60"/>
      <c r="O21" s="60"/>
      <c r="P21" s="60"/>
      <c r="Q21" s="60"/>
      <c r="R21" s="8">
        <f t="shared" si="2"/>
        <v>0.0007856023107100302</v>
      </c>
    </row>
    <row r="22" spans="1:18" ht="12.75">
      <c r="A22" s="59" t="s">
        <v>28</v>
      </c>
      <c r="B22" s="59" t="s">
        <v>36</v>
      </c>
      <c r="C22" s="59" t="s">
        <v>40</v>
      </c>
      <c r="D22" s="47">
        <f t="shared" si="1"/>
        <v>1020.5</v>
      </c>
      <c r="E22" s="61"/>
      <c r="F22" s="60"/>
      <c r="G22" s="60"/>
      <c r="H22" s="60"/>
      <c r="I22" s="60"/>
      <c r="J22" s="60"/>
      <c r="K22" s="61">
        <f>1020.5</f>
        <v>1020.5</v>
      </c>
      <c r="L22" s="60"/>
      <c r="M22" s="60"/>
      <c r="N22" s="60"/>
      <c r="O22" s="60"/>
      <c r="P22" s="60"/>
      <c r="Q22" s="60"/>
      <c r="R22" s="8">
        <f t="shared" si="2"/>
        <v>6.36268503132851E-06</v>
      </c>
    </row>
    <row r="23" spans="1:18" ht="12.75">
      <c r="A23" s="59" t="s">
        <v>29</v>
      </c>
      <c r="B23" s="59" t="s">
        <v>112</v>
      </c>
      <c r="C23" s="59" t="s">
        <v>37</v>
      </c>
      <c r="D23" s="47">
        <f t="shared" si="1"/>
        <v>4616.25</v>
      </c>
      <c r="E23" s="61"/>
      <c r="F23" s="60"/>
      <c r="G23" s="60"/>
      <c r="H23" s="60"/>
      <c r="I23" s="60"/>
      <c r="J23" s="60"/>
      <c r="K23" s="61"/>
      <c r="L23" s="61">
        <f>4616.25</f>
        <v>4616.25</v>
      </c>
      <c r="M23" s="60"/>
      <c r="N23" s="60"/>
      <c r="O23" s="60"/>
      <c r="P23" s="60"/>
      <c r="Q23" s="60"/>
      <c r="R23" s="8">
        <f t="shared" si="2"/>
        <v>2.878171952559553E-05</v>
      </c>
    </row>
    <row r="24" spans="1:18" ht="12.75">
      <c r="A24" s="59" t="s">
        <v>29</v>
      </c>
      <c r="B24" s="59" t="s">
        <v>105</v>
      </c>
      <c r="C24" s="59" t="s">
        <v>70</v>
      </c>
      <c r="D24" s="47">
        <f t="shared" si="1"/>
        <v>46247.19</v>
      </c>
      <c r="E24" s="61"/>
      <c r="F24" s="60"/>
      <c r="G24" s="60"/>
      <c r="H24" s="60"/>
      <c r="I24" s="60"/>
      <c r="J24" s="60"/>
      <c r="K24" s="61"/>
      <c r="L24" s="61">
        <f>30196.01+16051.18</f>
        <v>46247.19</v>
      </c>
      <c r="M24" s="60"/>
      <c r="N24" s="60"/>
      <c r="O24" s="60"/>
      <c r="P24" s="60"/>
      <c r="Q24" s="60"/>
      <c r="R24" s="8">
        <f t="shared" si="2"/>
        <v>0.00028834522641254834</v>
      </c>
    </row>
    <row r="25" spans="1:18" ht="12.75">
      <c r="A25" s="59" t="s">
        <v>29</v>
      </c>
      <c r="B25" s="73" t="s">
        <v>113</v>
      </c>
      <c r="C25" s="59" t="s">
        <v>39</v>
      </c>
      <c r="D25" s="47">
        <f t="shared" si="1"/>
        <v>275353.52999999997</v>
      </c>
      <c r="E25" s="61"/>
      <c r="F25" s="60"/>
      <c r="G25" s="60"/>
      <c r="H25" s="60"/>
      <c r="I25" s="60"/>
      <c r="J25" s="60"/>
      <c r="K25" s="61"/>
      <c r="L25" s="61">
        <f>258641.93+1789.6+152.3+14769.7</f>
        <v>275353.52999999997</v>
      </c>
      <c r="M25" s="60"/>
      <c r="N25" s="60"/>
      <c r="O25" s="60"/>
      <c r="P25" s="60"/>
      <c r="Q25" s="60"/>
      <c r="R25" s="8">
        <f t="shared" si="2"/>
        <v>0.0017167935165648856</v>
      </c>
    </row>
    <row r="26" spans="1:18" ht="12.75">
      <c r="A26" s="59" t="s">
        <v>30</v>
      </c>
      <c r="B26" s="73" t="s">
        <v>114</v>
      </c>
      <c r="C26" s="59" t="s">
        <v>37</v>
      </c>
      <c r="D26" s="47">
        <f t="shared" si="1"/>
        <v>289229.1</v>
      </c>
      <c r="E26" s="61"/>
      <c r="F26" s="60"/>
      <c r="G26" s="60"/>
      <c r="H26" s="60"/>
      <c r="I26" s="60"/>
      <c r="J26" s="60"/>
      <c r="K26" s="61"/>
      <c r="L26" s="61"/>
      <c r="M26" s="61">
        <f>49569.75+239659.35</f>
        <v>289229.1</v>
      </c>
      <c r="N26" s="60"/>
      <c r="O26" s="60"/>
      <c r="P26" s="60"/>
      <c r="Q26" s="60"/>
      <c r="R26" s="8">
        <f t="shared" si="2"/>
        <v>0.001803305894360232</v>
      </c>
    </row>
    <row r="27" spans="1:18" ht="12.75">
      <c r="A27" s="59" t="s">
        <v>31</v>
      </c>
      <c r="B27" s="59" t="s">
        <v>115</v>
      </c>
      <c r="C27" s="59" t="s">
        <v>37</v>
      </c>
      <c r="D27" s="47">
        <f t="shared" si="1"/>
        <v>558575.31</v>
      </c>
      <c r="E27" s="61"/>
      <c r="F27" s="60"/>
      <c r="G27" s="60"/>
      <c r="H27" s="60"/>
      <c r="I27" s="60"/>
      <c r="J27" s="60"/>
      <c r="K27" s="61"/>
      <c r="L27" s="61"/>
      <c r="M27" s="61"/>
      <c r="N27" s="61">
        <f>147584.49+334873.32+76117.5</f>
        <v>558575.31</v>
      </c>
      <c r="O27" s="60"/>
      <c r="P27" s="60"/>
      <c r="Q27" s="60"/>
      <c r="R27" s="8">
        <f t="shared" si="2"/>
        <v>0.003482644550521002</v>
      </c>
    </row>
    <row r="28" spans="1:18" ht="12.75">
      <c r="A28" s="59" t="s">
        <v>31</v>
      </c>
      <c r="B28" s="59" t="s">
        <v>99</v>
      </c>
      <c r="C28" s="59" t="s">
        <v>100</v>
      </c>
      <c r="D28" s="47">
        <f t="shared" si="1"/>
        <v>1805192</v>
      </c>
      <c r="E28" s="61"/>
      <c r="F28" s="60"/>
      <c r="G28" s="60"/>
      <c r="H28" s="60"/>
      <c r="I28" s="60"/>
      <c r="J28" s="60"/>
      <c r="K28" s="61"/>
      <c r="L28" s="61"/>
      <c r="M28" s="61"/>
      <c r="N28" s="61">
        <f>1805192</f>
        <v>1805192</v>
      </c>
      <c r="O28" s="60"/>
      <c r="P28" s="60"/>
      <c r="Q28" s="60"/>
      <c r="R28" s="8">
        <f t="shared" si="2"/>
        <v>0.011255137792331187</v>
      </c>
    </row>
    <row r="29" spans="1:18" ht="12.75">
      <c r="A29" s="59" t="s">
        <v>32</v>
      </c>
      <c r="B29" s="59" t="s">
        <v>116</v>
      </c>
      <c r="C29" s="59" t="s">
        <v>37</v>
      </c>
      <c r="D29" s="47">
        <f t="shared" si="1"/>
        <v>2210695.9</v>
      </c>
      <c r="E29" s="61"/>
      <c r="F29" s="60"/>
      <c r="G29" s="60"/>
      <c r="H29" s="60"/>
      <c r="I29" s="60"/>
      <c r="J29" s="60"/>
      <c r="K29" s="61"/>
      <c r="L29" s="61"/>
      <c r="M29" s="61"/>
      <c r="N29" s="60"/>
      <c r="O29" s="61">
        <f>591064.16+1340943.35+272001.57+6686.82</f>
        <v>2210695.9</v>
      </c>
      <c r="P29" s="60"/>
      <c r="Q29" s="60"/>
      <c r="R29" s="8">
        <f t="shared" si="2"/>
        <v>0.013783401971336902</v>
      </c>
    </row>
    <row r="30" spans="1:19" ht="12.75">
      <c r="A30" s="59" t="s">
        <v>33</v>
      </c>
      <c r="B30" s="59" t="s">
        <v>104</v>
      </c>
      <c r="C30" s="59" t="s">
        <v>37</v>
      </c>
      <c r="D30" s="47">
        <f t="shared" si="1"/>
        <v>374309.16</v>
      </c>
      <c r="E30" s="61"/>
      <c r="F30" s="60"/>
      <c r="G30" s="60"/>
      <c r="H30" s="60"/>
      <c r="I30" s="60"/>
      <c r="J30" s="60"/>
      <c r="K30" s="61"/>
      <c r="L30" s="61"/>
      <c r="M30" s="61"/>
      <c r="N30" s="60"/>
      <c r="O30" s="61"/>
      <c r="P30" s="61">
        <f>363435.12+6474.04+4400</f>
        <v>374309.16</v>
      </c>
      <c r="Q30" s="61"/>
      <c r="R30" s="8">
        <f t="shared" si="2"/>
        <v>0.0023337690244205275</v>
      </c>
      <c r="S30" s="8">
        <f>SUM(R7:R30)</f>
        <v>0.2583457598624306</v>
      </c>
    </row>
    <row r="31" spans="1:19" ht="12.75" hidden="1">
      <c r="A31" s="59" t="s">
        <v>22</v>
      </c>
      <c r="B31" s="73" t="s">
        <v>78</v>
      </c>
      <c r="C31" s="59" t="s">
        <v>54</v>
      </c>
      <c r="D31" s="47">
        <f t="shared" si="1"/>
        <v>0</v>
      </c>
      <c r="E31" s="61"/>
      <c r="F31" s="60"/>
      <c r="G31" s="60"/>
      <c r="H31" s="60"/>
      <c r="I31" s="60"/>
      <c r="J31" s="60"/>
      <c r="K31" s="61"/>
      <c r="L31" s="61"/>
      <c r="M31" s="61"/>
      <c r="N31" s="60"/>
      <c r="O31" s="61"/>
      <c r="P31" s="61"/>
      <c r="Q31" s="61"/>
      <c r="R31" s="8">
        <f t="shared" si="2"/>
        <v>0</v>
      </c>
      <c r="S31" s="8"/>
    </row>
    <row r="32" spans="1:18" ht="12.75">
      <c r="A32" s="2" t="s">
        <v>22</v>
      </c>
      <c r="B32" s="74" t="s">
        <v>81</v>
      </c>
      <c r="C32" t="s">
        <v>41</v>
      </c>
      <c r="D32" s="47">
        <f t="shared" si="1"/>
        <v>135031.61</v>
      </c>
      <c r="E32" s="47">
        <f>135031.61</f>
        <v>135031.61</v>
      </c>
      <c r="R32" s="8">
        <f t="shared" si="2"/>
        <v>0.0008419045602187056</v>
      </c>
    </row>
    <row r="33" spans="1:18" ht="12.75">
      <c r="A33" s="74" t="s">
        <v>22</v>
      </c>
      <c r="B33" s="74" t="s">
        <v>64</v>
      </c>
      <c r="C33" s="62" t="s">
        <v>43</v>
      </c>
      <c r="D33" s="47">
        <f t="shared" si="1"/>
        <v>3485775.1</v>
      </c>
      <c r="E33" s="47">
        <f>3485775.1</f>
        <v>3485775.1</v>
      </c>
      <c r="R33" s="8">
        <f t="shared" si="2"/>
        <v>0.02173335526834654</v>
      </c>
    </row>
    <row r="34" spans="1:18" ht="12.75">
      <c r="A34" s="2" t="s">
        <v>22</v>
      </c>
      <c r="B34" s="74" t="s">
        <v>127</v>
      </c>
      <c r="C34" s="62" t="s">
        <v>43</v>
      </c>
      <c r="D34" s="47">
        <f t="shared" si="1"/>
        <v>7556846.06</v>
      </c>
      <c r="E34" s="47">
        <f>7556846.06</f>
        <v>7556846.06</v>
      </c>
      <c r="R34" s="8">
        <f t="shared" si="2"/>
        <v>0.047115954247933196</v>
      </c>
    </row>
    <row r="35" spans="1:18" ht="12.75" hidden="1">
      <c r="A35" s="74" t="s">
        <v>22</v>
      </c>
      <c r="B35" s="74" t="s">
        <v>53</v>
      </c>
      <c r="C35" s="75" t="s">
        <v>62</v>
      </c>
      <c r="D35" s="47">
        <f t="shared" si="1"/>
        <v>0</v>
      </c>
      <c r="R35" s="8">
        <f t="shared" si="2"/>
        <v>0</v>
      </c>
    </row>
    <row r="36" spans="1:18" ht="12.75" hidden="1">
      <c r="A36" s="2" t="s">
        <v>23</v>
      </c>
      <c r="B36" s="2" t="s">
        <v>53</v>
      </c>
      <c r="C36" s="62" t="s">
        <v>57</v>
      </c>
      <c r="D36" s="47">
        <f t="shared" si="1"/>
        <v>0</v>
      </c>
      <c r="R36" s="8">
        <f t="shared" si="2"/>
        <v>0</v>
      </c>
    </row>
    <row r="37" spans="1:18" ht="12.75">
      <c r="A37" s="74" t="s">
        <v>23</v>
      </c>
      <c r="B37" s="74" t="s">
        <v>64</v>
      </c>
      <c r="C37" s="75" t="s">
        <v>76</v>
      </c>
      <c r="D37" s="47">
        <f t="shared" si="1"/>
        <v>390667.23</v>
      </c>
      <c r="F37" s="47">
        <f>390667.23</f>
        <v>390667.23</v>
      </c>
      <c r="R37" s="8">
        <f t="shared" si="2"/>
        <v>0.0024357594674684685</v>
      </c>
    </row>
    <row r="38" spans="1:18" ht="12.75">
      <c r="A38" s="74" t="s">
        <v>26</v>
      </c>
      <c r="B38" s="74" t="s">
        <v>117</v>
      </c>
      <c r="C38" s="75" t="s">
        <v>118</v>
      </c>
      <c r="D38" s="47">
        <f t="shared" si="1"/>
        <v>2441511.38</v>
      </c>
      <c r="I38" s="47">
        <f>2441511.38</f>
        <v>2441511.38</v>
      </c>
      <c r="R38" s="8">
        <f t="shared" si="2"/>
        <v>0.015222506527529852</v>
      </c>
    </row>
    <row r="39" spans="1:18" ht="12.75">
      <c r="A39" s="2" t="s">
        <v>26</v>
      </c>
      <c r="B39" s="74" t="s">
        <v>121</v>
      </c>
      <c r="C39" t="s">
        <v>44</v>
      </c>
      <c r="D39" s="47">
        <f t="shared" si="1"/>
        <v>6394030.98</v>
      </c>
      <c r="I39" s="47">
        <f>2068408.9+3974248.01+351374.07</f>
        <v>6394030.98</v>
      </c>
      <c r="R39" s="8">
        <f t="shared" si="2"/>
        <v>0.03986595316638586</v>
      </c>
    </row>
    <row r="40" spans="1:18" ht="12.75">
      <c r="A40" s="74" t="s">
        <v>26</v>
      </c>
      <c r="B40" s="74" t="s">
        <v>79</v>
      </c>
      <c r="C40" s="75" t="s">
        <v>65</v>
      </c>
      <c r="D40" s="47">
        <f t="shared" si="1"/>
        <v>371844.9</v>
      </c>
      <c r="I40" s="47">
        <f>371844.9</f>
        <v>371844.9</v>
      </c>
      <c r="R40" s="8">
        <f t="shared" si="2"/>
        <v>0.002318404683200242</v>
      </c>
    </row>
    <row r="41" spans="1:18" ht="12.75" hidden="1">
      <c r="A41" s="74" t="s">
        <v>26</v>
      </c>
      <c r="B41" s="74" t="s">
        <v>83</v>
      </c>
      <c r="C41" s="75" t="s">
        <v>66</v>
      </c>
      <c r="D41" s="47">
        <f t="shared" si="1"/>
        <v>0</v>
      </c>
      <c r="R41" s="8">
        <f t="shared" si="2"/>
        <v>0</v>
      </c>
    </row>
    <row r="42" spans="1:18" ht="12.75" hidden="1">
      <c r="A42" s="2" t="s">
        <v>28</v>
      </c>
      <c r="B42" s="74" t="s">
        <v>80</v>
      </c>
      <c r="C42" t="s">
        <v>46</v>
      </c>
      <c r="D42" s="47">
        <f t="shared" si="1"/>
        <v>0</v>
      </c>
      <c r="R42" s="8">
        <f t="shared" si="2"/>
        <v>0</v>
      </c>
    </row>
    <row r="43" spans="1:18" ht="12.75">
      <c r="A43" s="2" t="s">
        <v>31</v>
      </c>
      <c r="B43" s="74" t="s">
        <v>80</v>
      </c>
      <c r="C43" t="s">
        <v>47</v>
      </c>
      <c r="D43" s="47">
        <f t="shared" si="1"/>
        <v>2386.92</v>
      </c>
      <c r="N43" s="47">
        <f>2386.92</f>
        <v>2386.92</v>
      </c>
      <c r="R43" s="8">
        <f t="shared" si="2"/>
        <v>1.488213635960671E-05</v>
      </c>
    </row>
    <row r="44" spans="1:18" ht="12.75">
      <c r="A44" s="2" t="s">
        <v>32</v>
      </c>
      <c r="B44" s="74" t="s">
        <v>78</v>
      </c>
      <c r="C44" t="s">
        <v>59</v>
      </c>
      <c r="D44" s="47">
        <f t="shared" si="1"/>
        <v>195939.7</v>
      </c>
      <c r="O44" s="47">
        <f>195939.7</f>
        <v>195939.7</v>
      </c>
      <c r="R44" s="8">
        <f t="shared" si="2"/>
        <v>0.0012216585950347858</v>
      </c>
    </row>
    <row r="45" spans="1:18" ht="12.75">
      <c r="A45" s="2" t="s">
        <v>32</v>
      </c>
      <c r="B45" s="74" t="s">
        <v>117</v>
      </c>
      <c r="C45" t="s">
        <v>44</v>
      </c>
      <c r="D45" s="47">
        <f t="shared" si="1"/>
        <v>1899357.97</v>
      </c>
      <c r="O45" s="47">
        <f>1899357.97</f>
        <v>1899357.97</v>
      </c>
      <c r="R45" s="8">
        <f t="shared" si="2"/>
        <v>0.011842250391821171</v>
      </c>
    </row>
    <row r="46" spans="1:18" ht="12.75">
      <c r="A46" s="74" t="s">
        <v>32</v>
      </c>
      <c r="B46" s="74" t="s">
        <v>121</v>
      </c>
      <c r="C46" s="76" t="s">
        <v>77</v>
      </c>
      <c r="D46" s="47">
        <f t="shared" si="1"/>
        <v>10729356.96</v>
      </c>
      <c r="O46" s="47">
        <f>52422.66+10265651.22+411283.08</f>
        <v>10729356.96</v>
      </c>
      <c r="R46" s="8">
        <f t="shared" si="2"/>
        <v>0.06689614789335853</v>
      </c>
    </row>
    <row r="47" spans="1:18" ht="12.75" hidden="1">
      <c r="A47" s="2" t="s">
        <v>32</v>
      </c>
      <c r="B47" s="74" t="s">
        <v>42</v>
      </c>
      <c r="C47" t="s">
        <v>48</v>
      </c>
      <c r="D47" s="47">
        <f t="shared" si="1"/>
        <v>0</v>
      </c>
      <c r="R47" s="8">
        <f t="shared" si="2"/>
        <v>0</v>
      </c>
    </row>
    <row r="48" spans="1:18" ht="12.75">
      <c r="A48" s="74" t="s">
        <v>32</v>
      </c>
      <c r="B48" s="74" t="s">
        <v>122</v>
      </c>
      <c r="C48" s="76" t="s">
        <v>82</v>
      </c>
      <c r="D48" s="47">
        <f t="shared" si="1"/>
        <v>58305922.050000004</v>
      </c>
      <c r="O48" s="47">
        <f>3612789.39+40622392.89+12978797.03+1091942.74</f>
        <v>58305922.050000004</v>
      </c>
      <c r="R48" s="8">
        <f t="shared" si="2"/>
        <v>0.36352985542904653</v>
      </c>
    </row>
    <row r="49" spans="1:19" ht="12.75" hidden="1">
      <c r="A49" s="2" t="s">
        <v>32</v>
      </c>
      <c r="B49" s="2" t="s">
        <v>45</v>
      </c>
      <c r="C49" t="s">
        <v>49</v>
      </c>
      <c r="D49" s="47">
        <f t="shared" si="1"/>
        <v>0</v>
      </c>
      <c r="R49" s="8">
        <f t="shared" si="2"/>
        <v>0</v>
      </c>
      <c r="S49" s="8"/>
    </row>
    <row r="50" spans="1:19" ht="12.75">
      <c r="A50" s="2"/>
      <c r="B50" s="2"/>
      <c r="C50" s="76" t="s">
        <v>97</v>
      </c>
      <c r="D50" s="47">
        <f>SUM(E50:Q50)</f>
        <v>27043964.439999998</v>
      </c>
      <c r="Q50" s="47">
        <f>160388262.97-133344298.53</f>
        <v>27043964.439999998</v>
      </c>
      <c r="R50" s="8">
        <f t="shared" si="2"/>
        <v>0.16861560777086576</v>
      </c>
      <c r="S50" s="8">
        <f>SUM(R32:R50)</f>
        <v>0.7416542401375692</v>
      </c>
    </row>
    <row r="51" spans="5:18" ht="12.75"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4"/>
    </row>
    <row r="52" spans="2:19" s="8" customFormat="1" ht="13.5" thickBot="1">
      <c r="B52" s="65"/>
      <c r="C52" s="66" t="s">
        <v>50</v>
      </c>
      <c r="D52" s="67">
        <f>SUM(E52:Q52)</f>
        <v>1</v>
      </c>
      <c r="E52" s="68">
        <f>E5/D5</f>
        <v>0.24089685968621596</v>
      </c>
      <c r="F52" s="68">
        <f>F5/D5</f>
        <v>0.030204961948532037</v>
      </c>
      <c r="G52" s="68">
        <f>G5/D5</f>
        <v>0</v>
      </c>
      <c r="H52" s="68">
        <f>H5/D5</f>
        <v>0.0017747907778840628</v>
      </c>
      <c r="I52" s="68">
        <f>I5/D5</f>
        <v>0.0795188406796672</v>
      </c>
      <c r="J52" s="68">
        <f>J5/D5</f>
        <v>0</v>
      </c>
      <c r="K52" s="68">
        <f>K5/D5</f>
        <v>0.0007919649957413588</v>
      </c>
      <c r="L52" s="68">
        <f>L5/D5</f>
        <v>0.0020339204625030296</v>
      </c>
      <c r="M52" s="68">
        <f>M5/D5</f>
        <v>0.001803305894360232</v>
      </c>
      <c r="N52" s="68">
        <f>N5/D5</f>
        <v>0.014752664479211796</v>
      </c>
      <c r="O52" s="68">
        <f>O5/D5</f>
        <v>0.457273314280598</v>
      </c>
      <c r="P52" s="68">
        <f>P5/D5</f>
        <v>0.0023337690244205275</v>
      </c>
      <c r="Q52" s="68">
        <f>Q5/D5</f>
        <v>0.16861560777086576</v>
      </c>
      <c r="R52" s="68">
        <f>SUM(R6:R51)</f>
        <v>0.9999999999999998</v>
      </c>
      <c r="S52" s="8">
        <f>S30+S50</f>
        <v>0.9999999999999998</v>
      </c>
    </row>
    <row r="53" spans="1:18" s="8" customFormat="1" ht="13.5" thickTop="1">
      <c r="A53" s="69"/>
      <c r="C53" s="66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</sheetData>
  <sheetProtection/>
  <printOptions/>
  <pageMargins left="0.5" right="0" top="1" bottom="1" header="0.3" footer="0.3"/>
  <pageSetup horizontalDpi="600" verticalDpi="600" orientation="landscape" paperSize="5" scale="70"/>
  <headerFoot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zoomScale="130" zoomScaleNormal="130" zoomScalePageLayoutView="0" workbookViewId="0" topLeftCell="A1">
      <pane ySplit="5" topLeftCell="A18" activePane="bottomLeft" state="frozen"/>
      <selection pane="topLeft" activeCell="C1" sqref="C1"/>
      <selection pane="bottomLeft" activeCell="E53" sqref="E53"/>
    </sheetView>
  </sheetViews>
  <sheetFormatPr defaultColWidth="10.7109375" defaultRowHeight="12.75"/>
  <cols>
    <col min="1" max="1" width="11.00390625" style="0" customWidth="1"/>
    <col min="2" max="2" width="18.7109375" style="0" customWidth="1"/>
    <col min="3" max="3" width="44.00390625" style="0" customWidth="1"/>
    <col min="4" max="4" width="20.140625" style="47" customWidth="1"/>
    <col min="5" max="5" width="18.28125" style="47" customWidth="1"/>
    <col min="6" max="6" width="17.00390625" style="47" customWidth="1"/>
    <col min="7" max="7" width="14.00390625" style="47" hidden="1" customWidth="1"/>
    <col min="8" max="8" width="14.7109375" style="47" customWidth="1"/>
    <col min="9" max="9" width="17.28125" style="47" customWidth="1"/>
    <col min="10" max="10" width="14.140625" style="47" customWidth="1"/>
    <col min="11" max="11" width="17.28125" style="47" customWidth="1"/>
    <col min="12" max="12" width="16.28125" style="47" customWidth="1"/>
    <col min="13" max="13" width="15.140625" style="47" customWidth="1"/>
    <col min="14" max="14" width="17.7109375" style="47" customWidth="1"/>
    <col min="15" max="15" width="17.00390625" style="47" customWidth="1"/>
    <col min="16" max="16" width="15.7109375" style="47" customWidth="1"/>
    <col min="17" max="17" width="17.7109375" style="47" customWidth="1"/>
    <col min="18" max="18" width="15.140625" style="8" customWidth="1"/>
    <col min="19" max="19" width="15.7109375" style="0" customWidth="1"/>
  </cols>
  <sheetData>
    <row r="1" ht="12.75">
      <c r="A1" s="46" t="s">
        <v>95</v>
      </c>
    </row>
    <row r="3" spans="1:18" ht="12.75">
      <c r="A3" s="48"/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72" t="s">
        <v>96</v>
      </c>
      <c r="R3" s="50" t="s">
        <v>18</v>
      </c>
    </row>
    <row r="4" spans="1:18" ht="12.75">
      <c r="A4" s="51" t="s">
        <v>19</v>
      </c>
      <c r="B4" s="51" t="s">
        <v>20</v>
      </c>
      <c r="C4" s="51" t="s">
        <v>21</v>
      </c>
      <c r="D4" s="52" t="s">
        <v>7</v>
      </c>
      <c r="E4" s="52" t="s">
        <v>22</v>
      </c>
      <c r="F4" s="52" t="s">
        <v>23</v>
      </c>
      <c r="G4" s="52" t="s">
        <v>24</v>
      </c>
      <c r="H4" s="52" t="s">
        <v>25</v>
      </c>
      <c r="I4" s="52" t="s">
        <v>26</v>
      </c>
      <c r="J4" s="52" t="s">
        <v>27</v>
      </c>
      <c r="K4" s="52" t="s">
        <v>28</v>
      </c>
      <c r="L4" s="52" t="s">
        <v>29</v>
      </c>
      <c r="M4" s="52" t="s">
        <v>30</v>
      </c>
      <c r="N4" s="52" t="s">
        <v>31</v>
      </c>
      <c r="O4" s="52" t="s">
        <v>32</v>
      </c>
      <c r="P4" s="52" t="s">
        <v>33</v>
      </c>
      <c r="Q4" s="52" t="s">
        <v>55</v>
      </c>
      <c r="R4" s="53" t="s">
        <v>34</v>
      </c>
    </row>
    <row r="5" spans="1:18" s="57" customFormat="1" ht="13.5" thickBot="1">
      <c r="A5" s="54"/>
      <c r="B5" s="54"/>
      <c r="C5" s="54" t="s">
        <v>35</v>
      </c>
      <c r="D5" s="55">
        <f>SUM(E5:Q5)</f>
        <v>160312884.52000004</v>
      </c>
      <c r="E5" s="55">
        <f aca="true" t="shared" si="0" ref="E5:Q5">SUM(E6:E52)</f>
        <v>40705669.25</v>
      </c>
      <c r="F5" s="55">
        <f t="shared" si="0"/>
        <v>6795786.380000001</v>
      </c>
      <c r="G5" s="55">
        <f t="shared" si="0"/>
        <v>0</v>
      </c>
      <c r="H5" s="55">
        <f t="shared" si="0"/>
        <v>560728.6599999999</v>
      </c>
      <c r="I5" s="55">
        <f t="shared" si="0"/>
        <v>14013771.2</v>
      </c>
      <c r="J5" s="55">
        <f t="shared" si="0"/>
        <v>248792.86</v>
      </c>
      <c r="K5" s="55">
        <f t="shared" si="0"/>
        <v>1426934.43</v>
      </c>
      <c r="L5" s="55">
        <f t="shared" si="0"/>
        <v>698682.3099999999</v>
      </c>
      <c r="M5" s="55">
        <f t="shared" si="0"/>
        <v>850604.43</v>
      </c>
      <c r="N5" s="55">
        <f t="shared" si="0"/>
        <v>10506747.61</v>
      </c>
      <c r="O5" s="55">
        <f t="shared" si="0"/>
        <v>75721882.16000001</v>
      </c>
      <c r="P5" s="55">
        <f t="shared" si="0"/>
        <v>464374.16</v>
      </c>
      <c r="Q5" s="55">
        <f t="shared" si="0"/>
        <v>8318911.070000023</v>
      </c>
      <c r="R5" s="56"/>
    </row>
    <row r="6" spans="1:17" ht="13.5" thickTop="1">
      <c r="A6" s="58"/>
      <c r="B6" s="59"/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8" ht="12.75" hidden="1">
      <c r="A7" s="59" t="s">
        <v>22</v>
      </c>
      <c r="B7" s="73" t="s">
        <v>73</v>
      </c>
      <c r="C7" s="59" t="s">
        <v>37</v>
      </c>
      <c r="D7" s="47">
        <f aca="true" t="shared" si="1" ref="D7:D50">SUM(E7:Q7)</f>
        <v>0</v>
      </c>
      <c r="E7" s="61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8">
        <f aca="true" t="shared" si="2" ref="R7:R51">D7/$D$5</f>
        <v>0</v>
      </c>
    </row>
    <row r="8" spans="1:18" ht="12.75" hidden="1">
      <c r="A8" s="73" t="s">
        <v>22</v>
      </c>
      <c r="B8" s="73" t="s">
        <v>38</v>
      </c>
      <c r="C8" s="73" t="s">
        <v>39</v>
      </c>
      <c r="D8" s="47">
        <f t="shared" si="1"/>
        <v>0</v>
      </c>
      <c r="E8" s="61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8">
        <f t="shared" si="2"/>
        <v>0</v>
      </c>
    </row>
    <row r="9" spans="1:18" ht="12.75">
      <c r="A9" s="73" t="s">
        <v>22</v>
      </c>
      <c r="B9" s="73" t="s">
        <v>101</v>
      </c>
      <c r="C9" s="73" t="s">
        <v>68</v>
      </c>
      <c r="D9" s="47">
        <f t="shared" si="1"/>
        <v>162157.83000000002</v>
      </c>
      <c r="E9" s="61">
        <f>57065.83+105092</f>
        <v>162157.83000000002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8">
        <f t="shared" si="2"/>
        <v>0.0010115084042403954</v>
      </c>
    </row>
    <row r="10" spans="1:18" ht="12.75">
      <c r="A10" s="73" t="s">
        <v>22</v>
      </c>
      <c r="B10" s="73" t="s">
        <v>102</v>
      </c>
      <c r="C10" s="73" t="s">
        <v>103</v>
      </c>
      <c r="D10" s="47">
        <f t="shared" si="1"/>
        <v>8360021.99</v>
      </c>
      <c r="E10" s="61">
        <f>8360021.99</f>
        <v>8360021.99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8">
        <f t="shared" si="2"/>
        <v>0.05214816023697107</v>
      </c>
    </row>
    <row r="11" spans="1:18" ht="12.75">
      <c r="A11" s="73" t="s">
        <v>22</v>
      </c>
      <c r="B11" s="73" t="s">
        <v>99</v>
      </c>
      <c r="C11" s="73" t="s">
        <v>98</v>
      </c>
      <c r="D11" s="47">
        <f t="shared" si="1"/>
        <v>19923609.95</v>
      </c>
      <c r="E11" s="61">
        <f>19923609.95</f>
        <v>19923609.95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8">
        <f t="shared" si="2"/>
        <v>0.12427953005557955</v>
      </c>
    </row>
    <row r="12" spans="1:18" ht="12.75">
      <c r="A12" s="59" t="s">
        <v>23</v>
      </c>
      <c r="B12" s="59" t="s">
        <v>134</v>
      </c>
      <c r="C12" s="59" t="s">
        <v>37</v>
      </c>
      <c r="D12" s="47">
        <f t="shared" si="1"/>
        <v>6275916.86</v>
      </c>
      <c r="E12" s="61"/>
      <c r="F12" s="61">
        <f>736443.8+598237.72+1227374.88+2127983.58+792620+681184.63+112072.25</f>
        <v>6275916.86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8">
        <f t="shared" si="2"/>
        <v>0.03914792550075437</v>
      </c>
    </row>
    <row r="13" spans="1:18" ht="12.75">
      <c r="A13" s="59" t="s">
        <v>23</v>
      </c>
      <c r="B13" s="73" t="s">
        <v>135</v>
      </c>
      <c r="C13" s="59" t="s">
        <v>39</v>
      </c>
      <c r="D13" s="47">
        <f t="shared" si="1"/>
        <v>25506.08</v>
      </c>
      <c r="E13" s="61"/>
      <c r="F13" s="61">
        <f>15312.33+10193.75</f>
        <v>25506.08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8">
        <f t="shared" si="2"/>
        <v>0.0001591018717950768</v>
      </c>
    </row>
    <row r="14" spans="1:18" ht="12.75" hidden="1">
      <c r="A14" s="59" t="s">
        <v>63</v>
      </c>
      <c r="B14" s="73" t="s">
        <v>61</v>
      </c>
      <c r="C14" s="59" t="s">
        <v>37</v>
      </c>
      <c r="D14" s="47">
        <f t="shared" si="1"/>
        <v>0</v>
      </c>
      <c r="E14" s="61"/>
      <c r="F14" s="61"/>
      <c r="G14" s="61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8">
        <f t="shared" si="2"/>
        <v>0</v>
      </c>
    </row>
    <row r="15" spans="1:18" ht="12.75">
      <c r="A15" s="59" t="s">
        <v>25</v>
      </c>
      <c r="B15" s="73" t="s">
        <v>110</v>
      </c>
      <c r="C15" s="59" t="s">
        <v>37</v>
      </c>
      <c r="D15" s="47">
        <f t="shared" si="1"/>
        <v>560728.6599999999</v>
      </c>
      <c r="E15" s="61"/>
      <c r="F15" s="61"/>
      <c r="G15" s="60"/>
      <c r="H15" s="61">
        <f>467739.04+92989.62</f>
        <v>560728.6599999999</v>
      </c>
      <c r="I15" s="60"/>
      <c r="J15" s="60"/>
      <c r="K15" s="60"/>
      <c r="L15" s="60"/>
      <c r="M15" s="60"/>
      <c r="N15" s="60"/>
      <c r="O15" s="60"/>
      <c r="P15" s="60"/>
      <c r="Q15" s="60"/>
      <c r="R15" s="8">
        <f t="shared" si="2"/>
        <v>0.0034977142459815544</v>
      </c>
    </row>
    <row r="16" spans="1:18" ht="12.75">
      <c r="A16" s="59" t="s">
        <v>26</v>
      </c>
      <c r="B16" s="73" t="s">
        <v>132</v>
      </c>
      <c r="C16" s="59" t="s">
        <v>37</v>
      </c>
      <c r="D16" s="47">
        <f t="shared" si="1"/>
        <v>915927.3799999999</v>
      </c>
      <c r="E16" s="61"/>
      <c r="F16" s="61"/>
      <c r="G16" s="60"/>
      <c r="H16" s="61"/>
      <c r="I16" s="61">
        <f>38032.15+498591.67+38257.4+68523.13+133880.33+96937.87+39635.33+2069.5</f>
        <v>915927.3799999999</v>
      </c>
      <c r="J16" s="60"/>
      <c r="K16" s="60"/>
      <c r="L16" s="60"/>
      <c r="M16" s="60"/>
      <c r="N16" s="60"/>
      <c r="O16" s="60"/>
      <c r="P16" s="60"/>
      <c r="Q16" s="60"/>
      <c r="R16" s="8">
        <f t="shared" si="2"/>
        <v>0.005713373461792662</v>
      </c>
    </row>
    <row r="17" spans="1:18" ht="12.75">
      <c r="A17" s="73" t="s">
        <v>26</v>
      </c>
      <c r="B17" s="73" t="s">
        <v>71</v>
      </c>
      <c r="C17" s="73" t="s">
        <v>72</v>
      </c>
      <c r="D17" s="47">
        <f t="shared" si="1"/>
        <v>2684355.93</v>
      </c>
      <c r="E17" s="61"/>
      <c r="F17" s="61"/>
      <c r="G17" s="60"/>
      <c r="H17" s="61"/>
      <c r="I17" s="61">
        <f>2684355.93</f>
        <v>2684355.93</v>
      </c>
      <c r="J17" s="60"/>
      <c r="K17" s="60"/>
      <c r="L17" s="60"/>
      <c r="M17" s="60"/>
      <c r="N17" s="60"/>
      <c r="O17" s="60"/>
      <c r="P17" s="60"/>
      <c r="Q17" s="60"/>
      <c r="R17" s="8">
        <f t="shared" si="2"/>
        <v>0.01674448025832328</v>
      </c>
    </row>
    <row r="18" spans="1:18" ht="12.75">
      <c r="A18" s="73" t="s">
        <v>26</v>
      </c>
      <c r="B18" s="73" t="s">
        <v>69</v>
      </c>
      <c r="C18" s="73" t="s">
        <v>107</v>
      </c>
      <c r="D18" s="47">
        <f t="shared" si="1"/>
        <v>84844.97</v>
      </c>
      <c r="E18" s="61"/>
      <c r="F18" s="61"/>
      <c r="G18" s="60"/>
      <c r="H18" s="61"/>
      <c r="I18" s="61">
        <f>84844.97</f>
        <v>84844.97</v>
      </c>
      <c r="J18" s="60"/>
      <c r="K18" s="60"/>
      <c r="L18" s="60"/>
      <c r="M18" s="60"/>
      <c r="N18" s="60"/>
      <c r="O18" s="60"/>
      <c r="P18" s="60"/>
      <c r="Q18" s="60"/>
      <c r="R18" s="8">
        <f t="shared" si="2"/>
        <v>0.0005292461067869755</v>
      </c>
    </row>
    <row r="19" spans="1:18" ht="12.75" hidden="1">
      <c r="A19" s="59" t="s">
        <v>27</v>
      </c>
      <c r="B19" s="73" t="s">
        <v>74</v>
      </c>
      <c r="C19" s="59" t="s">
        <v>37</v>
      </c>
      <c r="D19" s="47">
        <f t="shared" si="1"/>
        <v>0</v>
      </c>
      <c r="E19" s="61"/>
      <c r="F19" s="61"/>
      <c r="G19" s="60"/>
      <c r="H19" s="61"/>
      <c r="I19" s="60"/>
      <c r="J19" s="61"/>
      <c r="K19" s="60"/>
      <c r="L19" s="60"/>
      <c r="M19" s="60"/>
      <c r="N19" s="60"/>
      <c r="O19" s="60"/>
      <c r="P19" s="60"/>
      <c r="Q19" s="60"/>
      <c r="R19" s="8">
        <f t="shared" si="2"/>
        <v>0</v>
      </c>
    </row>
    <row r="20" spans="1:18" ht="12.75">
      <c r="A20" s="59" t="s">
        <v>27</v>
      </c>
      <c r="B20" s="73" t="s">
        <v>136</v>
      </c>
      <c r="C20" s="59" t="s">
        <v>39</v>
      </c>
      <c r="D20" s="47">
        <f t="shared" si="1"/>
        <v>248792.86</v>
      </c>
      <c r="E20" s="61"/>
      <c r="F20" s="61"/>
      <c r="G20" s="60"/>
      <c r="H20" s="61"/>
      <c r="I20" s="60"/>
      <c r="J20" s="61">
        <f>248792.86</f>
        <v>248792.86</v>
      </c>
      <c r="K20" s="60"/>
      <c r="L20" s="60"/>
      <c r="M20" s="60"/>
      <c r="N20" s="60"/>
      <c r="O20" s="60"/>
      <c r="P20" s="60"/>
      <c r="Q20" s="60"/>
      <c r="R20" s="8">
        <f t="shared" si="2"/>
        <v>0.0015519205505216988</v>
      </c>
    </row>
    <row r="21" spans="1:18" ht="12.75">
      <c r="A21" s="59" t="s">
        <v>28</v>
      </c>
      <c r="B21" s="73" t="s">
        <v>111</v>
      </c>
      <c r="C21" s="59" t="s">
        <v>37</v>
      </c>
      <c r="D21" s="47">
        <f t="shared" si="1"/>
        <v>1262977.18</v>
      </c>
      <c r="E21" s="61"/>
      <c r="F21" s="61"/>
      <c r="G21" s="60"/>
      <c r="H21" s="61"/>
      <c r="I21" s="60"/>
      <c r="J21" s="61"/>
      <c r="K21" s="61">
        <f>272765.68+41211.5+530000+419000</f>
        <v>1262977.18</v>
      </c>
      <c r="L21" s="60"/>
      <c r="M21" s="60"/>
      <c r="N21" s="60"/>
      <c r="O21" s="60"/>
      <c r="P21" s="60"/>
      <c r="Q21" s="60"/>
      <c r="R21" s="8">
        <f t="shared" si="2"/>
        <v>0.007878201329740502</v>
      </c>
    </row>
    <row r="22" spans="1:18" ht="12.75">
      <c r="A22" s="59" t="s">
        <v>28</v>
      </c>
      <c r="B22" s="59" t="s">
        <v>36</v>
      </c>
      <c r="C22" s="59" t="s">
        <v>40</v>
      </c>
      <c r="D22" s="47">
        <f t="shared" si="1"/>
        <v>163957.25</v>
      </c>
      <c r="E22" s="61"/>
      <c r="F22" s="60"/>
      <c r="G22" s="60"/>
      <c r="H22" s="60"/>
      <c r="I22" s="60"/>
      <c r="J22" s="60"/>
      <c r="K22" s="61">
        <f>163957.25</f>
        <v>163957.25</v>
      </c>
      <c r="L22" s="60"/>
      <c r="M22" s="60"/>
      <c r="N22" s="60"/>
      <c r="O22" s="60"/>
      <c r="P22" s="60"/>
      <c r="Q22" s="60"/>
      <c r="R22" s="8">
        <f t="shared" si="2"/>
        <v>0.0010227328295595935</v>
      </c>
    </row>
    <row r="23" spans="1:18" ht="12.75">
      <c r="A23" s="59" t="s">
        <v>29</v>
      </c>
      <c r="B23" s="59" t="s">
        <v>112</v>
      </c>
      <c r="C23" s="59" t="s">
        <v>37</v>
      </c>
      <c r="D23" s="47">
        <f t="shared" si="1"/>
        <v>10775.25</v>
      </c>
      <c r="E23" s="61"/>
      <c r="F23" s="60"/>
      <c r="G23" s="60"/>
      <c r="H23" s="60"/>
      <c r="I23" s="60"/>
      <c r="J23" s="60"/>
      <c r="K23" s="61"/>
      <c r="L23" s="61">
        <f>10775.25</f>
        <v>10775.25</v>
      </c>
      <c r="M23" s="60"/>
      <c r="N23" s="60"/>
      <c r="O23" s="60"/>
      <c r="P23" s="60"/>
      <c r="Q23" s="60"/>
      <c r="R23" s="8">
        <f t="shared" si="2"/>
        <v>6.721387387085359E-05</v>
      </c>
    </row>
    <row r="24" spans="1:18" ht="12.75">
      <c r="A24" s="59" t="s">
        <v>29</v>
      </c>
      <c r="B24" s="59" t="s">
        <v>105</v>
      </c>
      <c r="C24" s="59" t="s">
        <v>70</v>
      </c>
      <c r="D24" s="47">
        <f t="shared" si="1"/>
        <v>60472.5</v>
      </c>
      <c r="E24" s="61"/>
      <c r="F24" s="60"/>
      <c r="G24" s="60"/>
      <c r="H24" s="60"/>
      <c r="I24" s="60"/>
      <c r="J24" s="60"/>
      <c r="K24" s="61"/>
      <c r="L24" s="61">
        <f>30196.01+30276.49</f>
        <v>60472.5</v>
      </c>
      <c r="M24" s="60"/>
      <c r="N24" s="60"/>
      <c r="O24" s="60"/>
      <c r="P24" s="60"/>
      <c r="Q24" s="60"/>
      <c r="R24" s="8">
        <f t="shared" si="2"/>
        <v>0.0003772154694930692</v>
      </c>
    </row>
    <row r="25" spans="1:18" ht="12.75">
      <c r="A25" s="59" t="s">
        <v>29</v>
      </c>
      <c r="B25" s="73" t="s">
        <v>113</v>
      </c>
      <c r="C25" s="59" t="s">
        <v>39</v>
      </c>
      <c r="D25" s="47">
        <f t="shared" si="1"/>
        <v>627434.5599999999</v>
      </c>
      <c r="E25" s="61"/>
      <c r="F25" s="60"/>
      <c r="G25" s="60"/>
      <c r="H25" s="60"/>
      <c r="I25" s="60"/>
      <c r="J25" s="60"/>
      <c r="K25" s="61"/>
      <c r="L25" s="61">
        <f>610722.96+1789.6+152.3+14769.7</f>
        <v>627434.5599999999</v>
      </c>
      <c r="M25" s="60"/>
      <c r="N25" s="60"/>
      <c r="O25" s="60"/>
      <c r="P25" s="60"/>
      <c r="Q25" s="60"/>
      <c r="R25" s="8">
        <f t="shared" si="2"/>
        <v>0.003913812429229439</v>
      </c>
    </row>
    <row r="26" spans="1:18" ht="12.75">
      <c r="A26" s="59" t="s">
        <v>30</v>
      </c>
      <c r="B26" s="73" t="s">
        <v>114</v>
      </c>
      <c r="C26" s="59" t="s">
        <v>37</v>
      </c>
      <c r="D26" s="47">
        <f t="shared" si="1"/>
        <v>850604.43</v>
      </c>
      <c r="E26" s="61"/>
      <c r="F26" s="60"/>
      <c r="G26" s="60"/>
      <c r="H26" s="60"/>
      <c r="I26" s="60"/>
      <c r="J26" s="60"/>
      <c r="K26" s="61"/>
      <c r="L26" s="61"/>
      <c r="M26" s="61">
        <f>527404.43+323200</f>
        <v>850604.43</v>
      </c>
      <c r="N26" s="60"/>
      <c r="O26" s="60"/>
      <c r="P26" s="60"/>
      <c r="Q26" s="60"/>
      <c r="R26" s="8">
        <f t="shared" si="2"/>
        <v>0.005305901846547349</v>
      </c>
    </row>
    <row r="27" spans="1:18" ht="12.75">
      <c r="A27" s="59" t="s">
        <v>31</v>
      </c>
      <c r="B27" s="59" t="s">
        <v>115</v>
      </c>
      <c r="C27" s="59" t="s">
        <v>37</v>
      </c>
      <c r="D27" s="47">
        <f t="shared" si="1"/>
        <v>560759.46</v>
      </c>
      <c r="E27" s="61"/>
      <c r="F27" s="60"/>
      <c r="G27" s="60"/>
      <c r="H27" s="60"/>
      <c r="I27" s="60"/>
      <c r="J27" s="60"/>
      <c r="K27" s="61"/>
      <c r="L27" s="61"/>
      <c r="M27" s="61"/>
      <c r="N27" s="61">
        <f>149768.64+334873.32+76117.5</f>
        <v>560759.46</v>
      </c>
      <c r="O27" s="60"/>
      <c r="P27" s="60"/>
      <c r="Q27" s="60"/>
      <c r="R27" s="8">
        <f t="shared" si="2"/>
        <v>0.003497906370277067</v>
      </c>
    </row>
    <row r="28" spans="1:18" ht="12.75">
      <c r="A28" s="59" t="s">
        <v>31</v>
      </c>
      <c r="B28" s="59" t="s">
        <v>99</v>
      </c>
      <c r="C28" s="59" t="s">
        <v>100</v>
      </c>
      <c r="D28" s="47">
        <f t="shared" si="1"/>
        <v>9662624.19</v>
      </c>
      <c r="E28" s="61"/>
      <c r="F28" s="60"/>
      <c r="G28" s="60"/>
      <c r="H28" s="60"/>
      <c r="I28" s="60"/>
      <c r="J28" s="60"/>
      <c r="K28" s="61"/>
      <c r="L28" s="61"/>
      <c r="M28" s="61"/>
      <c r="N28" s="61">
        <f>9662624.19</f>
        <v>9662624.19</v>
      </c>
      <c r="O28" s="60"/>
      <c r="P28" s="60"/>
      <c r="Q28" s="60"/>
      <c r="R28" s="8">
        <f t="shared" si="2"/>
        <v>0.06027353458788602</v>
      </c>
    </row>
    <row r="29" spans="1:18" ht="12.75">
      <c r="A29" s="59" t="s">
        <v>32</v>
      </c>
      <c r="B29" s="59" t="s">
        <v>116</v>
      </c>
      <c r="C29" s="59" t="s">
        <v>37</v>
      </c>
      <c r="D29" s="47">
        <f t="shared" si="1"/>
        <v>2241288.05</v>
      </c>
      <c r="E29" s="61"/>
      <c r="F29" s="60"/>
      <c r="G29" s="60"/>
      <c r="H29" s="60"/>
      <c r="I29" s="60"/>
      <c r="J29" s="60"/>
      <c r="K29" s="61"/>
      <c r="L29" s="61"/>
      <c r="M29" s="61"/>
      <c r="N29" s="60"/>
      <c r="O29" s="61">
        <f>621656.31+1340943.35+272001.57+6686.82</f>
        <v>2241288.05</v>
      </c>
      <c r="P29" s="60"/>
      <c r="Q29" s="60"/>
      <c r="R29" s="8">
        <f t="shared" si="2"/>
        <v>0.01398071063789252</v>
      </c>
    </row>
    <row r="30" spans="1:19" ht="12.75">
      <c r="A30" s="59" t="s">
        <v>33</v>
      </c>
      <c r="B30" s="59" t="s">
        <v>133</v>
      </c>
      <c r="C30" s="59" t="s">
        <v>37</v>
      </c>
      <c r="D30" s="47">
        <f t="shared" si="1"/>
        <v>464374.16</v>
      </c>
      <c r="E30" s="61"/>
      <c r="F30" s="60"/>
      <c r="G30" s="60"/>
      <c r="H30" s="60"/>
      <c r="I30" s="60"/>
      <c r="J30" s="60"/>
      <c r="K30" s="61"/>
      <c r="L30" s="61"/>
      <c r="M30" s="61"/>
      <c r="N30" s="60"/>
      <c r="O30" s="61"/>
      <c r="P30" s="61">
        <f>78065+363435.12+7974.04+14900</f>
        <v>464374.16</v>
      </c>
      <c r="Q30" s="61"/>
      <c r="R30" s="8">
        <f t="shared" si="2"/>
        <v>0.0028966739722162903</v>
      </c>
      <c r="S30" s="8">
        <f>SUM(R7:R30)</f>
        <v>0.34399686403945934</v>
      </c>
    </row>
    <row r="31" spans="1:19" ht="12.75" hidden="1">
      <c r="A31" s="59" t="s">
        <v>22</v>
      </c>
      <c r="B31" s="73" t="s">
        <v>78</v>
      </c>
      <c r="C31" s="59" t="s">
        <v>54</v>
      </c>
      <c r="D31" s="47">
        <f t="shared" si="1"/>
        <v>0</v>
      </c>
      <c r="E31" s="61"/>
      <c r="F31" s="60"/>
      <c r="G31" s="60"/>
      <c r="H31" s="60"/>
      <c r="I31" s="60"/>
      <c r="J31" s="60"/>
      <c r="K31" s="61"/>
      <c r="L31" s="61"/>
      <c r="M31" s="61"/>
      <c r="N31" s="60"/>
      <c r="O31" s="61"/>
      <c r="P31" s="61"/>
      <c r="Q31" s="61"/>
      <c r="R31" s="8">
        <f t="shared" si="2"/>
        <v>0</v>
      </c>
      <c r="S31" s="8"/>
    </row>
    <row r="32" spans="1:19" ht="12.75">
      <c r="A32" s="59" t="s">
        <v>22</v>
      </c>
      <c r="B32" s="73" t="s">
        <v>137</v>
      </c>
      <c r="C32" s="59" t="s">
        <v>138</v>
      </c>
      <c r="D32" s="47">
        <f t="shared" si="1"/>
        <v>12424.34</v>
      </c>
      <c r="E32" s="61">
        <f>12424.34</f>
        <v>12424.34</v>
      </c>
      <c r="F32" s="60"/>
      <c r="G32" s="60"/>
      <c r="H32" s="60"/>
      <c r="I32" s="60"/>
      <c r="J32" s="60"/>
      <c r="K32" s="61"/>
      <c r="L32" s="61"/>
      <c r="M32" s="61"/>
      <c r="N32" s="60"/>
      <c r="O32" s="61"/>
      <c r="P32" s="61"/>
      <c r="Q32" s="61"/>
      <c r="R32" s="8">
        <f t="shared" si="2"/>
        <v>7.750057044510347E-05</v>
      </c>
      <c r="S32" s="8"/>
    </row>
    <row r="33" spans="1:18" ht="12.75">
      <c r="A33" s="2" t="s">
        <v>22</v>
      </c>
      <c r="B33" s="74" t="s">
        <v>81</v>
      </c>
      <c r="C33" t="s">
        <v>41</v>
      </c>
      <c r="D33" s="47">
        <f t="shared" si="1"/>
        <v>30601.04</v>
      </c>
      <c r="E33" s="47">
        <f>30601.04</f>
        <v>30601.04</v>
      </c>
      <c r="R33" s="8">
        <f t="shared" si="2"/>
        <v>0.00019088322246601662</v>
      </c>
    </row>
    <row r="34" spans="1:18" ht="12.75">
      <c r="A34" s="74" t="s">
        <v>22</v>
      </c>
      <c r="B34" s="74" t="s">
        <v>64</v>
      </c>
      <c r="C34" s="62" t="s">
        <v>43</v>
      </c>
      <c r="D34" s="47">
        <f t="shared" si="1"/>
        <v>3488695.1</v>
      </c>
      <c r="E34" s="47">
        <f>3488695.1</f>
        <v>3488695.1</v>
      </c>
      <c r="R34" s="8">
        <f t="shared" si="2"/>
        <v>0.021761788582656084</v>
      </c>
    </row>
    <row r="35" spans="1:18" ht="12.75">
      <c r="A35" s="2" t="s">
        <v>22</v>
      </c>
      <c r="B35" s="74" t="s">
        <v>127</v>
      </c>
      <c r="C35" s="62" t="s">
        <v>43</v>
      </c>
      <c r="D35" s="47">
        <f t="shared" si="1"/>
        <v>8724173.71</v>
      </c>
      <c r="E35" s="47">
        <f>8724173.71</f>
        <v>8724173.71</v>
      </c>
      <c r="R35" s="8">
        <f t="shared" si="2"/>
        <v>0.054419666492318684</v>
      </c>
    </row>
    <row r="36" spans="1:18" ht="12.75">
      <c r="A36" s="74" t="s">
        <v>22</v>
      </c>
      <c r="B36" s="74" t="s">
        <v>142</v>
      </c>
      <c r="C36" s="75" t="s">
        <v>62</v>
      </c>
      <c r="D36" s="47">
        <f t="shared" si="1"/>
        <v>3985.29</v>
      </c>
      <c r="E36" s="47">
        <f>3985.29</f>
        <v>3985.29</v>
      </c>
      <c r="R36" s="8">
        <f t="shared" si="2"/>
        <v>2.485944914491767E-05</v>
      </c>
    </row>
    <row r="37" spans="1:18" ht="12.75" hidden="1">
      <c r="A37" s="2" t="s">
        <v>23</v>
      </c>
      <c r="B37" s="2" t="s">
        <v>53</v>
      </c>
      <c r="C37" s="62" t="s">
        <v>57</v>
      </c>
      <c r="D37" s="47">
        <f t="shared" si="1"/>
        <v>0</v>
      </c>
      <c r="R37" s="8">
        <f t="shared" si="2"/>
        <v>0</v>
      </c>
    </row>
    <row r="38" spans="1:18" ht="12.75">
      <c r="A38" s="74" t="s">
        <v>23</v>
      </c>
      <c r="B38" s="74" t="s">
        <v>64</v>
      </c>
      <c r="C38" s="75" t="s">
        <v>76</v>
      </c>
      <c r="D38" s="47">
        <f t="shared" si="1"/>
        <v>494363.44</v>
      </c>
      <c r="F38" s="47">
        <f>494363.44</f>
        <v>494363.44</v>
      </c>
      <c r="R38" s="8">
        <f t="shared" si="2"/>
        <v>0.003083741157051697</v>
      </c>
    </row>
    <row r="39" spans="1:18" ht="12.75">
      <c r="A39" s="74" t="s">
        <v>26</v>
      </c>
      <c r="B39" s="74" t="s">
        <v>117</v>
      </c>
      <c r="C39" s="75" t="s">
        <v>118</v>
      </c>
      <c r="D39" s="47">
        <f t="shared" si="1"/>
        <v>2441511.38</v>
      </c>
      <c r="I39" s="47">
        <f>2441511.38</f>
        <v>2441511.38</v>
      </c>
      <c r="R39" s="8">
        <f t="shared" si="2"/>
        <v>0.01522966408664056</v>
      </c>
    </row>
    <row r="40" spans="1:18" ht="12.75">
      <c r="A40" s="2" t="s">
        <v>26</v>
      </c>
      <c r="B40" s="74" t="s">
        <v>121</v>
      </c>
      <c r="C40" t="s">
        <v>44</v>
      </c>
      <c r="D40" s="47">
        <f t="shared" si="1"/>
        <v>7237756.34</v>
      </c>
      <c r="I40" s="47">
        <f>2912134.26+3974248.01+351374.07</f>
        <v>7237756.34</v>
      </c>
      <c r="R40" s="8">
        <f t="shared" si="2"/>
        <v>0.045147689542677054</v>
      </c>
    </row>
    <row r="41" spans="1:18" ht="12.75">
      <c r="A41" s="74" t="s">
        <v>26</v>
      </c>
      <c r="B41" s="74" t="s">
        <v>79</v>
      </c>
      <c r="C41" s="75" t="s">
        <v>65</v>
      </c>
      <c r="D41" s="47">
        <f t="shared" si="1"/>
        <v>649375.2</v>
      </c>
      <c r="I41" s="47">
        <f>649375.2</f>
        <v>649375.2</v>
      </c>
      <c r="R41" s="8">
        <f t="shared" si="2"/>
        <v>0.004050673792966319</v>
      </c>
    </row>
    <row r="42" spans="1:18" ht="12.75" hidden="1">
      <c r="A42" s="74" t="s">
        <v>26</v>
      </c>
      <c r="B42" s="74" t="s">
        <v>83</v>
      </c>
      <c r="C42" s="75" t="s">
        <v>66</v>
      </c>
      <c r="D42" s="47">
        <f t="shared" si="1"/>
        <v>0</v>
      </c>
      <c r="R42" s="8">
        <f t="shared" si="2"/>
        <v>0</v>
      </c>
    </row>
    <row r="43" spans="1:18" ht="12.75" hidden="1">
      <c r="A43" s="2" t="s">
        <v>28</v>
      </c>
      <c r="B43" s="74" t="s">
        <v>80</v>
      </c>
      <c r="C43" t="s">
        <v>46</v>
      </c>
      <c r="D43" s="47">
        <f t="shared" si="1"/>
        <v>0</v>
      </c>
      <c r="R43" s="8">
        <f t="shared" si="2"/>
        <v>0</v>
      </c>
    </row>
    <row r="44" spans="1:18" ht="12.75">
      <c r="A44" s="2" t="s">
        <v>31</v>
      </c>
      <c r="B44" s="74" t="s">
        <v>139</v>
      </c>
      <c r="C44" t="s">
        <v>47</v>
      </c>
      <c r="D44" s="47">
        <f t="shared" si="1"/>
        <v>283363.96</v>
      </c>
      <c r="N44" s="47">
        <f>41829.26+165022.9+76511.8</f>
        <v>283363.96</v>
      </c>
      <c r="R44" s="8">
        <f t="shared" si="2"/>
        <v>0.0017675682204111834</v>
      </c>
    </row>
    <row r="45" spans="1:18" ht="12.75">
      <c r="A45" s="2" t="s">
        <v>32</v>
      </c>
      <c r="B45" s="74" t="s">
        <v>78</v>
      </c>
      <c r="C45" t="s">
        <v>59</v>
      </c>
      <c r="D45" s="47">
        <f t="shared" si="1"/>
        <v>195939.7</v>
      </c>
      <c r="O45" s="47">
        <f>195939.7</f>
        <v>195939.7</v>
      </c>
      <c r="R45" s="8">
        <f t="shared" si="2"/>
        <v>0.001222233013813405</v>
      </c>
    </row>
    <row r="46" spans="1:18" ht="12.75">
      <c r="A46" s="2" t="s">
        <v>32</v>
      </c>
      <c r="B46" s="74" t="s">
        <v>119</v>
      </c>
      <c r="C46" t="s">
        <v>44</v>
      </c>
      <c r="D46" s="47">
        <f t="shared" si="1"/>
        <v>2032442.49</v>
      </c>
      <c r="O46" s="47">
        <f>2032442.49</f>
        <v>2032442.49</v>
      </c>
      <c r="R46" s="8">
        <f t="shared" si="2"/>
        <v>0.012677973427310142</v>
      </c>
    </row>
    <row r="47" spans="1:18" ht="12.75">
      <c r="A47" s="74" t="s">
        <v>32</v>
      </c>
      <c r="B47" s="74" t="s">
        <v>120</v>
      </c>
      <c r="C47" s="76" t="s">
        <v>77</v>
      </c>
      <c r="D47" s="47">
        <f t="shared" si="1"/>
        <v>12452817.5</v>
      </c>
      <c r="O47" s="47">
        <f>52422.66+11880971.62+519423.22</f>
        <v>12452817.5</v>
      </c>
      <c r="R47" s="8">
        <f t="shared" si="2"/>
        <v>0.0776782074459301</v>
      </c>
    </row>
    <row r="48" spans="1:18" ht="12.75" hidden="1">
      <c r="A48" s="2" t="s">
        <v>32</v>
      </c>
      <c r="B48" s="74" t="s">
        <v>42</v>
      </c>
      <c r="C48" t="s">
        <v>48</v>
      </c>
      <c r="D48" s="47">
        <f t="shared" si="1"/>
        <v>0</v>
      </c>
      <c r="R48" s="8">
        <f t="shared" si="2"/>
        <v>0</v>
      </c>
    </row>
    <row r="49" spans="1:18" ht="12.75">
      <c r="A49" s="74" t="s">
        <v>32</v>
      </c>
      <c r="B49" s="74" t="s">
        <v>122</v>
      </c>
      <c r="C49" s="76" t="s">
        <v>82</v>
      </c>
      <c r="D49" s="47">
        <f t="shared" si="1"/>
        <v>58799394.42000001</v>
      </c>
      <c r="O49" s="47">
        <f>3795858.27+40622392.89+13033820.52+1347322.74</f>
        <v>58799394.42000001</v>
      </c>
      <c r="R49" s="8">
        <f t="shared" si="2"/>
        <v>0.3667789684906107</v>
      </c>
    </row>
    <row r="50" spans="1:19" ht="12.75" hidden="1">
      <c r="A50" s="2" t="s">
        <v>32</v>
      </c>
      <c r="B50" s="2" t="s">
        <v>45</v>
      </c>
      <c r="C50" t="s">
        <v>49</v>
      </c>
      <c r="D50" s="47">
        <f t="shared" si="1"/>
        <v>0</v>
      </c>
      <c r="R50" s="8">
        <f t="shared" si="2"/>
        <v>0</v>
      </c>
      <c r="S50" s="8"/>
    </row>
    <row r="51" spans="1:19" ht="12.75">
      <c r="A51" s="2"/>
      <c r="B51" s="2"/>
      <c r="C51" s="76" t="s">
        <v>97</v>
      </c>
      <c r="D51" s="47">
        <f>SUM(E51:Q51)</f>
        <v>8318911.070000023</v>
      </c>
      <c r="Q51" s="47">
        <f>160888262.97-575378.45-151993973.45</f>
        <v>8318911.070000023</v>
      </c>
      <c r="R51" s="8">
        <f t="shared" si="2"/>
        <v>0.05189171846609863</v>
      </c>
      <c r="S51" s="8">
        <f>SUM(R32:R51)</f>
        <v>0.6560031359605406</v>
      </c>
    </row>
    <row r="52" spans="5:18" ht="12.75"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</row>
    <row r="53" spans="2:19" s="8" customFormat="1" ht="13.5" thickBot="1">
      <c r="B53" s="65"/>
      <c r="C53" s="66" t="s">
        <v>50</v>
      </c>
      <c r="D53" s="67">
        <f>SUM(E53:Q53)</f>
        <v>0.9999999999999999</v>
      </c>
      <c r="E53" s="68">
        <f>E5/D5</f>
        <v>0.25391389701382183</v>
      </c>
      <c r="F53" s="68">
        <f>F5/D5</f>
        <v>0.04239076852960115</v>
      </c>
      <c r="G53" s="68">
        <f>G5/D5</f>
        <v>0</v>
      </c>
      <c r="H53" s="68">
        <f>H5/D5</f>
        <v>0.0034977142459815544</v>
      </c>
      <c r="I53" s="68">
        <f>I5/D5</f>
        <v>0.08741512724918685</v>
      </c>
      <c r="J53" s="68">
        <f>J5/D5</f>
        <v>0.0015519205505216988</v>
      </c>
      <c r="K53" s="68">
        <f>K5/D5</f>
        <v>0.008900934159300097</v>
      </c>
      <c r="L53" s="68">
        <f>L5/D5</f>
        <v>0.004358241772593362</v>
      </c>
      <c r="M53" s="68">
        <f>M5/D5</f>
        <v>0.005305901846547349</v>
      </c>
      <c r="N53" s="68">
        <f>N5/D5</f>
        <v>0.06553900917857426</v>
      </c>
      <c r="O53" s="68">
        <f>O5/D5</f>
        <v>0.4723380930155569</v>
      </c>
      <c r="P53" s="68">
        <f>P5/D5</f>
        <v>0.0028966739722162903</v>
      </c>
      <c r="Q53" s="68">
        <f>Q5/D5</f>
        <v>0.05189171846609863</v>
      </c>
      <c r="R53" s="68">
        <f>SUM(R6:R52)</f>
        <v>0.9999999999999999</v>
      </c>
      <c r="S53" s="8">
        <f>S30+S51</f>
        <v>1</v>
      </c>
    </row>
    <row r="54" spans="1:18" s="8" customFormat="1" ht="13.5" thickTop="1">
      <c r="A54" s="69"/>
      <c r="C54" s="66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</row>
  </sheetData>
  <sheetProtection/>
  <printOptions/>
  <pageMargins left="0" right="0" top="1" bottom="1" header="0.3" footer="0.3"/>
  <pageSetup horizontalDpi="600" verticalDpi="600" orientation="landscape" paperSize="5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selection activeCell="S21" sqref="S21"/>
    </sheetView>
  </sheetViews>
  <sheetFormatPr defaultColWidth="10.7109375" defaultRowHeight="12.75"/>
  <cols>
    <col min="1" max="1" width="11.00390625" style="0" customWidth="1"/>
    <col min="2" max="2" width="18.7109375" style="0" customWidth="1"/>
    <col min="3" max="3" width="44.00390625" style="0" customWidth="1"/>
    <col min="4" max="4" width="20.140625" style="47" customWidth="1"/>
    <col min="5" max="5" width="18.28125" style="47" customWidth="1"/>
    <col min="6" max="6" width="17.00390625" style="47" customWidth="1"/>
    <col min="7" max="7" width="14.00390625" style="47" hidden="1" customWidth="1"/>
    <col min="8" max="8" width="14.00390625" style="47" customWidth="1"/>
    <col min="9" max="9" width="17.28125" style="47" customWidth="1"/>
    <col min="10" max="10" width="14.00390625" style="47" customWidth="1"/>
    <col min="11" max="11" width="16.140625" style="47" customWidth="1"/>
    <col min="12" max="12" width="14.7109375" style="47" customWidth="1"/>
    <col min="13" max="13" width="15.140625" style="47" customWidth="1"/>
    <col min="14" max="14" width="16.7109375" style="47" customWidth="1"/>
    <col min="15" max="15" width="17.00390625" style="47" customWidth="1"/>
    <col min="16" max="16" width="14.28125" style="47" customWidth="1"/>
    <col min="17" max="17" width="15.140625" style="8" customWidth="1"/>
    <col min="18" max="18" width="15.7109375" style="0" customWidth="1"/>
  </cols>
  <sheetData>
    <row r="1" ht="12.75">
      <c r="A1" s="46" t="s">
        <v>95</v>
      </c>
    </row>
    <row r="3" spans="1:17" ht="12.75">
      <c r="A3" s="48"/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 t="s">
        <v>18</v>
      </c>
    </row>
    <row r="4" spans="1:17" ht="12.75">
      <c r="A4" s="51" t="s">
        <v>19</v>
      </c>
      <c r="B4" s="51" t="s">
        <v>20</v>
      </c>
      <c r="C4" s="51" t="s">
        <v>21</v>
      </c>
      <c r="D4" s="52" t="s">
        <v>7</v>
      </c>
      <c r="E4" s="52" t="s">
        <v>22</v>
      </c>
      <c r="F4" s="52" t="s">
        <v>23</v>
      </c>
      <c r="G4" s="52" t="s">
        <v>24</v>
      </c>
      <c r="H4" s="52" t="s">
        <v>25</v>
      </c>
      <c r="I4" s="52" t="s">
        <v>26</v>
      </c>
      <c r="J4" s="52" t="s">
        <v>27</v>
      </c>
      <c r="K4" s="52" t="s">
        <v>28</v>
      </c>
      <c r="L4" s="52" t="s">
        <v>29</v>
      </c>
      <c r="M4" s="52" t="s">
        <v>30</v>
      </c>
      <c r="N4" s="52" t="s">
        <v>31</v>
      </c>
      <c r="O4" s="52" t="s">
        <v>32</v>
      </c>
      <c r="P4" s="52" t="s">
        <v>33</v>
      </c>
      <c r="Q4" s="53" t="s">
        <v>34</v>
      </c>
    </row>
    <row r="5" spans="1:17" s="57" customFormat="1" ht="13.5" thickBot="1">
      <c r="A5" s="54"/>
      <c r="B5" s="54"/>
      <c r="C5" s="54" t="s">
        <v>35</v>
      </c>
      <c r="D5" s="55">
        <f>SUM(E5:P5)</f>
        <v>160425429.33</v>
      </c>
      <c r="E5" s="55">
        <f aca="true" t="shared" si="0" ref="E5:P5">SUM(E6:E51)</f>
        <v>43905002.53</v>
      </c>
      <c r="F5" s="55">
        <f t="shared" si="0"/>
        <v>7325269.15</v>
      </c>
      <c r="G5" s="55">
        <f t="shared" si="0"/>
        <v>0</v>
      </c>
      <c r="H5" s="55">
        <f t="shared" si="0"/>
        <v>560728.6599999999</v>
      </c>
      <c r="I5" s="55">
        <f t="shared" si="0"/>
        <v>16724303.42</v>
      </c>
      <c r="J5" s="55">
        <f t="shared" si="0"/>
        <v>259221.3</v>
      </c>
      <c r="K5" s="55">
        <f t="shared" si="0"/>
        <v>1564533.1500000001</v>
      </c>
      <c r="L5" s="55">
        <f t="shared" si="0"/>
        <v>698682.3099999999</v>
      </c>
      <c r="M5" s="55">
        <f t="shared" si="0"/>
        <v>850604.43</v>
      </c>
      <c r="N5" s="55">
        <f t="shared" si="0"/>
        <v>10530690.52</v>
      </c>
      <c r="O5" s="55">
        <f t="shared" si="0"/>
        <v>77542019.70000002</v>
      </c>
      <c r="P5" s="55">
        <f t="shared" si="0"/>
        <v>464374.16</v>
      </c>
      <c r="Q5" s="56"/>
    </row>
    <row r="6" spans="1:16" ht="13.5" thickTop="1">
      <c r="A6" s="58"/>
      <c r="B6" s="59"/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7" ht="12.75" hidden="1">
      <c r="A7" s="59" t="s">
        <v>22</v>
      </c>
      <c r="B7" s="73" t="s">
        <v>73</v>
      </c>
      <c r="C7" s="59" t="s">
        <v>37</v>
      </c>
      <c r="D7" s="47">
        <f aca="true" t="shared" si="1" ref="D7:D50">SUM(E7:P7)</f>
        <v>0</v>
      </c>
      <c r="E7" s="61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8">
        <f aca="true" t="shared" si="2" ref="Q7:Q50">D7/$D$5</f>
        <v>0</v>
      </c>
    </row>
    <row r="8" spans="1:17" ht="12.75" hidden="1">
      <c r="A8" s="73" t="s">
        <v>22</v>
      </c>
      <c r="B8" s="73" t="s">
        <v>38</v>
      </c>
      <c r="C8" s="73" t="s">
        <v>39</v>
      </c>
      <c r="D8" s="47">
        <f t="shared" si="1"/>
        <v>0</v>
      </c>
      <c r="E8" s="61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8">
        <f t="shared" si="2"/>
        <v>0</v>
      </c>
    </row>
    <row r="9" spans="1:17" ht="12.75">
      <c r="A9" s="73" t="s">
        <v>22</v>
      </c>
      <c r="B9" s="73" t="s">
        <v>101</v>
      </c>
      <c r="C9" s="73" t="s">
        <v>68</v>
      </c>
      <c r="D9" s="47">
        <f t="shared" si="1"/>
        <v>162157.83000000002</v>
      </c>
      <c r="E9" s="61">
        <f>57065.83+105092</f>
        <v>162157.83000000002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8">
        <f t="shared" si="2"/>
        <v>0.0010107987909225812</v>
      </c>
    </row>
    <row r="10" spans="1:17" ht="12.75">
      <c r="A10" s="73" t="s">
        <v>22</v>
      </c>
      <c r="B10" s="73" t="s">
        <v>102</v>
      </c>
      <c r="C10" s="73" t="s">
        <v>103</v>
      </c>
      <c r="D10" s="47">
        <f t="shared" si="1"/>
        <v>8360021.99</v>
      </c>
      <c r="E10" s="61">
        <f>8360021.99</f>
        <v>8360021.99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8">
        <f t="shared" si="2"/>
        <v>0.0521115762314912</v>
      </c>
    </row>
    <row r="11" spans="1:17" ht="12.75">
      <c r="A11" s="73" t="s">
        <v>22</v>
      </c>
      <c r="B11" s="73" t="s">
        <v>144</v>
      </c>
      <c r="C11" s="73" t="s">
        <v>98</v>
      </c>
      <c r="D11" s="47">
        <f t="shared" si="1"/>
        <v>22929724.5</v>
      </c>
      <c r="E11" s="61">
        <f>3006114.55+19923609.95</f>
        <v>22929724.5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8">
        <f t="shared" si="2"/>
        <v>0.14293073483277302</v>
      </c>
    </row>
    <row r="12" spans="1:17" ht="12.75">
      <c r="A12" s="59" t="s">
        <v>23</v>
      </c>
      <c r="B12" s="59" t="s">
        <v>134</v>
      </c>
      <c r="C12" s="59" t="s">
        <v>37</v>
      </c>
      <c r="D12" s="47">
        <f t="shared" si="1"/>
        <v>6756845.13</v>
      </c>
      <c r="E12" s="61"/>
      <c r="F12" s="61">
        <f>889486.9+690398.91+1461944.86+2127983.58+792620+681184.63+113226.25</f>
        <v>6756845.13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8">
        <f t="shared" si="2"/>
        <v>0.04211829233195295</v>
      </c>
    </row>
    <row r="13" spans="1:17" ht="12.75">
      <c r="A13" s="59" t="s">
        <v>23</v>
      </c>
      <c r="B13" s="73" t="s">
        <v>135</v>
      </c>
      <c r="C13" s="59" t="s">
        <v>39</v>
      </c>
      <c r="D13" s="47">
        <f t="shared" si="1"/>
        <v>25506.08</v>
      </c>
      <c r="E13" s="61"/>
      <c r="F13" s="61">
        <f>15312.33+10193.75</f>
        <v>25506.08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8">
        <f t="shared" si="2"/>
        <v>0.0001589902555132529</v>
      </c>
    </row>
    <row r="14" spans="1:17" ht="12.75" hidden="1">
      <c r="A14" s="59" t="s">
        <v>63</v>
      </c>
      <c r="B14" s="73" t="s">
        <v>61</v>
      </c>
      <c r="C14" s="59" t="s">
        <v>37</v>
      </c>
      <c r="D14" s="47">
        <f t="shared" si="1"/>
        <v>0</v>
      </c>
      <c r="E14" s="61"/>
      <c r="F14" s="61"/>
      <c r="G14" s="61"/>
      <c r="H14" s="60"/>
      <c r="I14" s="60"/>
      <c r="J14" s="60"/>
      <c r="K14" s="60"/>
      <c r="L14" s="60"/>
      <c r="M14" s="60"/>
      <c r="N14" s="60"/>
      <c r="O14" s="60"/>
      <c r="P14" s="60"/>
      <c r="Q14" s="8">
        <f t="shared" si="2"/>
        <v>0</v>
      </c>
    </row>
    <row r="15" spans="1:17" ht="12.75">
      <c r="A15" s="59" t="s">
        <v>25</v>
      </c>
      <c r="B15" s="73" t="s">
        <v>110</v>
      </c>
      <c r="C15" s="59" t="s">
        <v>37</v>
      </c>
      <c r="D15" s="47">
        <f t="shared" si="1"/>
        <v>560728.6599999999</v>
      </c>
      <c r="E15" s="61"/>
      <c r="F15" s="61"/>
      <c r="G15" s="60"/>
      <c r="H15" s="61">
        <f>467739.04+92989.62</f>
        <v>560728.6599999999</v>
      </c>
      <c r="I15" s="60"/>
      <c r="J15" s="60"/>
      <c r="K15" s="60"/>
      <c r="L15" s="60"/>
      <c r="M15" s="60"/>
      <c r="N15" s="60"/>
      <c r="O15" s="60"/>
      <c r="P15" s="60"/>
      <c r="Q15" s="8">
        <f t="shared" si="2"/>
        <v>0.0034952604605256433</v>
      </c>
    </row>
    <row r="16" spans="1:17" ht="12.75">
      <c r="A16" s="59" t="s">
        <v>26</v>
      </c>
      <c r="B16" s="73" t="s">
        <v>132</v>
      </c>
      <c r="C16" s="59" t="s">
        <v>37</v>
      </c>
      <c r="D16" s="47">
        <f t="shared" si="1"/>
        <v>1249189.31</v>
      </c>
      <c r="E16" s="61"/>
      <c r="F16" s="61"/>
      <c r="G16" s="60"/>
      <c r="H16" s="61"/>
      <c r="I16" s="61">
        <f>371294.08+498591.67+38257.4+68523.13+133880.33+96937.87+39635.33+2069.5</f>
        <v>1249189.31</v>
      </c>
      <c r="J16" s="60"/>
      <c r="K16" s="60"/>
      <c r="L16" s="60"/>
      <c r="M16" s="60"/>
      <c r="N16" s="60"/>
      <c r="O16" s="60"/>
      <c r="P16" s="60"/>
      <c r="Q16" s="8">
        <f t="shared" si="2"/>
        <v>0.007786728794911805</v>
      </c>
    </row>
    <row r="17" spans="1:17" ht="12.75">
      <c r="A17" s="73" t="s">
        <v>26</v>
      </c>
      <c r="B17" s="73" t="s">
        <v>71</v>
      </c>
      <c r="C17" s="73" t="s">
        <v>72</v>
      </c>
      <c r="D17" s="47">
        <f t="shared" si="1"/>
        <v>2684355.93</v>
      </c>
      <c r="E17" s="61"/>
      <c r="F17" s="61"/>
      <c r="G17" s="60"/>
      <c r="H17" s="61"/>
      <c r="I17" s="61">
        <f>2684355.93</f>
        <v>2684355.93</v>
      </c>
      <c r="J17" s="60"/>
      <c r="K17" s="60"/>
      <c r="L17" s="60"/>
      <c r="M17" s="60"/>
      <c r="N17" s="60"/>
      <c r="O17" s="60"/>
      <c r="P17" s="60"/>
      <c r="Q17" s="8">
        <f t="shared" si="2"/>
        <v>0.016732733340412</v>
      </c>
    </row>
    <row r="18" spans="1:17" ht="12.75">
      <c r="A18" s="73" t="s">
        <v>26</v>
      </c>
      <c r="B18" s="73" t="s">
        <v>69</v>
      </c>
      <c r="C18" s="73" t="s">
        <v>107</v>
      </c>
      <c r="D18" s="47">
        <f t="shared" si="1"/>
        <v>84844.97</v>
      </c>
      <c r="E18" s="61"/>
      <c r="F18" s="61"/>
      <c r="G18" s="60"/>
      <c r="H18" s="61"/>
      <c r="I18" s="61">
        <f>84844.97</f>
        <v>84844.97</v>
      </c>
      <c r="J18" s="60"/>
      <c r="K18" s="60"/>
      <c r="L18" s="60"/>
      <c r="M18" s="60"/>
      <c r="N18" s="60"/>
      <c r="O18" s="60"/>
      <c r="P18" s="60"/>
      <c r="Q18" s="8">
        <f t="shared" si="2"/>
        <v>0.0005288748196239593</v>
      </c>
    </row>
    <row r="19" spans="1:17" ht="12.75" hidden="1">
      <c r="A19" s="59" t="s">
        <v>27</v>
      </c>
      <c r="B19" s="73" t="s">
        <v>74</v>
      </c>
      <c r="C19" s="59" t="s">
        <v>37</v>
      </c>
      <c r="D19" s="47">
        <f t="shared" si="1"/>
        <v>0</v>
      </c>
      <c r="E19" s="61"/>
      <c r="F19" s="61"/>
      <c r="G19" s="60"/>
      <c r="H19" s="61"/>
      <c r="I19" s="60"/>
      <c r="J19" s="61"/>
      <c r="K19" s="60"/>
      <c r="L19" s="60"/>
      <c r="M19" s="60"/>
      <c r="N19" s="60"/>
      <c r="O19" s="60"/>
      <c r="P19" s="60"/>
      <c r="Q19" s="8">
        <f t="shared" si="2"/>
        <v>0</v>
      </c>
    </row>
    <row r="20" spans="1:17" ht="12.75">
      <c r="A20" s="59" t="s">
        <v>27</v>
      </c>
      <c r="B20" s="73" t="s">
        <v>145</v>
      </c>
      <c r="C20" s="59" t="s">
        <v>39</v>
      </c>
      <c r="D20" s="47">
        <f t="shared" si="1"/>
        <v>259221.3</v>
      </c>
      <c r="E20" s="61"/>
      <c r="F20" s="61"/>
      <c r="G20" s="60"/>
      <c r="H20" s="61"/>
      <c r="I20" s="60"/>
      <c r="J20" s="61">
        <f>10428.44+248792.86</f>
        <v>259221.3</v>
      </c>
      <c r="K20" s="60"/>
      <c r="L20" s="60"/>
      <c r="M20" s="60"/>
      <c r="N20" s="60"/>
      <c r="O20" s="60"/>
      <c r="P20" s="60"/>
      <c r="Q20" s="8">
        <f t="shared" si="2"/>
        <v>0.0016158367229098939</v>
      </c>
    </row>
    <row r="21" spans="1:17" ht="12.75">
      <c r="A21" s="59" t="s">
        <v>28</v>
      </c>
      <c r="B21" s="73" t="s">
        <v>111</v>
      </c>
      <c r="C21" s="59" t="s">
        <v>37</v>
      </c>
      <c r="D21" s="47">
        <f t="shared" si="1"/>
        <v>1281697.58</v>
      </c>
      <c r="E21" s="61"/>
      <c r="F21" s="61"/>
      <c r="G21" s="60"/>
      <c r="H21" s="61"/>
      <c r="I21" s="60"/>
      <c r="J21" s="61"/>
      <c r="K21" s="61">
        <f>275528.65+57168.93+530000+419000</f>
        <v>1281697.58</v>
      </c>
      <c r="L21" s="60"/>
      <c r="M21" s="60"/>
      <c r="N21" s="60"/>
      <c r="O21" s="60"/>
      <c r="P21" s="60"/>
      <c r="Q21" s="8">
        <f t="shared" si="2"/>
        <v>0.007989366681784026</v>
      </c>
    </row>
    <row r="22" spans="1:17" ht="12.75">
      <c r="A22" s="59" t="s">
        <v>28</v>
      </c>
      <c r="B22" s="59" t="s">
        <v>36</v>
      </c>
      <c r="C22" s="59" t="s">
        <v>40</v>
      </c>
      <c r="D22" s="47">
        <f t="shared" si="1"/>
        <v>282835.57</v>
      </c>
      <c r="E22" s="61"/>
      <c r="F22" s="60"/>
      <c r="G22" s="60"/>
      <c r="H22" s="60"/>
      <c r="I22" s="60"/>
      <c r="J22" s="60"/>
      <c r="K22" s="61">
        <f>282835.57</f>
        <v>282835.57</v>
      </c>
      <c r="L22" s="60"/>
      <c r="M22" s="60"/>
      <c r="N22" s="60"/>
      <c r="O22" s="60"/>
      <c r="P22" s="60"/>
      <c r="Q22" s="8">
        <f t="shared" si="2"/>
        <v>0.0017630345212802804</v>
      </c>
    </row>
    <row r="23" spans="1:17" ht="12.75">
      <c r="A23" s="59" t="s">
        <v>29</v>
      </c>
      <c r="B23" s="59" t="s">
        <v>112</v>
      </c>
      <c r="C23" s="59" t="s">
        <v>37</v>
      </c>
      <c r="D23" s="47">
        <f t="shared" si="1"/>
        <v>10775.25</v>
      </c>
      <c r="E23" s="61"/>
      <c r="F23" s="60"/>
      <c r="G23" s="60"/>
      <c r="H23" s="60"/>
      <c r="I23" s="60"/>
      <c r="J23" s="60"/>
      <c r="K23" s="61"/>
      <c r="L23" s="61">
        <f>10775.25</f>
        <v>10775.25</v>
      </c>
      <c r="M23" s="60"/>
      <c r="N23" s="60"/>
      <c r="O23" s="60"/>
      <c r="P23" s="60"/>
      <c r="Q23" s="8">
        <f t="shared" si="2"/>
        <v>6.716672066892201E-05</v>
      </c>
    </row>
    <row r="24" spans="1:17" ht="12.75">
      <c r="A24" s="59" t="s">
        <v>29</v>
      </c>
      <c r="B24" s="59" t="s">
        <v>105</v>
      </c>
      <c r="C24" s="59" t="s">
        <v>70</v>
      </c>
      <c r="D24" s="47">
        <f t="shared" si="1"/>
        <v>60472.5</v>
      </c>
      <c r="E24" s="61"/>
      <c r="F24" s="60"/>
      <c r="G24" s="60"/>
      <c r="H24" s="60"/>
      <c r="I24" s="60"/>
      <c r="J24" s="60"/>
      <c r="K24" s="61"/>
      <c r="L24" s="61">
        <f>30196.01+30276.49</f>
        <v>60472.5</v>
      </c>
      <c r="M24" s="60"/>
      <c r="N24" s="60"/>
      <c r="O24" s="60"/>
      <c r="P24" s="60"/>
      <c r="Q24" s="8">
        <f t="shared" si="2"/>
        <v>0.00037695083786003914</v>
      </c>
    </row>
    <row r="25" spans="1:17" ht="12.75">
      <c r="A25" s="59" t="s">
        <v>29</v>
      </c>
      <c r="B25" s="73" t="s">
        <v>113</v>
      </c>
      <c r="C25" s="59" t="s">
        <v>39</v>
      </c>
      <c r="D25" s="47">
        <f t="shared" si="1"/>
        <v>627434.5599999999</v>
      </c>
      <c r="E25" s="61"/>
      <c r="F25" s="60"/>
      <c r="G25" s="60"/>
      <c r="H25" s="60"/>
      <c r="I25" s="60"/>
      <c r="J25" s="60"/>
      <c r="K25" s="61"/>
      <c r="L25" s="61">
        <f>610722.96+1789.6+152.3+14769.7</f>
        <v>627434.5599999999</v>
      </c>
      <c r="M25" s="60"/>
      <c r="N25" s="60"/>
      <c r="O25" s="60"/>
      <c r="P25" s="60"/>
      <c r="Q25" s="8">
        <f t="shared" si="2"/>
        <v>0.003911066734372566</v>
      </c>
    </row>
    <row r="26" spans="1:17" ht="12.75">
      <c r="A26" s="59" t="s">
        <v>30</v>
      </c>
      <c r="B26" s="73" t="s">
        <v>114</v>
      </c>
      <c r="C26" s="59" t="s">
        <v>37</v>
      </c>
      <c r="D26" s="47">
        <f t="shared" si="1"/>
        <v>850604.43</v>
      </c>
      <c r="E26" s="61"/>
      <c r="F26" s="60"/>
      <c r="G26" s="60"/>
      <c r="H26" s="60"/>
      <c r="I26" s="60"/>
      <c r="J26" s="60"/>
      <c r="K26" s="61"/>
      <c r="L26" s="61"/>
      <c r="M26" s="61">
        <f>527404.43+323200</f>
        <v>850604.43</v>
      </c>
      <c r="N26" s="60"/>
      <c r="O26" s="60"/>
      <c r="P26" s="60"/>
      <c r="Q26" s="8">
        <f t="shared" si="2"/>
        <v>0.005302179545677143</v>
      </c>
    </row>
    <row r="27" spans="1:17" ht="12.75">
      <c r="A27" s="59" t="s">
        <v>31</v>
      </c>
      <c r="B27" s="59" t="s">
        <v>115</v>
      </c>
      <c r="C27" s="59" t="s">
        <v>37</v>
      </c>
      <c r="D27" s="47">
        <f t="shared" si="1"/>
        <v>560759.46</v>
      </c>
      <c r="E27" s="61"/>
      <c r="F27" s="60"/>
      <c r="G27" s="60"/>
      <c r="H27" s="60"/>
      <c r="I27" s="60"/>
      <c r="J27" s="60"/>
      <c r="K27" s="61"/>
      <c r="L27" s="61"/>
      <c r="M27" s="61"/>
      <c r="N27" s="61">
        <f>149768.64+334873.32+76117.5</f>
        <v>560759.46</v>
      </c>
      <c r="O27" s="60"/>
      <c r="P27" s="60"/>
      <c r="Q27" s="8">
        <f t="shared" si="2"/>
        <v>0.003495452450038333</v>
      </c>
    </row>
    <row r="28" spans="1:17" ht="12.75">
      <c r="A28" s="59" t="s">
        <v>31</v>
      </c>
      <c r="B28" s="59" t="s">
        <v>99</v>
      </c>
      <c r="C28" s="59" t="s">
        <v>100</v>
      </c>
      <c r="D28" s="47">
        <f t="shared" si="1"/>
        <v>9668105.38</v>
      </c>
      <c r="E28" s="61"/>
      <c r="F28" s="60"/>
      <c r="G28" s="60"/>
      <c r="H28" s="60"/>
      <c r="I28" s="60"/>
      <c r="J28" s="60"/>
      <c r="K28" s="61"/>
      <c r="L28" s="61"/>
      <c r="M28" s="61"/>
      <c r="N28" s="61">
        <f>9668105.38</f>
        <v>9668105.38</v>
      </c>
      <c r="O28" s="60"/>
      <c r="P28" s="60"/>
      <c r="Q28" s="8">
        <f t="shared" si="2"/>
        <v>0.060265416900411796</v>
      </c>
    </row>
    <row r="29" spans="1:17" ht="12.75">
      <c r="A29" s="59" t="s">
        <v>32</v>
      </c>
      <c r="B29" s="59" t="s">
        <v>116</v>
      </c>
      <c r="C29" s="59" t="s">
        <v>37</v>
      </c>
      <c r="D29" s="47">
        <f t="shared" si="1"/>
        <v>2241288.05</v>
      </c>
      <c r="E29" s="61"/>
      <c r="F29" s="60"/>
      <c r="G29" s="60"/>
      <c r="H29" s="60"/>
      <c r="I29" s="60"/>
      <c r="J29" s="60"/>
      <c r="K29" s="61"/>
      <c r="L29" s="61"/>
      <c r="M29" s="61"/>
      <c r="N29" s="60"/>
      <c r="O29" s="61">
        <f>621656.31+1340943.35+272001.57+6686.82</f>
        <v>2241288.05</v>
      </c>
      <c r="P29" s="60"/>
      <c r="Q29" s="8">
        <f t="shared" si="2"/>
        <v>0.013970902614133585</v>
      </c>
    </row>
    <row r="30" spans="1:18" ht="12.75">
      <c r="A30" s="59" t="s">
        <v>33</v>
      </c>
      <c r="B30" s="59" t="s">
        <v>133</v>
      </c>
      <c r="C30" s="59" t="s">
        <v>37</v>
      </c>
      <c r="D30" s="47">
        <f t="shared" si="1"/>
        <v>464374.16</v>
      </c>
      <c r="E30" s="61"/>
      <c r="F30" s="60"/>
      <c r="G30" s="60"/>
      <c r="H30" s="60"/>
      <c r="I30" s="60"/>
      <c r="J30" s="60"/>
      <c r="K30" s="61"/>
      <c r="L30" s="61"/>
      <c r="M30" s="61"/>
      <c r="N30" s="60"/>
      <c r="O30" s="61"/>
      <c r="P30" s="61">
        <f>78065+363435.12+7974.04+14900</f>
        <v>464374.16</v>
      </c>
      <c r="Q30" s="8">
        <f t="shared" si="2"/>
        <v>0.002894641840382849</v>
      </c>
      <c r="R30" s="8">
        <f>SUM(Q7:Q30)</f>
        <v>0.36852600542764585</v>
      </c>
    </row>
    <row r="31" spans="1:18" ht="12.75" hidden="1">
      <c r="A31" s="59" t="s">
        <v>22</v>
      </c>
      <c r="B31" s="73" t="s">
        <v>78</v>
      </c>
      <c r="C31" s="59" t="s">
        <v>54</v>
      </c>
      <c r="D31" s="47">
        <f t="shared" si="1"/>
        <v>0</v>
      </c>
      <c r="E31" s="61"/>
      <c r="F31" s="60"/>
      <c r="G31" s="60"/>
      <c r="H31" s="60"/>
      <c r="I31" s="60"/>
      <c r="J31" s="60"/>
      <c r="K31" s="61"/>
      <c r="L31" s="61"/>
      <c r="M31" s="61"/>
      <c r="N31" s="60"/>
      <c r="O31" s="61"/>
      <c r="P31" s="61"/>
      <c r="Q31" s="8">
        <f t="shared" si="2"/>
        <v>0</v>
      </c>
      <c r="R31" s="8"/>
    </row>
    <row r="32" spans="1:18" ht="12.75">
      <c r="A32" s="59" t="s">
        <v>22</v>
      </c>
      <c r="B32" s="73" t="s">
        <v>137</v>
      </c>
      <c r="C32" s="59" t="s">
        <v>138</v>
      </c>
      <c r="D32" s="47">
        <f t="shared" si="1"/>
        <v>128951.48</v>
      </c>
      <c r="E32" s="61">
        <f>128951.48</f>
        <v>128951.48</v>
      </c>
      <c r="F32" s="60"/>
      <c r="G32" s="60"/>
      <c r="H32" s="60"/>
      <c r="I32" s="60"/>
      <c r="J32" s="60"/>
      <c r="K32" s="61"/>
      <c r="L32" s="61"/>
      <c r="M32" s="61"/>
      <c r="N32" s="60"/>
      <c r="O32" s="61"/>
      <c r="P32" s="61"/>
      <c r="Q32" s="8">
        <f t="shared" si="2"/>
        <v>0.0008038094742121142</v>
      </c>
      <c r="R32" s="8"/>
    </row>
    <row r="33" spans="1:17" ht="12.75">
      <c r="A33" s="2" t="s">
        <v>22</v>
      </c>
      <c r="B33" s="74" t="s">
        <v>81</v>
      </c>
      <c r="C33" t="s">
        <v>41</v>
      </c>
      <c r="D33" s="47">
        <f t="shared" si="1"/>
        <v>30601.04</v>
      </c>
      <c r="E33" s="47">
        <f>30601.04</f>
        <v>30601.04</v>
      </c>
      <c r="Q33" s="8">
        <f t="shared" si="2"/>
        <v>0.00019074931030449498</v>
      </c>
    </row>
    <row r="34" spans="1:17" ht="12.75">
      <c r="A34" s="74" t="s">
        <v>22</v>
      </c>
      <c r="B34" s="74" t="s">
        <v>64</v>
      </c>
      <c r="C34" s="62" t="s">
        <v>43</v>
      </c>
      <c r="D34" s="47">
        <f t="shared" si="1"/>
        <v>3488695.1</v>
      </c>
      <c r="E34" s="47">
        <f>3488695.1</f>
        <v>3488695.1</v>
      </c>
      <c r="Q34" s="8">
        <f t="shared" si="2"/>
        <v>0.021746521823691977</v>
      </c>
    </row>
    <row r="35" spans="1:17" ht="12.75">
      <c r="A35" s="2" t="s">
        <v>22</v>
      </c>
      <c r="B35" s="74" t="s">
        <v>127</v>
      </c>
      <c r="C35" s="62" t="s">
        <v>43</v>
      </c>
      <c r="D35" s="47">
        <f t="shared" si="1"/>
        <v>8796945.67</v>
      </c>
      <c r="E35" s="47">
        <f>8796945.67</f>
        <v>8796945.67</v>
      </c>
      <c r="Q35" s="8">
        <f t="shared" si="2"/>
        <v>0.05483510754335844</v>
      </c>
    </row>
    <row r="36" spans="1:17" ht="12.75">
      <c r="A36" s="74" t="s">
        <v>22</v>
      </c>
      <c r="B36" s="74" t="s">
        <v>142</v>
      </c>
      <c r="C36" s="75" t="s">
        <v>62</v>
      </c>
      <c r="D36" s="47">
        <f t="shared" si="1"/>
        <v>7904.92</v>
      </c>
      <c r="E36" s="47">
        <f>7904.92</f>
        <v>7904.92</v>
      </c>
      <c r="Q36" s="8">
        <f t="shared" si="2"/>
        <v>4.9274731774221015E-05</v>
      </c>
    </row>
    <row r="37" spans="1:17" ht="12.75" hidden="1">
      <c r="A37" s="2" t="s">
        <v>23</v>
      </c>
      <c r="B37" s="2" t="s">
        <v>53</v>
      </c>
      <c r="C37" s="62" t="s">
        <v>57</v>
      </c>
      <c r="D37" s="47">
        <f t="shared" si="1"/>
        <v>0</v>
      </c>
      <c r="Q37" s="8">
        <f t="shared" si="2"/>
        <v>0</v>
      </c>
    </row>
    <row r="38" spans="1:17" ht="12.75">
      <c r="A38" s="74" t="s">
        <v>23</v>
      </c>
      <c r="B38" s="74" t="s">
        <v>64</v>
      </c>
      <c r="C38" s="75" t="s">
        <v>76</v>
      </c>
      <c r="D38" s="47">
        <f t="shared" si="1"/>
        <v>542917.94</v>
      </c>
      <c r="F38" s="47">
        <f>542917.94</f>
        <v>542917.94</v>
      </c>
      <c r="Q38" s="8">
        <f t="shared" si="2"/>
        <v>0.0033842386600892375</v>
      </c>
    </row>
    <row r="39" spans="1:17" ht="12.75">
      <c r="A39" s="74" t="s">
        <v>26</v>
      </c>
      <c r="B39" s="74" t="s">
        <v>117</v>
      </c>
      <c r="C39" s="75" t="s">
        <v>118</v>
      </c>
      <c r="D39" s="47">
        <f t="shared" si="1"/>
        <v>4717881.41</v>
      </c>
      <c r="I39" s="47">
        <f>4717881.41</f>
        <v>4717881.41</v>
      </c>
      <c r="Q39" s="8">
        <f t="shared" si="2"/>
        <v>0.029408563403593414</v>
      </c>
    </row>
    <row r="40" spans="1:17" ht="12.75">
      <c r="A40" s="2" t="s">
        <v>26</v>
      </c>
      <c r="B40" s="74" t="s">
        <v>121</v>
      </c>
      <c r="C40" t="s">
        <v>44</v>
      </c>
      <c r="D40" s="47">
        <f t="shared" si="1"/>
        <v>7338656.6</v>
      </c>
      <c r="I40" s="47">
        <f>3013034.52+3974248.01+351374.07</f>
        <v>7338656.6</v>
      </c>
      <c r="Q40" s="8">
        <f t="shared" si="2"/>
        <v>0.04574497092293366</v>
      </c>
    </row>
    <row r="41" spans="1:17" ht="12.75">
      <c r="A41" s="74" t="s">
        <v>26</v>
      </c>
      <c r="B41" s="74" t="s">
        <v>79</v>
      </c>
      <c r="C41" s="75" t="s">
        <v>65</v>
      </c>
      <c r="D41" s="47">
        <f t="shared" si="1"/>
        <v>649375.2</v>
      </c>
      <c r="I41" s="47">
        <f>649375.2</f>
        <v>649375.2</v>
      </c>
      <c r="Q41" s="8">
        <f t="shared" si="2"/>
        <v>0.004047832084427309</v>
      </c>
    </row>
    <row r="42" spans="1:17" ht="12.75" hidden="1">
      <c r="A42" s="74" t="s">
        <v>26</v>
      </c>
      <c r="B42" s="74" t="s">
        <v>83</v>
      </c>
      <c r="C42" s="75" t="s">
        <v>66</v>
      </c>
      <c r="D42" s="47">
        <f t="shared" si="1"/>
        <v>0</v>
      </c>
      <c r="Q42" s="8">
        <f t="shared" si="2"/>
        <v>0</v>
      </c>
    </row>
    <row r="43" spans="1:17" ht="12.75" hidden="1">
      <c r="A43" s="2" t="s">
        <v>28</v>
      </c>
      <c r="B43" s="74" t="s">
        <v>80</v>
      </c>
      <c r="C43" t="s">
        <v>46</v>
      </c>
      <c r="D43" s="47">
        <f t="shared" si="1"/>
        <v>0</v>
      </c>
      <c r="Q43" s="8">
        <f t="shared" si="2"/>
        <v>0</v>
      </c>
    </row>
    <row r="44" spans="1:17" ht="12.75">
      <c r="A44" s="2" t="s">
        <v>31</v>
      </c>
      <c r="B44" s="74" t="s">
        <v>139</v>
      </c>
      <c r="C44" t="s">
        <v>47</v>
      </c>
      <c r="D44" s="47">
        <f t="shared" si="1"/>
        <v>301825.68</v>
      </c>
      <c r="N44" s="47">
        <f>60290.98+165022.9+76511.8</f>
        <v>301825.68</v>
      </c>
      <c r="Q44" s="8">
        <f t="shared" si="2"/>
        <v>0.001881407961696243</v>
      </c>
    </row>
    <row r="45" spans="1:17" ht="12.75">
      <c r="A45" s="2" t="s">
        <v>32</v>
      </c>
      <c r="B45" s="74" t="s">
        <v>78</v>
      </c>
      <c r="C45" t="s">
        <v>59</v>
      </c>
      <c r="D45" s="47">
        <f t="shared" si="1"/>
        <v>202826.7</v>
      </c>
      <c r="O45" s="47">
        <f>202826.7</f>
        <v>202826.7</v>
      </c>
      <c r="Q45" s="8">
        <f t="shared" si="2"/>
        <v>0.0012643051718613718</v>
      </c>
    </row>
    <row r="46" spans="1:17" ht="12.75">
      <c r="A46" s="2" t="s">
        <v>32</v>
      </c>
      <c r="B46" s="74" t="s">
        <v>147</v>
      </c>
      <c r="C46" t="s">
        <v>146</v>
      </c>
      <c r="D46" s="47">
        <f t="shared" si="1"/>
        <v>2547582.45</v>
      </c>
      <c r="O46" s="47">
        <f>511240.72+2036341.73</f>
        <v>2547582.45</v>
      </c>
      <c r="Q46" s="8">
        <f t="shared" si="2"/>
        <v>0.015880166010087748</v>
      </c>
    </row>
    <row r="47" spans="1:17" ht="12.75">
      <c r="A47" s="74" t="s">
        <v>32</v>
      </c>
      <c r="B47" s="74" t="s">
        <v>120</v>
      </c>
      <c r="C47" s="76" t="s">
        <v>77</v>
      </c>
      <c r="D47" s="47">
        <f t="shared" si="1"/>
        <v>13750928.08</v>
      </c>
      <c r="O47" s="47">
        <f>1348866.08+11882638.78+519423.22</f>
        <v>13750928.08</v>
      </c>
      <c r="Q47" s="8">
        <f t="shared" si="2"/>
        <v>0.0857153889968025</v>
      </c>
    </row>
    <row r="48" spans="1:17" ht="12.75" hidden="1">
      <c r="A48" s="2" t="s">
        <v>32</v>
      </c>
      <c r="B48" s="74" t="s">
        <v>42</v>
      </c>
      <c r="C48" t="s">
        <v>48</v>
      </c>
      <c r="D48" s="47">
        <f t="shared" si="1"/>
        <v>0</v>
      </c>
      <c r="Q48" s="8">
        <f t="shared" si="2"/>
        <v>0</v>
      </c>
    </row>
    <row r="49" spans="1:18" ht="12.75">
      <c r="A49" s="74" t="s">
        <v>32</v>
      </c>
      <c r="B49" s="74" t="s">
        <v>122</v>
      </c>
      <c r="C49" s="76" t="s">
        <v>82</v>
      </c>
      <c r="D49" s="47">
        <f t="shared" si="1"/>
        <v>58799394.42000001</v>
      </c>
      <c r="O49" s="47">
        <f>3795858.27+40622392.89+13033820.52+1347322.74</f>
        <v>58799394.42000001</v>
      </c>
      <c r="Q49" s="8">
        <f t="shared" si="2"/>
        <v>0.3665216584775214</v>
      </c>
      <c r="R49" s="8">
        <f>SUM(Q32:Q49)</f>
        <v>0.6314739945723541</v>
      </c>
    </row>
    <row r="50" spans="1:18" ht="12.75" hidden="1">
      <c r="A50" s="2" t="s">
        <v>32</v>
      </c>
      <c r="B50" s="2" t="s">
        <v>45</v>
      </c>
      <c r="C50" t="s">
        <v>49</v>
      </c>
      <c r="D50" s="47">
        <f t="shared" si="1"/>
        <v>0</v>
      </c>
      <c r="Q50" s="8">
        <f t="shared" si="2"/>
        <v>0</v>
      </c>
      <c r="R50" s="8"/>
    </row>
    <row r="51" spans="5:17" ht="12.75"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4"/>
    </row>
    <row r="52" spans="2:18" s="8" customFormat="1" ht="13.5" thickBot="1">
      <c r="B52" s="65"/>
      <c r="C52" s="66" t="s">
        <v>50</v>
      </c>
      <c r="D52" s="67">
        <f>SUM(E52:P52)</f>
        <v>1</v>
      </c>
      <c r="E52" s="68">
        <f>E5/D5</f>
        <v>0.2736785727385281</v>
      </c>
      <c r="F52" s="68">
        <f>F5/D5</f>
        <v>0.045661521247555445</v>
      </c>
      <c r="G52" s="68">
        <f>G5/D5</f>
        <v>0</v>
      </c>
      <c r="H52" s="68">
        <f>H5/D5</f>
        <v>0.0034952604605256433</v>
      </c>
      <c r="I52" s="68">
        <f>I5/D5</f>
        <v>0.10424970336590215</v>
      </c>
      <c r="J52" s="68">
        <f>J5/D5</f>
        <v>0.0016158367229098939</v>
      </c>
      <c r="K52" s="68">
        <f>K5/D5</f>
        <v>0.009752401203064308</v>
      </c>
      <c r="L52" s="68">
        <f>L5/D5</f>
        <v>0.004355184292901527</v>
      </c>
      <c r="M52" s="68">
        <f>M5/D5</f>
        <v>0.005302179545677143</v>
      </c>
      <c r="N52" s="68">
        <f>N5/D5</f>
        <v>0.06564227731214636</v>
      </c>
      <c r="O52" s="68">
        <f>O5/D5</f>
        <v>0.4833524212704067</v>
      </c>
      <c r="P52" s="68">
        <f>P5/D5</f>
        <v>0.002894641840382849</v>
      </c>
      <c r="Q52" s="68">
        <f>SUM(Q6:Q51)</f>
        <v>1</v>
      </c>
      <c r="R52" s="8">
        <f>R30+R49</f>
        <v>1</v>
      </c>
    </row>
    <row r="53" spans="1:17" s="8" customFormat="1" ht="13.5" thickTop="1">
      <c r="A53" s="69"/>
      <c r="C53" s="66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</sheetData>
  <sheetProtection/>
  <printOptions/>
  <pageMargins left="0" right="0" top="1" bottom="0" header="0.3" footer="0.3"/>
  <pageSetup horizontalDpi="600" verticalDpi="600" orientation="landscape" paperSize="5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2020-02-03T21:29:33Z</cp:lastPrinted>
  <dcterms:created xsi:type="dcterms:W3CDTF">2011-02-21T16:49:07Z</dcterms:created>
  <dcterms:modified xsi:type="dcterms:W3CDTF">2021-04-05T15:33:47Z</dcterms:modified>
  <cp:category/>
  <cp:version/>
  <cp:contentType/>
  <cp:contentStatus/>
</cp:coreProperties>
</file>