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3" activeTab="0"/>
  </bookViews>
  <sheets>
    <sheet name="2017B" sheetId="1" r:id="rId1"/>
    <sheet name="2017B Academic" sheetId="2" r:id="rId2"/>
    <sheet name="Percentage" sheetId="3" r:id="rId3"/>
  </sheets>
  <definedNames>
    <definedName name="_xlnm.Print_Titles" localSheetId="1">'2017B Academic'!$A:$A</definedName>
  </definedNames>
  <calcPr fullCalcOnLoad="1"/>
</workbook>
</file>

<file path=xl/sharedStrings.xml><?xml version="1.0" encoding="utf-8"?>
<sst xmlns="http://schemas.openxmlformats.org/spreadsheetml/2006/main" count="817" uniqueCount="189">
  <si>
    <t>Percent</t>
  </si>
  <si>
    <t>Inst</t>
  </si>
  <si>
    <t>Type</t>
  </si>
  <si>
    <t>Project</t>
  </si>
  <si>
    <t>Total</t>
  </si>
  <si>
    <t>UMCP</t>
  </si>
  <si>
    <t>UMBC</t>
  </si>
  <si>
    <t>CEES</t>
  </si>
  <si>
    <t>FSU</t>
  </si>
  <si>
    <t>by project</t>
  </si>
  <si>
    <t>Total dollars:</t>
  </si>
  <si>
    <t>Facilities Renewal</t>
  </si>
  <si>
    <t>Percent by Institution:</t>
  </si>
  <si>
    <t>Payment</t>
  </si>
  <si>
    <t>Date</t>
  </si>
  <si>
    <t>Principal</t>
  </si>
  <si>
    <t>Interest</t>
  </si>
  <si>
    <t>UMB</t>
  </si>
  <si>
    <t>BSU</t>
  </si>
  <si>
    <t>TU</t>
  </si>
  <si>
    <t>15th Aux</t>
  </si>
  <si>
    <t>Richmond Hall &amp; Newell Dining</t>
  </si>
  <si>
    <t>UMES</t>
  </si>
  <si>
    <t>15th Acad</t>
  </si>
  <si>
    <t xml:space="preserve">    University System of Maryland</t>
  </si>
  <si>
    <t>CSC</t>
  </si>
  <si>
    <t>UB</t>
  </si>
  <si>
    <t>USMH</t>
  </si>
  <si>
    <t>17th Acad</t>
  </si>
  <si>
    <t>School of Nursing Equipment</t>
  </si>
  <si>
    <t>18th Aux</t>
  </si>
  <si>
    <t>20th Acad</t>
  </si>
  <si>
    <t>Howard Hall Phase IV: Renov</t>
  </si>
  <si>
    <t>19th Acad</t>
  </si>
  <si>
    <t>Hornbake and McKeldin Librs</t>
  </si>
  <si>
    <t>Key and Taliaferro Renovation</t>
  </si>
  <si>
    <t>7800 York Renovation</t>
  </si>
  <si>
    <t>Emergency-Exter Light Poles</t>
  </si>
  <si>
    <t>18,19th Acad</t>
  </si>
  <si>
    <t>SU</t>
  </si>
  <si>
    <t>17,18th Acad</t>
  </si>
  <si>
    <t>Emgerency-Misc Projects</t>
  </si>
  <si>
    <t>Emergency-Misc Projects</t>
  </si>
  <si>
    <t>Emergency-Utility</t>
  </si>
  <si>
    <t>20th Aux</t>
  </si>
  <si>
    <t>Comcast Arena</t>
  </si>
  <si>
    <t>19th Aux</t>
  </si>
  <si>
    <t>South Campus Parking Garage</t>
  </si>
  <si>
    <t>North Campus Parking Garage</t>
  </si>
  <si>
    <t>Health Center</t>
  </si>
  <si>
    <t>Stamp Student Union Renovation</t>
  </si>
  <si>
    <t>Donaldson Brown Center</t>
  </si>
  <si>
    <t>Saratoga Street Garage</t>
  </si>
  <si>
    <t>Murphy Hall Annex Renov</t>
  </si>
  <si>
    <t>New Residence Hall</t>
  </si>
  <si>
    <t>Student Services Center</t>
  </si>
  <si>
    <t>15,16th Aux</t>
  </si>
  <si>
    <t>Parking Garage</t>
  </si>
  <si>
    <t>UMUC</t>
  </si>
  <si>
    <t>Hotel Addition at Inn &amp; Conference</t>
  </si>
  <si>
    <t>Prettyman/Scarborough HVAC</t>
  </si>
  <si>
    <t>Newell Dining Renovation</t>
  </si>
  <si>
    <t>Interim Fitness Center</t>
  </si>
  <si>
    <t>7800 York Road Garage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</si>
  <si>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</si>
  <si>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</si>
  <si>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</si>
  <si>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</si>
  <si>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</si>
  <si>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</si>
  <si>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</si>
  <si>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        UMBC Parking Garage (Auxiliary)</t>
  </si>
  <si>
    <t xml:space="preserve">     UMB Donaldson Brown Center ( 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</si>
  <si>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</si>
  <si>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</si>
  <si>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</si>
  <si>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</si>
  <si>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</si>
  <si>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</si>
  <si>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</si>
  <si>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</si>
  <si>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</si>
  <si>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</si>
  <si>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2002 Series A Bonds</t>
  </si>
  <si>
    <t xml:space="preserve">           Total Auxiliary Projects - 2002A</t>
  </si>
  <si>
    <t>2002 Series A Bond Funded Projects</t>
  </si>
  <si>
    <t xml:space="preserve">           Total Academic Projects - 2002A</t>
  </si>
  <si>
    <t>21th Acad</t>
  </si>
  <si>
    <t>19,21th Acad</t>
  </si>
  <si>
    <t>New Dental School Building</t>
  </si>
  <si>
    <t>Equip Information Technology</t>
  </si>
  <si>
    <t>UMCES</t>
  </si>
  <si>
    <t>Aquaculture Building</t>
  </si>
  <si>
    <t>Utilities Upgrade</t>
  </si>
  <si>
    <t>USMO</t>
  </si>
  <si>
    <t>Emergency-Shady Grove Road</t>
  </si>
  <si>
    <t>Soc Sci,Education &amp; health Sci</t>
  </si>
  <si>
    <t>20,21th Acad</t>
  </si>
  <si>
    <t>19,20th Acad</t>
  </si>
  <si>
    <t>Engineering &amp; Applied Sci Bldg</t>
  </si>
  <si>
    <t>Emergency-Henson Ctr-Roof</t>
  </si>
  <si>
    <t xml:space="preserve">Emergency-Bio Sciences </t>
  </si>
  <si>
    <t>18,21th Acad</t>
  </si>
  <si>
    <t>18,19,20,21th Acad</t>
  </si>
  <si>
    <t>18,20,21th Acad</t>
  </si>
  <si>
    <t>Emergency-Davidge Hall</t>
  </si>
  <si>
    <t>Performing Arts Center Equip</t>
  </si>
  <si>
    <t>School of Law-Marshall Law</t>
  </si>
  <si>
    <t>17,18,19,20th Acad</t>
  </si>
  <si>
    <t>17,20,21th Acad</t>
  </si>
  <si>
    <t>Steam Plant Improvements</t>
  </si>
  <si>
    <t>15,17,18,19,20,21th Acad</t>
  </si>
  <si>
    <t>15,18,19,20th Acad</t>
  </si>
  <si>
    <t>21th Aux</t>
  </si>
  <si>
    <t>Queen Anne's Hall Renovation</t>
  </si>
  <si>
    <t>Temporary Building #2</t>
  </si>
  <si>
    <t>Land Acquisition for Alumni Ctr</t>
  </si>
  <si>
    <t>Residence Hall Renovations</t>
  </si>
  <si>
    <t>Union Bowling Conversion to Cybercafe</t>
  </si>
  <si>
    <t>20,21th Aux</t>
  </si>
  <si>
    <t>New Student Center Const</t>
  </si>
  <si>
    <t>Minnegan Stadium Renovation</t>
  </si>
  <si>
    <t>19,20th Aux</t>
  </si>
  <si>
    <t>Housing Central Utility Plant</t>
  </si>
  <si>
    <t>19,20,21th Aux</t>
  </si>
  <si>
    <t>18,19,20th Aux</t>
  </si>
  <si>
    <t>New Parking Garage</t>
  </si>
  <si>
    <t>16th Aux</t>
  </si>
  <si>
    <t>SCUB 3 Planning and Constr</t>
  </si>
  <si>
    <t>Pascault Row Renovation</t>
  </si>
  <si>
    <t>15,20th Aux</t>
  </si>
  <si>
    <t xml:space="preserve">  UMCP Comcast Arena - 19th Resol (Auxiliary)</t>
  </si>
  <si>
    <t xml:space="preserve"> UMCP Queen Anne's Hall Renovation (Auxiliary)</t>
  </si>
  <si>
    <t xml:space="preserve"> UMCP SCUB 3 Planning and Constr (Auxiliary)</t>
  </si>
  <si>
    <t xml:space="preserve">     UMB Temporary Building #2 ( Auxiliary)</t>
  </si>
  <si>
    <t xml:space="preserve">     UMB New Parking Garage (Auxiliary)</t>
  </si>
  <si>
    <t xml:space="preserve">     UMB Pascault Row Renovation (Auxiliary)</t>
  </si>
  <si>
    <t>UMBC Land Acquisition for Alumni Ctr (Auxiliary)</t>
  </si>
  <si>
    <t xml:space="preserve">  UMBC Residence Hall Renovation (Auxiliary)</t>
  </si>
  <si>
    <t xml:space="preserve">        TU Minnegan Stadium Renov (Auxiliary)</t>
  </si>
  <si>
    <t xml:space="preserve">         UB New Student Center (Auxiliary)</t>
  </si>
  <si>
    <t>15th Acad*</t>
  </si>
  <si>
    <t>17th Acad*</t>
  </si>
  <si>
    <t>19,20,21th Acad*</t>
  </si>
  <si>
    <t>* Adjustment ($2,173,574-accrued interest $351,257 = $1,822,317 = Steam plant $1,807,398.65 + Performing Arts $11,000 + Key and Talaferro $3,918.35)</t>
  </si>
  <si>
    <t xml:space="preserve">  Debt Svc from Earnings and Accrued Interest</t>
  </si>
  <si>
    <t xml:space="preserve">           CSC New Dining Hall (Auxiliary)</t>
  </si>
  <si>
    <t xml:space="preserve">    UMCP Hornbake &amp; McKeldin (Academic)</t>
  </si>
  <si>
    <t>19th &amp; 20th</t>
  </si>
  <si>
    <t xml:space="preserve">    UMCP Key &amp; Taliaferro Renov (Academic)</t>
  </si>
  <si>
    <t>19,20,21th</t>
  </si>
  <si>
    <t xml:space="preserve">  UMCP Engineering &amp; Applied Sci (Academic)</t>
  </si>
  <si>
    <t>19th</t>
  </si>
  <si>
    <t xml:space="preserve">      UMCP Facilities Renewal (Academic)</t>
  </si>
  <si>
    <t>18th &amp; 21th</t>
  </si>
  <si>
    <t xml:space="preserve">          UMB New Dental School (Academic)</t>
  </si>
  <si>
    <t xml:space="preserve">    UMB Howard Hall PH IV Renov (Academic)</t>
  </si>
  <si>
    <t xml:space="preserve">         UMB Facilities Renewal (Academic)</t>
  </si>
  <si>
    <t xml:space="preserve"> UMB School of Nursing Equipment (Academic)</t>
  </si>
  <si>
    <t xml:space="preserve">   UMB School of Law-Marshall (Academic)</t>
  </si>
  <si>
    <t xml:space="preserve">         UMB Emergency Fund (Academic)</t>
  </si>
  <si>
    <t xml:space="preserve">       UMES Utilities Upgrade (Academic)</t>
  </si>
  <si>
    <t xml:space="preserve">  UMES Soc Sci Education &amp; Health (Academic)</t>
  </si>
  <si>
    <t xml:space="preserve">      UMES Facilities Renewal (Academic)</t>
  </si>
  <si>
    <t>UMBC Equip Information Technology (Academic)</t>
  </si>
  <si>
    <t xml:space="preserve">        UMBC Emergency Fund (Academic)</t>
  </si>
  <si>
    <t xml:space="preserve">        UMBC Facilities Renewal (Academic)</t>
  </si>
  <si>
    <t xml:space="preserve">    UMCES Aquaculture Building (Academic)</t>
  </si>
  <si>
    <t xml:space="preserve">      UMCES Facilities Renewal (Academic)</t>
  </si>
  <si>
    <t xml:space="preserve">         BSU Facilities Renewal (Academic)</t>
  </si>
  <si>
    <t xml:space="preserve">          BSU Emergency Fund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</si>
  <si>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</si>
  <si>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</si>
  <si>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</si>
  <si>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SU Emergency Fund (Academic)</t>
  </si>
  <si>
    <t xml:space="preserve">         TU Facilities Renewal (Academic)</t>
  </si>
  <si>
    <t xml:space="preserve">       TU 7800 York Road Renov (Academic)</t>
  </si>
  <si>
    <t xml:space="preserve">          TU Emergency Fund (Academic)</t>
  </si>
  <si>
    <t xml:space="preserve">           UB Facilities Renewal (Academic)</t>
  </si>
  <si>
    <t>Amort of</t>
  </si>
  <si>
    <t>Premium</t>
  </si>
  <si>
    <t>Loss on Refunding</t>
  </si>
  <si>
    <t xml:space="preserve">         UMES Henson Center Roof (Academic)</t>
  </si>
  <si>
    <t xml:space="preserve">          CSU Emergency Light Poles (Academic)</t>
  </si>
  <si>
    <t xml:space="preserve">        USMO Shady Grove Road (Academic)</t>
  </si>
  <si>
    <t xml:space="preserve"> USM (Paid off by UMUC) (Auxiliary)</t>
  </si>
  <si>
    <t>Revised 2002A after 2017B</t>
  </si>
  <si>
    <t xml:space="preserve">         Distribution of Debt Services after 2017B Bond Issue</t>
  </si>
  <si>
    <t xml:space="preserve">  2002A Refinance on 2017B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</si>
</sst>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0000_);_(* \(#,##0.00000\);_(* &quot;-&quot;???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12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3" xfId="0" applyNumberFormat="1" applyBorder="1" applyAlignment="1">
      <alignment horizontal="right"/>
    </xf>
    <xf numFmtId="40" fontId="0" fillId="0" borderId="14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3" xfId="0" applyNumberForma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5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6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7" xfId="0" applyNumberFormat="1" applyBorder="1" applyAlignment="1">
      <alignment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6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38" fontId="0" fillId="33" borderId="21" xfId="0" applyNumberFormat="1" applyFill="1" applyBorder="1" applyAlignment="1" quotePrefix="1">
      <alignment horizontal="centerContinuous"/>
    </xf>
    <xf numFmtId="38" fontId="0" fillId="0" borderId="17" xfId="0" applyNumberForma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38" fontId="0" fillId="0" borderId="21" xfId="0" applyNumberFormat="1" applyBorder="1" applyAlignment="1">
      <alignment horizontal="centerContinuous"/>
    </xf>
    <xf numFmtId="3" fontId="1" fillId="0" borderId="10" xfId="0" applyNumberFormat="1" applyFont="1" applyBorder="1" applyAlignment="1" quotePrefix="1">
      <alignment horizontal="left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 horizontal="center"/>
    </xf>
    <xf numFmtId="172" fontId="1" fillId="0" borderId="10" xfId="0" applyNumberFormat="1" applyFont="1" applyBorder="1" applyAlignment="1" quotePrefix="1">
      <alignment horizontal="left"/>
    </xf>
    <xf numFmtId="172" fontId="1" fillId="0" borderId="16" xfId="0" applyNumberFormat="1" applyFont="1" applyBorder="1" applyAlignment="1">
      <alignment/>
    </xf>
    <xf numFmtId="172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15"/>
  <sheetViews>
    <sheetView tabSelected="1" workbookViewId="0" topLeftCell="A1">
      <selection activeCell="F11" sqref="F11"/>
    </sheetView>
  </sheetViews>
  <sheetFormatPr defaultColWidth="8.7109375" defaultRowHeight="12.75"/>
  <cols>
    <col min="1" max="1" width="9.7109375" style="22" customWidth="1"/>
    <col min="2" max="2" width="3.7109375" style="38" customWidth="1"/>
    <col min="3" max="6" width="13.7109375" style="38" customWidth="1"/>
    <col min="7" max="7" width="16.28125" style="38" customWidth="1"/>
    <col min="8" max="8" width="3.7109375" style="38" customWidth="1"/>
    <col min="9" max="12" width="13.7109375" style="38" customWidth="1"/>
    <col min="13" max="13" width="16.7109375" style="38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6.140625" style="0" customWidth="1"/>
    <col min="26" max="26" width="3.7109375" style="0" customWidth="1"/>
    <col min="27" max="30" width="13.7109375" style="23" customWidth="1"/>
    <col min="31" max="31" width="17.00390625" style="23" customWidth="1"/>
    <col min="32" max="32" width="3.7109375" style="23" customWidth="1"/>
    <col min="33" max="36" width="13.7109375" style="23" customWidth="1"/>
    <col min="37" max="37" width="15.7109375" style="23" customWidth="1"/>
    <col min="38" max="38" width="3.7109375" style="23" customWidth="1"/>
    <col min="39" max="42" width="13.7109375" style="23" customWidth="1"/>
    <col min="43" max="43" width="16.421875" style="23" customWidth="1"/>
    <col min="44" max="44" width="3.7109375" style="23" customWidth="1"/>
    <col min="45" max="48" width="13.7109375" style="23" customWidth="1"/>
    <col min="49" max="49" width="16.140625" style="23" customWidth="1"/>
    <col min="50" max="50" width="3.7109375" style="23" customWidth="1"/>
    <col min="51" max="54" width="13.7109375" style="23" customWidth="1"/>
    <col min="55" max="55" width="16.0039062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28125" style="23" customWidth="1"/>
    <col min="68" max="68" width="3.7109375" style="23" customWidth="1"/>
    <col min="69" max="72" width="13.7109375" style="23" customWidth="1"/>
    <col min="73" max="73" width="15.421875" style="23" customWidth="1"/>
    <col min="74" max="74" width="3.7109375" style="23" customWidth="1"/>
    <col min="75" max="78" width="13.7109375" style="23" customWidth="1"/>
    <col min="79" max="79" width="17.00390625" style="23" customWidth="1"/>
    <col min="80" max="80" width="3.7109375" style="23" customWidth="1"/>
    <col min="81" max="84" width="13.7109375" style="23" customWidth="1"/>
    <col min="85" max="85" width="16.14062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421875" style="23" customWidth="1"/>
    <col min="110" max="110" width="3.7109375" style="23" customWidth="1"/>
    <col min="111" max="114" width="13.7109375" style="23" customWidth="1"/>
    <col min="115" max="115" width="16.7109375" style="23" customWidth="1"/>
    <col min="116" max="116" width="3.7109375" style="23" customWidth="1"/>
    <col min="117" max="120" width="13.7109375" style="23" customWidth="1"/>
    <col min="121" max="121" width="16.28125" style="23" customWidth="1"/>
    <col min="122" max="122" width="3.7109375" style="23" customWidth="1"/>
    <col min="123" max="126" width="13.7109375" style="23" customWidth="1"/>
    <col min="127" max="127" width="16.421875" style="23" customWidth="1"/>
    <col min="128" max="128" width="3.7109375" style="23" customWidth="1"/>
    <col min="129" max="132" width="13.7109375" style="23" customWidth="1"/>
    <col min="133" max="133" width="16.421875" style="23" customWidth="1"/>
    <col min="134" max="134" width="3.7109375" style="23" customWidth="1"/>
    <col min="135" max="138" width="13.7109375" style="23" customWidth="1"/>
    <col min="139" max="139" width="16.7109375" style="23" customWidth="1"/>
    <col min="140" max="140" width="3.7109375" style="23" customWidth="1"/>
    <col min="141" max="144" width="13.7109375" style="23" customWidth="1"/>
    <col min="145" max="145" width="17.7109375" style="23" customWidth="1"/>
    <col min="146" max="146" width="3.7109375" style="23" customWidth="1"/>
    <col min="147" max="150" width="13.7109375" style="23" customWidth="1"/>
    <col min="151" max="151" width="17.00390625" style="23" customWidth="1"/>
    <col min="152" max="152" width="3.7109375" style="23" customWidth="1"/>
    <col min="153" max="156" width="13.7109375" style="23" customWidth="1"/>
    <col min="157" max="157" width="16.421875" style="23" customWidth="1"/>
    <col min="158" max="158" width="3.7109375" style="23" customWidth="1"/>
    <col min="159" max="162" width="13.7109375" style="23" customWidth="1"/>
    <col min="163" max="163" width="17.421875" style="23" customWidth="1"/>
    <col min="164" max="164" width="3.7109375" style="23" customWidth="1"/>
    <col min="165" max="168" width="13.7109375" style="23" customWidth="1"/>
    <col min="169" max="169" width="16.421875" style="23" customWidth="1"/>
    <col min="170" max="170" width="3.7109375" style="23" customWidth="1"/>
    <col min="171" max="174" width="13.7109375" style="23" customWidth="1"/>
    <col min="175" max="175" width="16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6.140625" style="23" customWidth="1"/>
    <col min="188" max="188" width="3.7109375" style="23" customWidth="1"/>
    <col min="189" max="192" width="13.7109375" style="23" customWidth="1"/>
    <col min="193" max="193" width="16.7109375" style="23" customWidth="1"/>
    <col min="194" max="194" width="3.7109375" style="23" customWidth="1"/>
    <col min="195" max="198" width="13.7109375" style="23" customWidth="1"/>
    <col min="199" max="199" width="16.28125" style="23" customWidth="1"/>
    <col min="200" max="200" width="3.7109375" style="23" customWidth="1"/>
    <col min="201" max="204" width="13.7109375" style="23" customWidth="1"/>
    <col min="205" max="205" width="16.00390625" style="23" customWidth="1"/>
    <col min="206" max="206" width="3.7109375" style="23" customWidth="1"/>
    <col min="207" max="211" width="13.7109375" style="23" customWidth="1"/>
    <col min="212" max="212" width="3.7109375" style="0" customWidth="1"/>
  </cols>
  <sheetData>
    <row r="1" spans="1:211" ht="12.75">
      <c r="A1" s="49"/>
      <c r="B1" s="33"/>
      <c r="C1" s="48"/>
      <c r="D1" s="50"/>
      <c r="E1" s="41"/>
      <c r="G1" s="50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</row>
    <row r="2" spans="1:211" ht="12.75">
      <c r="A2" s="49"/>
      <c r="B2" s="33"/>
      <c r="C2" s="48"/>
      <c r="D2" s="50"/>
      <c r="E2" s="41"/>
      <c r="G2" s="50"/>
      <c r="K2" s="50" t="s">
        <v>187</v>
      </c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</row>
    <row r="3" spans="1:211" ht="12.75">
      <c r="A3" s="49"/>
      <c r="B3" s="33"/>
      <c r="C3" s="48"/>
      <c r="D3" s="48"/>
      <c r="E3" s="41"/>
      <c r="G3" s="50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</row>
    <row r="4" spans="1:207" ht="12.75">
      <c r="A4" s="49"/>
      <c r="J4" s="50"/>
      <c r="K4" s="41"/>
      <c r="L4" s="41"/>
      <c r="M4" s="41"/>
      <c r="AB4" s="24"/>
      <c r="AH4" s="24"/>
      <c r="AT4" s="24"/>
      <c r="BL4" s="24"/>
      <c r="DZ4" s="24"/>
      <c r="FD4" s="24"/>
      <c r="GY4" s="24"/>
    </row>
    <row r="5" spans="1:211" ht="12.75">
      <c r="A5" s="25" t="s">
        <v>13</v>
      </c>
      <c r="C5" s="62" t="s">
        <v>186</v>
      </c>
      <c r="D5" s="62"/>
      <c r="E5" s="62"/>
      <c r="F5" s="46"/>
      <c r="G5" s="46"/>
      <c r="I5" s="42" t="s">
        <v>86</v>
      </c>
      <c r="J5" s="43"/>
      <c r="K5" s="44"/>
      <c r="L5" s="46"/>
      <c r="M5" s="46"/>
      <c r="O5" s="42" t="s">
        <v>84</v>
      </c>
      <c r="P5" s="43"/>
      <c r="Q5" s="44"/>
      <c r="R5" s="46"/>
      <c r="S5" s="46"/>
      <c r="U5" s="26" t="s">
        <v>131</v>
      </c>
      <c r="V5" s="27"/>
      <c r="W5" s="28"/>
      <c r="X5" s="46"/>
      <c r="Y5" s="46"/>
      <c r="AA5" s="26" t="s">
        <v>75</v>
      </c>
      <c r="AB5" s="27"/>
      <c r="AC5" s="28"/>
      <c r="AD5" s="46"/>
      <c r="AE5" s="46"/>
      <c r="AG5" s="26" t="s">
        <v>64</v>
      </c>
      <c r="AH5" s="27"/>
      <c r="AI5" s="28"/>
      <c r="AJ5" s="46"/>
      <c r="AK5" s="46"/>
      <c r="AM5" s="26" t="s">
        <v>65</v>
      </c>
      <c r="AN5" s="27"/>
      <c r="AO5" s="28"/>
      <c r="AP5" s="46"/>
      <c r="AQ5" s="46"/>
      <c r="AS5" s="26" t="s">
        <v>74</v>
      </c>
      <c r="AT5" s="27"/>
      <c r="AU5" s="28"/>
      <c r="AV5" s="46"/>
      <c r="AW5" s="46"/>
      <c r="AX5" s="34"/>
      <c r="AY5" s="26" t="s">
        <v>132</v>
      </c>
      <c r="AZ5" s="27"/>
      <c r="BA5" s="28"/>
      <c r="BB5" s="46"/>
      <c r="BC5" s="46"/>
      <c r="BD5" s="34"/>
      <c r="BE5" s="26" t="s">
        <v>73</v>
      </c>
      <c r="BF5" s="27"/>
      <c r="BG5" s="28"/>
      <c r="BH5" s="46"/>
      <c r="BI5" s="46"/>
      <c r="BJ5" s="34"/>
      <c r="BK5" s="26" t="s">
        <v>133</v>
      </c>
      <c r="BL5" s="27"/>
      <c r="BM5" s="28"/>
      <c r="BN5" s="46"/>
      <c r="BO5" s="46"/>
      <c r="BP5" s="34"/>
      <c r="BQ5" s="26" t="s">
        <v>134</v>
      </c>
      <c r="BR5" s="27"/>
      <c r="BS5" s="28"/>
      <c r="BT5" s="46"/>
      <c r="BU5" s="46"/>
      <c r="BV5" s="34"/>
      <c r="BW5" s="26" t="s">
        <v>72</v>
      </c>
      <c r="BX5" s="27"/>
      <c r="BY5" s="28"/>
      <c r="BZ5" s="46"/>
      <c r="CA5" s="46"/>
      <c r="CC5" s="26" t="s">
        <v>66</v>
      </c>
      <c r="CD5" s="27"/>
      <c r="CE5" s="28"/>
      <c r="CF5" s="46"/>
      <c r="CG5" s="46"/>
      <c r="CI5" s="26" t="s">
        <v>135</v>
      </c>
      <c r="CJ5" s="27"/>
      <c r="CK5" s="28"/>
      <c r="CL5" s="46"/>
      <c r="CM5" s="46"/>
      <c r="CO5" s="26" t="s">
        <v>136</v>
      </c>
      <c r="CP5" s="27"/>
      <c r="CQ5" s="28"/>
      <c r="CR5" s="46"/>
      <c r="CS5" s="46"/>
      <c r="CU5" s="26" t="s">
        <v>67</v>
      </c>
      <c r="CV5" s="27"/>
      <c r="CW5" s="28"/>
      <c r="CX5" s="46"/>
      <c r="CY5" s="46"/>
      <c r="DA5" s="26" t="s">
        <v>68</v>
      </c>
      <c r="DB5" s="27"/>
      <c r="DC5" s="28"/>
      <c r="DD5" s="46"/>
      <c r="DE5" s="46"/>
      <c r="DG5" s="26" t="s">
        <v>69</v>
      </c>
      <c r="DH5" s="27"/>
      <c r="DI5" s="28"/>
      <c r="DJ5" s="46"/>
      <c r="DK5" s="46"/>
      <c r="DM5" s="26" t="s">
        <v>137</v>
      </c>
      <c r="DN5" s="27"/>
      <c r="DO5" s="28"/>
      <c r="DP5" s="46"/>
      <c r="DQ5" s="46"/>
      <c r="DS5" s="26" t="s">
        <v>138</v>
      </c>
      <c r="DT5" s="27"/>
      <c r="DU5" s="28"/>
      <c r="DV5" s="46"/>
      <c r="DW5" s="46"/>
      <c r="DY5" s="26" t="s">
        <v>70</v>
      </c>
      <c r="DZ5" s="27"/>
      <c r="EA5" s="28"/>
      <c r="EB5" s="46"/>
      <c r="EC5" s="46"/>
      <c r="ED5" s="34"/>
      <c r="EE5" s="26" t="s">
        <v>71</v>
      </c>
      <c r="EF5" s="27"/>
      <c r="EG5" s="28"/>
      <c r="EH5" s="46"/>
      <c r="EI5" s="46"/>
      <c r="EK5" s="66" t="s">
        <v>185</v>
      </c>
      <c r="EL5" s="67"/>
      <c r="EM5" s="68"/>
      <c r="EN5" s="69"/>
      <c r="EO5" s="69"/>
      <c r="EQ5" s="26" t="s">
        <v>76</v>
      </c>
      <c r="ER5" s="27"/>
      <c r="ES5" s="28"/>
      <c r="ET5" s="46"/>
      <c r="EU5" s="46"/>
      <c r="EV5" s="34"/>
      <c r="EW5" s="26" t="s">
        <v>146</v>
      </c>
      <c r="EX5" s="27"/>
      <c r="EY5" s="28"/>
      <c r="EZ5" s="46"/>
      <c r="FA5" s="46"/>
      <c r="FB5" s="34"/>
      <c r="FC5" s="26" t="s">
        <v>77</v>
      </c>
      <c r="FD5" s="27"/>
      <c r="FE5" s="28"/>
      <c r="FF5" s="46"/>
      <c r="FG5" s="46"/>
      <c r="FH5" s="34"/>
      <c r="FI5" s="26" t="s">
        <v>78</v>
      </c>
      <c r="FJ5" s="27"/>
      <c r="FK5" s="28"/>
      <c r="FL5" s="46"/>
      <c r="FM5" s="46"/>
      <c r="FN5" s="34"/>
      <c r="FO5" s="26" t="s">
        <v>79</v>
      </c>
      <c r="FP5" s="27"/>
      <c r="FQ5" s="28"/>
      <c r="FR5" s="46"/>
      <c r="FS5" s="46"/>
      <c r="FT5" s="34"/>
      <c r="FU5" s="26" t="s">
        <v>80</v>
      </c>
      <c r="FV5" s="27"/>
      <c r="FW5" s="28"/>
      <c r="FX5" s="46"/>
      <c r="FY5" s="46"/>
      <c r="FZ5" s="34"/>
      <c r="GA5" s="26" t="s">
        <v>139</v>
      </c>
      <c r="GB5" s="27"/>
      <c r="GC5" s="28"/>
      <c r="GD5" s="46"/>
      <c r="GE5" s="46"/>
      <c r="GF5" s="34"/>
      <c r="GG5" s="26" t="s">
        <v>81</v>
      </c>
      <c r="GH5" s="27"/>
      <c r="GI5" s="28"/>
      <c r="GJ5" s="46"/>
      <c r="GK5" s="46"/>
      <c r="GL5" s="34"/>
      <c r="GM5" s="26" t="s">
        <v>82</v>
      </c>
      <c r="GN5" s="27"/>
      <c r="GO5" s="28"/>
      <c r="GP5" s="46"/>
      <c r="GQ5" s="46"/>
      <c r="GR5" s="34"/>
      <c r="GS5" s="26" t="s">
        <v>140</v>
      </c>
      <c r="GT5" s="27"/>
      <c r="GU5" s="28"/>
      <c r="GV5" s="46"/>
      <c r="GW5" s="46"/>
      <c r="GX5" s="34"/>
      <c r="GY5" s="61" t="s">
        <v>145</v>
      </c>
      <c r="GZ5" s="27"/>
      <c r="HA5" s="28"/>
      <c r="HB5" s="46"/>
      <c r="HC5" s="46"/>
    </row>
    <row r="6" spans="1:211" s="13" customFormat="1" ht="12.75">
      <c r="A6" s="51" t="s">
        <v>14</v>
      </c>
      <c r="B6" s="38"/>
      <c r="C6" s="65" t="s">
        <v>188</v>
      </c>
      <c r="D6" s="64"/>
      <c r="E6" s="63"/>
      <c r="F6" s="46" t="s">
        <v>179</v>
      </c>
      <c r="G6" s="46" t="s">
        <v>179</v>
      </c>
      <c r="H6" s="38"/>
      <c r="I6" s="45"/>
      <c r="J6" s="58">
        <v>0.1774091</v>
      </c>
      <c r="K6" s="44"/>
      <c r="L6" s="46" t="s">
        <v>179</v>
      </c>
      <c r="M6" s="46" t="s">
        <v>179</v>
      </c>
      <c r="O6" s="45"/>
      <c r="P6" s="58">
        <f>V6+AB6+AH6+AN6+AT6+AZ6+BF6+BL6+BR6+BX6+CD6+CJ6+CP6+CV6+DB6+DH6+DN6+DT6+DZ6+EF6+EL6+ER6+EX6+FD6+FJ6+FP6+FV6+GB6+GH6+GN6+GT6</f>
        <v>0.8225908999999999</v>
      </c>
      <c r="Q6" s="44"/>
      <c r="R6" s="46" t="s">
        <v>179</v>
      </c>
      <c r="S6" s="46" t="s">
        <v>179</v>
      </c>
      <c r="U6" s="52"/>
      <c r="V6" s="37">
        <v>0.0001736</v>
      </c>
      <c r="W6" s="53"/>
      <c r="X6" s="46" t="s">
        <v>179</v>
      </c>
      <c r="Y6" s="46" t="s">
        <v>179</v>
      </c>
      <c r="AA6" s="52"/>
      <c r="AB6" s="37">
        <v>0.0224825</v>
      </c>
      <c r="AC6" s="53"/>
      <c r="AD6" s="46" t="s">
        <v>179</v>
      </c>
      <c r="AE6" s="46" t="s">
        <v>179</v>
      </c>
      <c r="AG6" s="52"/>
      <c r="AH6" s="37">
        <v>0.1389587</v>
      </c>
      <c r="AI6" s="53"/>
      <c r="AJ6" s="46" t="s">
        <v>179</v>
      </c>
      <c r="AK6" s="46" t="s">
        <v>179</v>
      </c>
      <c r="AM6" s="52"/>
      <c r="AN6" s="37">
        <v>0.0014088</v>
      </c>
      <c r="AO6" s="53"/>
      <c r="AP6" s="46" t="s">
        <v>179</v>
      </c>
      <c r="AQ6" s="46" t="s">
        <v>179</v>
      </c>
      <c r="AS6" s="52"/>
      <c r="AT6" s="37">
        <v>0.0392527</v>
      </c>
      <c r="AU6" s="53"/>
      <c r="AV6" s="46" t="s">
        <v>179</v>
      </c>
      <c r="AW6" s="46" t="s">
        <v>179</v>
      </c>
      <c r="AX6" s="31"/>
      <c r="AY6" s="52"/>
      <c r="AZ6" s="37">
        <v>0.0027645</v>
      </c>
      <c r="BA6" s="53"/>
      <c r="BB6" s="46" t="s">
        <v>179</v>
      </c>
      <c r="BC6" s="46" t="s">
        <v>179</v>
      </c>
      <c r="BD6" s="31"/>
      <c r="BE6" s="52"/>
      <c r="BF6" s="37">
        <v>0.063907</v>
      </c>
      <c r="BG6" s="53"/>
      <c r="BH6" s="46" t="s">
        <v>179</v>
      </c>
      <c r="BI6" s="46" t="s">
        <v>179</v>
      </c>
      <c r="BJ6" s="31"/>
      <c r="BK6" s="52"/>
      <c r="BL6" s="37">
        <v>0.0021962</v>
      </c>
      <c r="BM6" s="53"/>
      <c r="BN6" s="46" t="s">
        <v>179</v>
      </c>
      <c r="BO6" s="46" t="s">
        <v>179</v>
      </c>
      <c r="BP6" s="31"/>
      <c r="BQ6" s="52"/>
      <c r="BR6" s="37">
        <v>0.0023679</v>
      </c>
      <c r="BS6" s="53"/>
      <c r="BT6" s="46" t="s">
        <v>179</v>
      </c>
      <c r="BU6" s="46" t="s">
        <v>179</v>
      </c>
      <c r="BV6" s="31"/>
      <c r="BW6" s="52"/>
      <c r="BX6" s="37">
        <v>0.0006255</v>
      </c>
      <c r="BY6" s="53"/>
      <c r="BZ6" s="46" t="s">
        <v>179</v>
      </c>
      <c r="CA6" s="46" t="s">
        <v>179</v>
      </c>
      <c r="CC6" s="52"/>
      <c r="CD6" s="37">
        <v>0.1389834</v>
      </c>
      <c r="CE6" s="53"/>
      <c r="CF6" s="46" t="s">
        <v>179</v>
      </c>
      <c r="CG6" s="46" t="s">
        <v>179</v>
      </c>
      <c r="CI6" s="52"/>
      <c r="CJ6" s="37">
        <v>0.0019064</v>
      </c>
      <c r="CK6" s="53"/>
      <c r="CL6" s="46" t="s">
        <v>179</v>
      </c>
      <c r="CM6" s="46" t="s">
        <v>179</v>
      </c>
      <c r="CO6" s="52"/>
      <c r="CP6" s="37">
        <v>0.0022587</v>
      </c>
      <c r="CQ6" s="53"/>
      <c r="CR6" s="46" t="s">
        <v>179</v>
      </c>
      <c r="CS6" s="46" t="s">
        <v>179</v>
      </c>
      <c r="CU6" s="52"/>
      <c r="CV6" s="37">
        <v>0.0269452</v>
      </c>
      <c r="CW6" s="53"/>
      <c r="CX6" s="46" t="s">
        <v>179</v>
      </c>
      <c r="CY6" s="46" t="s">
        <v>179</v>
      </c>
      <c r="DA6" s="52"/>
      <c r="DB6" s="37">
        <v>0.0024417</v>
      </c>
      <c r="DC6" s="53"/>
      <c r="DD6" s="46" t="s">
        <v>179</v>
      </c>
      <c r="DE6" s="46" t="s">
        <v>179</v>
      </c>
      <c r="DG6" s="52"/>
      <c r="DH6" s="37">
        <v>0.0092028</v>
      </c>
      <c r="DI6" s="53"/>
      <c r="DJ6" s="46" t="s">
        <v>179</v>
      </c>
      <c r="DK6" s="46" t="s">
        <v>179</v>
      </c>
      <c r="DM6" s="52"/>
      <c r="DN6" s="37">
        <v>0.0214249</v>
      </c>
      <c r="DO6" s="53"/>
      <c r="DP6" s="46" t="s">
        <v>179</v>
      </c>
      <c r="DQ6" s="46" t="s">
        <v>179</v>
      </c>
      <c r="DS6" s="52"/>
      <c r="DT6" s="37">
        <v>0.0104086</v>
      </c>
      <c r="DU6" s="53"/>
      <c r="DV6" s="46" t="s">
        <v>179</v>
      </c>
      <c r="DW6" s="46" t="s">
        <v>179</v>
      </c>
      <c r="DY6" s="52"/>
      <c r="DZ6" s="37">
        <v>0.0017922</v>
      </c>
      <c r="EA6" s="53"/>
      <c r="EB6" s="46" t="s">
        <v>179</v>
      </c>
      <c r="EC6" s="46" t="s">
        <v>179</v>
      </c>
      <c r="ED6" s="31"/>
      <c r="EE6" s="52"/>
      <c r="EF6" s="37">
        <v>0.0023104</v>
      </c>
      <c r="EG6" s="53"/>
      <c r="EH6" s="46" t="s">
        <v>179</v>
      </c>
      <c r="EI6" s="46" t="s">
        <v>179</v>
      </c>
      <c r="EK6" s="70"/>
      <c r="EL6" s="71">
        <v>0.0605401</v>
      </c>
      <c r="EM6" s="72"/>
      <c r="EN6" s="69" t="s">
        <v>179</v>
      </c>
      <c r="EO6" s="69" t="s">
        <v>179</v>
      </c>
      <c r="EQ6" s="52"/>
      <c r="ER6" s="37">
        <v>0.0151927</v>
      </c>
      <c r="ES6" s="53"/>
      <c r="ET6" s="46" t="s">
        <v>179</v>
      </c>
      <c r="EU6" s="46" t="s">
        <v>179</v>
      </c>
      <c r="EV6" s="31"/>
      <c r="EW6" s="52"/>
      <c r="EX6" s="37">
        <v>0.0221555</v>
      </c>
      <c r="EY6" s="53"/>
      <c r="EZ6" s="46" t="s">
        <v>179</v>
      </c>
      <c r="FA6" s="46" t="s">
        <v>179</v>
      </c>
      <c r="FB6" s="31"/>
      <c r="FC6" s="52"/>
      <c r="FD6" s="37">
        <v>6.8E-06</v>
      </c>
      <c r="FE6" s="53"/>
      <c r="FF6" s="46" t="s">
        <v>179</v>
      </c>
      <c r="FG6" s="46" t="s">
        <v>179</v>
      </c>
      <c r="FH6" s="31"/>
      <c r="FI6" s="52"/>
      <c r="FJ6" s="37">
        <v>0.0145821</v>
      </c>
      <c r="FK6" s="53"/>
      <c r="FL6" s="46" t="s">
        <v>179</v>
      </c>
      <c r="FM6" s="46" t="s">
        <v>179</v>
      </c>
      <c r="FN6" s="31"/>
      <c r="FO6" s="52"/>
      <c r="FP6" s="37">
        <v>0.018151</v>
      </c>
      <c r="FQ6" s="53"/>
      <c r="FR6" s="46" t="s">
        <v>179</v>
      </c>
      <c r="FS6" s="46" t="s">
        <v>179</v>
      </c>
      <c r="FT6" s="31"/>
      <c r="FU6" s="52"/>
      <c r="FV6" s="37">
        <v>0.0212676</v>
      </c>
      <c r="FW6" s="53"/>
      <c r="FX6" s="46" t="s">
        <v>179</v>
      </c>
      <c r="FY6" s="46" t="s">
        <v>179</v>
      </c>
      <c r="FZ6" s="31"/>
      <c r="GA6" s="52"/>
      <c r="GB6" s="37">
        <v>0.0678414</v>
      </c>
      <c r="GC6" s="53"/>
      <c r="GD6" s="46" t="s">
        <v>179</v>
      </c>
      <c r="GE6" s="46" t="s">
        <v>179</v>
      </c>
      <c r="GF6" s="31"/>
      <c r="GG6" s="52"/>
      <c r="GH6" s="37">
        <v>0.1089131</v>
      </c>
      <c r="GI6" s="53"/>
      <c r="GJ6" s="46" t="s">
        <v>179</v>
      </c>
      <c r="GK6" s="46" t="s">
        <v>179</v>
      </c>
      <c r="GL6" s="31"/>
      <c r="GM6" s="52"/>
      <c r="GN6" s="37">
        <v>0.0003264</v>
      </c>
      <c r="GO6" s="53"/>
      <c r="GP6" s="46" t="s">
        <v>179</v>
      </c>
      <c r="GQ6" s="46" t="s">
        <v>179</v>
      </c>
      <c r="GR6" s="31"/>
      <c r="GS6" s="52"/>
      <c r="GT6" s="37">
        <v>0.0018025</v>
      </c>
      <c r="GU6" s="53"/>
      <c r="GV6" s="46" t="s">
        <v>179</v>
      </c>
      <c r="GW6" s="46" t="s">
        <v>179</v>
      </c>
      <c r="GX6" s="31"/>
      <c r="GY6" s="52"/>
      <c r="GZ6" s="37"/>
      <c r="HA6" s="53"/>
      <c r="HB6" s="46" t="s">
        <v>179</v>
      </c>
      <c r="HC6" s="46" t="s">
        <v>179</v>
      </c>
    </row>
    <row r="7" spans="1:211" ht="12.75">
      <c r="A7" s="29"/>
      <c r="C7" s="46" t="s">
        <v>15</v>
      </c>
      <c r="D7" s="46" t="s">
        <v>16</v>
      </c>
      <c r="E7" s="46" t="s">
        <v>4</v>
      </c>
      <c r="F7" s="46" t="s">
        <v>180</v>
      </c>
      <c r="G7" s="46" t="s">
        <v>181</v>
      </c>
      <c r="I7" s="46" t="s">
        <v>15</v>
      </c>
      <c r="J7" s="46" t="s">
        <v>16</v>
      </c>
      <c r="K7" s="46" t="s">
        <v>4</v>
      </c>
      <c r="L7" s="46" t="s">
        <v>180</v>
      </c>
      <c r="M7" s="46" t="s">
        <v>181</v>
      </c>
      <c r="O7" s="46" t="s">
        <v>15</v>
      </c>
      <c r="P7" s="46" t="s">
        <v>16</v>
      </c>
      <c r="Q7" s="46" t="s">
        <v>4</v>
      </c>
      <c r="R7" s="46" t="s">
        <v>180</v>
      </c>
      <c r="S7" s="46" t="s">
        <v>181</v>
      </c>
      <c r="U7" s="30" t="s">
        <v>15</v>
      </c>
      <c r="V7" s="30" t="s">
        <v>16</v>
      </c>
      <c r="W7" s="30" t="s">
        <v>4</v>
      </c>
      <c r="X7" s="46" t="s">
        <v>180</v>
      </c>
      <c r="Y7" s="46" t="s">
        <v>181</v>
      </c>
      <c r="AA7" s="30" t="s">
        <v>15</v>
      </c>
      <c r="AB7" s="30" t="s">
        <v>16</v>
      </c>
      <c r="AC7" s="30" t="s">
        <v>4</v>
      </c>
      <c r="AD7" s="46" t="s">
        <v>180</v>
      </c>
      <c r="AE7" s="46" t="s">
        <v>181</v>
      </c>
      <c r="AG7" s="30" t="s">
        <v>15</v>
      </c>
      <c r="AH7" s="30" t="s">
        <v>16</v>
      </c>
      <c r="AI7" s="30" t="s">
        <v>4</v>
      </c>
      <c r="AJ7" s="46" t="s">
        <v>180</v>
      </c>
      <c r="AK7" s="46" t="s">
        <v>181</v>
      </c>
      <c r="AM7" s="30" t="s">
        <v>15</v>
      </c>
      <c r="AN7" s="30" t="s">
        <v>16</v>
      </c>
      <c r="AO7" s="30" t="s">
        <v>4</v>
      </c>
      <c r="AP7" s="46" t="s">
        <v>180</v>
      </c>
      <c r="AQ7" s="46" t="s">
        <v>181</v>
      </c>
      <c r="AS7" s="30" t="s">
        <v>15</v>
      </c>
      <c r="AT7" s="30" t="s">
        <v>16</v>
      </c>
      <c r="AU7" s="30" t="s">
        <v>4</v>
      </c>
      <c r="AV7" s="46" t="s">
        <v>180</v>
      </c>
      <c r="AW7" s="46" t="s">
        <v>181</v>
      </c>
      <c r="AX7" s="35"/>
      <c r="AY7" s="30" t="s">
        <v>15</v>
      </c>
      <c r="AZ7" s="30" t="s">
        <v>16</v>
      </c>
      <c r="BA7" s="30" t="s">
        <v>4</v>
      </c>
      <c r="BB7" s="46" t="s">
        <v>180</v>
      </c>
      <c r="BC7" s="46" t="s">
        <v>181</v>
      </c>
      <c r="BD7" s="35"/>
      <c r="BE7" s="30" t="s">
        <v>15</v>
      </c>
      <c r="BF7" s="30" t="s">
        <v>16</v>
      </c>
      <c r="BG7" s="30" t="s">
        <v>4</v>
      </c>
      <c r="BH7" s="46" t="s">
        <v>180</v>
      </c>
      <c r="BI7" s="46" t="s">
        <v>181</v>
      </c>
      <c r="BJ7" s="35"/>
      <c r="BK7" s="30" t="s">
        <v>15</v>
      </c>
      <c r="BL7" s="30" t="s">
        <v>16</v>
      </c>
      <c r="BM7" s="30" t="s">
        <v>4</v>
      </c>
      <c r="BN7" s="46" t="s">
        <v>180</v>
      </c>
      <c r="BO7" s="46" t="s">
        <v>181</v>
      </c>
      <c r="BP7" s="35"/>
      <c r="BQ7" s="30" t="s">
        <v>15</v>
      </c>
      <c r="BR7" s="30" t="s">
        <v>16</v>
      </c>
      <c r="BS7" s="30" t="s">
        <v>4</v>
      </c>
      <c r="BT7" s="46" t="s">
        <v>180</v>
      </c>
      <c r="BU7" s="46" t="s">
        <v>181</v>
      </c>
      <c r="BV7" s="35"/>
      <c r="BW7" s="30" t="s">
        <v>15</v>
      </c>
      <c r="BX7" s="30" t="s">
        <v>16</v>
      </c>
      <c r="BY7" s="30" t="s">
        <v>4</v>
      </c>
      <c r="BZ7" s="46" t="s">
        <v>180</v>
      </c>
      <c r="CA7" s="46" t="s">
        <v>181</v>
      </c>
      <c r="CC7" s="30" t="s">
        <v>15</v>
      </c>
      <c r="CD7" s="30" t="s">
        <v>16</v>
      </c>
      <c r="CE7" s="30" t="s">
        <v>4</v>
      </c>
      <c r="CF7" s="46" t="s">
        <v>180</v>
      </c>
      <c r="CG7" s="46" t="s">
        <v>181</v>
      </c>
      <c r="CI7" s="30" t="s">
        <v>15</v>
      </c>
      <c r="CJ7" s="30" t="s">
        <v>16</v>
      </c>
      <c r="CK7" s="30" t="s">
        <v>4</v>
      </c>
      <c r="CL7" s="46" t="s">
        <v>180</v>
      </c>
      <c r="CM7" s="46" t="s">
        <v>181</v>
      </c>
      <c r="CO7" s="30" t="s">
        <v>15</v>
      </c>
      <c r="CP7" s="30" t="s">
        <v>16</v>
      </c>
      <c r="CQ7" s="30" t="s">
        <v>4</v>
      </c>
      <c r="CR7" s="46" t="s">
        <v>180</v>
      </c>
      <c r="CS7" s="46" t="s">
        <v>181</v>
      </c>
      <c r="CU7" s="30" t="s">
        <v>15</v>
      </c>
      <c r="CV7" s="30" t="s">
        <v>16</v>
      </c>
      <c r="CW7" s="30" t="s">
        <v>4</v>
      </c>
      <c r="CX7" s="46" t="s">
        <v>180</v>
      </c>
      <c r="CY7" s="46" t="s">
        <v>181</v>
      </c>
      <c r="DA7" s="30" t="s">
        <v>15</v>
      </c>
      <c r="DB7" s="30" t="s">
        <v>16</v>
      </c>
      <c r="DC7" s="30" t="s">
        <v>4</v>
      </c>
      <c r="DD7" s="46" t="s">
        <v>180</v>
      </c>
      <c r="DE7" s="46" t="s">
        <v>181</v>
      </c>
      <c r="DG7" s="30" t="s">
        <v>15</v>
      </c>
      <c r="DH7" s="30" t="s">
        <v>16</v>
      </c>
      <c r="DI7" s="30" t="s">
        <v>4</v>
      </c>
      <c r="DJ7" s="46" t="s">
        <v>180</v>
      </c>
      <c r="DK7" s="46" t="s">
        <v>181</v>
      </c>
      <c r="DM7" s="30" t="s">
        <v>15</v>
      </c>
      <c r="DN7" s="30" t="s">
        <v>16</v>
      </c>
      <c r="DO7" s="30" t="s">
        <v>4</v>
      </c>
      <c r="DP7" s="46" t="s">
        <v>180</v>
      </c>
      <c r="DQ7" s="46" t="s">
        <v>181</v>
      </c>
      <c r="DS7" s="30" t="s">
        <v>15</v>
      </c>
      <c r="DT7" s="30" t="s">
        <v>16</v>
      </c>
      <c r="DU7" s="30" t="s">
        <v>4</v>
      </c>
      <c r="DV7" s="46" t="s">
        <v>180</v>
      </c>
      <c r="DW7" s="46" t="s">
        <v>181</v>
      </c>
      <c r="DY7" s="30" t="s">
        <v>15</v>
      </c>
      <c r="DZ7" s="30" t="s">
        <v>16</v>
      </c>
      <c r="EA7" s="30" t="s">
        <v>4</v>
      </c>
      <c r="EB7" s="46" t="s">
        <v>180</v>
      </c>
      <c r="EC7" s="46" t="s">
        <v>181</v>
      </c>
      <c r="ED7" s="35"/>
      <c r="EE7" s="30" t="s">
        <v>15</v>
      </c>
      <c r="EF7" s="30" t="s">
        <v>16</v>
      </c>
      <c r="EG7" s="30" t="s">
        <v>4</v>
      </c>
      <c r="EH7" s="46" t="s">
        <v>180</v>
      </c>
      <c r="EI7" s="46" t="s">
        <v>181</v>
      </c>
      <c r="EK7" s="73" t="s">
        <v>15</v>
      </c>
      <c r="EL7" s="73" t="s">
        <v>16</v>
      </c>
      <c r="EM7" s="73" t="s">
        <v>4</v>
      </c>
      <c r="EN7" s="69" t="s">
        <v>180</v>
      </c>
      <c r="EO7" s="69" t="s">
        <v>181</v>
      </c>
      <c r="EQ7" s="30" t="s">
        <v>15</v>
      </c>
      <c r="ER7" s="30" t="s">
        <v>16</v>
      </c>
      <c r="ES7" s="30" t="s">
        <v>4</v>
      </c>
      <c r="ET7" s="46" t="s">
        <v>180</v>
      </c>
      <c r="EU7" s="46" t="s">
        <v>181</v>
      </c>
      <c r="EV7" s="35"/>
      <c r="EW7" s="30" t="s">
        <v>15</v>
      </c>
      <c r="EX7" s="30" t="s">
        <v>16</v>
      </c>
      <c r="EY7" s="30" t="s">
        <v>4</v>
      </c>
      <c r="EZ7" s="46" t="s">
        <v>180</v>
      </c>
      <c r="FA7" s="46" t="s">
        <v>181</v>
      </c>
      <c r="FB7" s="35"/>
      <c r="FC7" s="30" t="s">
        <v>15</v>
      </c>
      <c r="FD7" s="30" t="s">
        <v>16</v>
      </c>
      <c r="FE7" s="30" t="s">
        <v>4</v>
      </c>
      <c r="FF7" s="46" t="s">
        <v>180</v>
      </c>
      <c r="FG7" s="46" t="s">
        <v>181</v>
      </c>
      <c r="FH7" s="35"/>
      <c r="FI7" s="30" t="s">
        <v>15</v>
      </c>
      <c r="FJ7" s="30" t="s">
        <v>16</v>
      </c>
      <c r="FK7" s="30" t="s">
        <v>4</v>
      </c>
      <c r="FL7" s="46" t="s">
        <v>180</v>
      </c>
      <c r="FM7" s="46" t="s">
        <v>181</v>
      </c>
      <c r="FN7" s="35"/>
      <c r="FO7" s="30" t="s">
        <v>15</v>
      </c>
      <c r="FP7" s="30" t="s">
        <v>16</v>
      </c>
      <c r="FQ7" s="30" t="s">
        <v>4</v>
      </c>
      <c r="FR7" s="46" t="s">
        <v>180</v>
      </c>
      <c r="FS7" s="46" t="s">
        <v>181</v>
      </c>
      <c r="FT7" s="35"/>
      <c r="FU7" s="30" t="s">
        <v>15</v>
      </c>
      <c r="FV7" s="30" t="s">
        <v>16</v>
      </c>
      <c r="FW7" s="30" t="s">
        <v>4</v>
      </c>
      <c r="FX7" s="46" t="s">
        <v>180</v>
      </c>
      <c r="FY7" s="46" t="s">
        <v>181</v>
      </c>
      <c r="FZ7" s="35"/>
      <c r="GA7" s="30" t="s">
        <v>15</v>
      </c>
      <c r="GB7" s="30" t="s">
        <v>16</v>
      </c>
      <c r="GC7" s="30" t="s">
        <v>4</v>
      </c>
      <c r="GD7" s="46" t="s">
        <v>180</v>
      </c>
      <c r="GE7" s="46" t="s">
        <v>181</v>
      </c>
      <c r="GF7" s="35"/>
      <c r="GG7" s="30" t="s">
        <v>15</v>
      </c>
      <c r="GH7" s="30" t="s">
        <v>16</v>
      </c>
      <c r="GI7" s="30" t="s">
        <v>4</v>
      </c>
      <c r="GJ7" s="46" t="s">
        <v>180</v>
      </c>
      <c r="GK7" s="46" t="s">
        <v>181</v>
      </c>
      <c r="GL7" s="35"/>
      <c r="GM7" s="30" t="s">
        <v>15</v>
      </c>
      <c r="GN7" s="30" t="s">
        <v>16</v>
      </c>
      <c r="GO7" s="30" t="s">
        <v>4</v>
      </c>
      <c r="GP7" s="46" t="s">
        <v>180</v>
      </c>
      <c r="GQ7" s="46" t="s">
        <v>181</v>
      </c>
      <c r="GR7" s="35"/>
      <c r="GS7" s="30" t="s">
        <v>15</v>
      </c>
      <c r="GT7" s="30" t="s">
        <v>16</v>
      </c>
      <c r="GU7" s="30" t="s">
        <v>4</v>
      </c>
      <c r="GV7" s="46" t="s">
        <v>180</v>
      </c>
      <c r="GW7" s="46" t="s">
        <v>181</v>
      </c>
      <c r="GX7" s="35"/>
      <c r="GY7" s="30" t="s">
        <v>15</v>
      </c>
      <c r="GZ7" s="30" t="s">
        <v>16</v>
      </c>
      <c r="HA7" s="30" t="s">
        <v>4</v>
      </c>
      <c r="HB7" s="46" t="s">
        <v>180</v>
      </c>
      <c r="HC7" s="46" t="s">
        <v>181</v>
      </c>
    </row>
    <row r="8" spans="1:229" s="57" customFormat="1" ht="12.75">
      <c r="A8" s="56">
        <v>44470</v>
      </c>
      <c r="B8" s="55"/>
      <c r="C8" s="55"/>
      <c r="D8" s="55">
        <v>335125</v>
      </c>
      <c r="E8" s="41">
        <f>C8+D8</f>
        <v>335125</v>
      </c>
      <c r="F8" s="41">
        <v>297945</v>
      </c>
      <c r="G8" s="41">
        <v>32965</v>
      </c>
      <c r="H8" s="55"/>
      <c r="I8" s="41">
        <f>'2017B Academic'!C8</f>
        <v>0</v>
      </c>
      <c r="J8" s="41">
        <f>'2017B Academic'!D8</f>
        <v>59454.22463750001</v>
      </c>
      <c r="K8" s="41">
        <f>I8+J8</f>
        <v>59454.22463750001</v>
      </c>
      <c r="L8" s="41">
        <f>'2017B Academic'!F8</f>
        <v>52858.15429949999</v>
      </c>
      <c r="M8" s="41">
        <f>'2017B Academic'!G8</f>
        <v>5848.290981499999</v>
      </c>
      <c r="O8" s="38">
        <f>U8+AA8+AG8+AM8+AS8+AY8+BE8+BK8+BQ8+BW8+CC8+CI8+CO8+CU8+DA8+DG8+DM8+DS8+DY8+EE8+EK8+EQ8+EW8+FC8+FI8+FO8+FU8+GA8++GG8+GM8+GS8+GY8</f>
        <v>0</v>
      </c>
      <c r="P8" s="47">
        <f>V8+AB8+AH8+AN8+AT8+AZ8+BF8+BL8+BR8+BX8+CD8+CJ8+CP8+CV8+DB8+DH8+DN8+DT8+DZ8+EF8+EL8+ER8+EX8+FD8+FJ8+FP8+FV8+GB8+GH8+GN8+GT8</f>
        <v>275670.7753625</v>
      </c>
      <c r="Q8" s="38">
        <f>O8+P8</f>
        <v>275670.7753625</v>
      </c>
      <c r="R8" s="38">
        <f aca="true" t="shared" si="0" ref="R8:S11">X8+AD8+AJ8+AP8+AV8+BB8+BH8+BN8+BT8+BZ8+CF8+CL8+CR8+CX8+DD8+DJ8+DP8+DV8+EB8+EH8+EN8+ET8+EZ8+FF8+FL8+FR8+FX8+GD8+GJ8+GP8+GV8+HB8</f>
        <v>245086.84570049995</v>
      </c>
      <c r="S8" s="38">
        <f t="shared" si="0"/>
        <v>27116.709018499998</v>
      </c>
      <c r="U8" s="38"/>
      <c r="V8" s="38">
        <f>D8*0.01736/100</f>
        <v>58.1777</v>
      </c>
      <c r="W8" s="38">
        <f>U8+V8</f>
        <v>58.1777</v>
      </c>
      <c r="X8" s="38">
        <f>V$6*$F8</f>
        <v>51.723251999999995</v>
      </c>
      <c r="Y8" s="38">
        <f>V$6*$G8</f>
        <v>5.7227239999999995</v>
      </c>
      <c r="AA8" s="38"/>
      <c r="AB8" s="38">
        <f>D8*2.24825/100</f>
        <v>7534.4478125</v>
      </c>
      <c r="AC8" s="38">
        <f>AA8+AB8</f>
        <v>7534.4478125</v>
      </c>
      <c r="AD8" s="38">
        <f>AB$6*$F8</f>
        <v>6698.5484625</v>
      </c>
      <c r="AE8" s="38">
        <f>AB$6*$G8</f>
        <v>741.1356125</v>
      </c>
      <c r="AF8" s="55"/>
      <c r="AG8" s="38"/>
      <c r="AH8" s="38">
        <f>D8*13.89587/100</f>
        <v>46568.5343375</v>
      </c>
      <c r="AI8" s="38">
        <f>AG8+AH8</f>
        <v>46568.5343375</v>
      </c>
      <c r="AJ8" s="38">
        <f>AH$6*$F8</f>
        <v>41402.0498715</v>
      </c>
      <c r="AK8" s="38">
        <f>AH$6*$G8</f>
        <v>4580.773545499999</v>
      </c>
      <c r="AL8" s="55"/>
      <c r="AM8" s="38"/>
      <c r="AN8" s="38">
        <f>D8*0.14088/100</f>
        <v>472.12410000000006</v>
      </c>
      <c r="AO8" s="38">
        <f>AM8+AN8</f>
        <v>472.12410000000006</v>
      </c>
      <c r="AP8" s="38">
        <f>AN$6*$F8</f>
        <v>419.744916</v>
      </c>
      <c r="AQ8" s="38">
        <f>AN$6*$G8</f>
        <v>46.441092</v>
      </c>
      <c r="AR8" s="55"/>
      <c r="AS8" s="38"/>
      <c r="AT8" s="38">
        <f>D8*3.92527/100</f>
        <v>13154.561087499998</v>
      </c>
      <c r="AU8" s="38">
        <f>AS8+AT8</f>
        <v>13154.561087499998</v>
      </c>
      <c r="AV8" s="38">
        <f>AT$6*$F8</f>
        <v>11695.1457015</v>
      </c>
      <c r="AW8" s="38">
        <f>AT$6*$G8</f>
        <v>1293.9652555</v>
      </c>
      <c r="AX8" s="55"/>
      <c r="AY8" s="38"/>
      <c r="AZ8" s="38">
        <f>D8*0.27645/100</f>
        <v>926.4530625</v>
      </c>
      <c r="BA8" s="38">
        <f>AY8+AZ8</f>
        <v>926.4530625</v>
      </c>
      <c r="BB8" s="38">
        <f>AZ$6*$F8</f>
        <v>823.6689525</v>
      </c>
      <c r="BC8" s="38">
        <f>AZ$6*$G8</f>
        <v>91.1317425</v>
      </c>
      <c r="BD8" s="55"/>
      <c r="BE8" s="38"/>
      <c r="BF8" s="38">
        <f>D8*6.3907/100</f>
        <v>21416.833375</v>
      </c>
      <c r="BG8" s="38">
        <f>BE8+BF8</f>
        <v>21416.833375</v>
      </c>
      <c r="BH8" s="38">
        <f>BF$6*$F8</f>
        <v>19040.771115000003</v>
      </c>
      <c r="BI8" s="38">
        <f>BF$6*$G8</f>
        <v>2106.6942550000003</v>
      </c>
      <c r="BJ8" s="55"/>
      <c r="BK8" s="38"/>
      <c r="BL8" s="38">
        <f>D8*0.21962/100</f>
        <v>736.001525</v>
      </c>
      <c r="BM8" s="38">
        <f>BK8+BL8</f>
        <v>736.001525</v>
      </c>
      <c r="BN8" s="38">
        <f>BL$6*$F8</f>
        <v>654.346809</v>
      </c>
      <c r="BO8" s="38">
        <f>BL$6*$G8</f>
        <v>72.397733</v>
      </c>
      <c r="BP8" s="55"/>
      <c r="BQ8" s="38"/>
      <c r="BR8" s="38">
        <f>D8*0.23679/100</f>
        <v>793.5424875</v>
      </c>
      <c r="BS8" s="38">
        <f>BQ8+BR8</f>
        <v>793.5424875</v>
      </c>
      <c r="BT8" s="38">
        <f>BR$6*$F8</f>
        <v>705.5039655</v>
      </c>
      <c r="BU8" s="38">
        <f>BR$6*$G8</f>
        <v>78.0578235</v>
      </c>
      <c r="BV8" s="55"/>
      <c r="BW8" s="38"/>
      <c r="BX8" s="38">
        <f>D8*0.06255/100</f>
        <v>209.62068749999997</v>
      </c>
      <c r="BY8" s="38">
        <f>BW8+BX8</f>
        <v>209.62068749999997</v>
      </c>
      <c r="BZ8" s="38">
        <f>BX$6*$F8</f>
        <v>186.3645975</v>
      </c>
      <c r="CA8" s="38">
        <f>BX$6*$G8</f>
        <v>20.6196075</v>
      </c>
      <c r="CB8" s="55"/>
      <c r="CC8" s="38"/>
      <c r="CD8" s="38">
        <f>D8*13.89834/100</f>
        <v>46576.811925</v>
      </c>
      <c r="CE8" s="38">
        <f>CC8+CD8</f>
        <v>46576.811925</v>
      </c>
      <c r="CF8" s="38">
        <f>CD$6*$F8</f>
        <v>41409.409113</v>
      </c>
      <c r="CG8" s="38">
        <f>CD$6*$G8</f>
        <v>4581.587781</v>
      </c>
      <c r="CH8" s="55"/>
      <c r="CI8" s="38"/>
      <c r="CJ8" s="38">
        <f>D8*0.19064/100</f>
        <v>638.8823</v>
      </c>
      <c r="CK8" s="38">
        <f>CI8+CJ8</f>
        <v>638.8823</v>
      </c>
      <c r="CL8" s="38">
        <f>CJ$6*$F8</f>
        <v>568.002348</v>
      </c>
      <c r="CM8" s="38">
        <f>CJ$6*$G8</f>
        <v>62.844476</v>
      </c>
      <c r="CN8" s="55"/>
      <c r="CO8" s="38"/>
      <c r="CP8" s="38">
        <f>D8*0.22587/100</f>
        <v>756.9468375</v>
      </c>
      <c r="CQ8" s="38">
        <f>CO8+CP8</f>
        <v>756.9468375</v>
      </c>
      <c r="CR8" s="38">
        <f>CP$6*$F8</f>
        <v>672.9683715000001</v>
      </c>
      <c r="CS8" s="38">
        <f>CP$6*$G8</f>
        <v>74.45804550000001</v>
      </c>
      <c r="CT8" s="55"/>
      <c r="CU8" s="38"/>
      <c r="CV8" s="38">
        <f>D8*2.69452/100</f>
        <v>9030.010149999998</v>
      </c>
      <c r="CW8" s="38">
        <f>CU8+CV8</f>
        <v>9030.010149999998</v>
      </c>
      <c r="CX8" s="38">
        <f>CV$6*$F8</f>
        <v>8028.1876139999995</v>
      </c>
      <c r="CY8" s="38">
        <f>CV$6*$G8</f>
        <v>888.248518</v>
      </c>
      <c r="CZ8" s="55"/>
      <c r="DA8" s="38"/>
      <c r="DB8" s="38">
        <f>D8*0.24417/100</f>
        <v>818.2747125000001</v>
      </c>
      <c r="DC8" s="38">
        <f>DA8+DB8</f>
        <v>818.2747125000001</v>
      </c>
      <c r="DD8" s="38">
        <f>DB$6*$F8</f>
        <v>727.4923065</v>
      </c>
      <c r="DE8" s="38">
        <f>DB$6*$G8</f>
        <v>80.49064050000001</v>
      </c>
      <c r="DF8" s="55"/>
      <c r="DG8" s="38"/>
      <c r="DH8" s="38">
        <f>D8*0.92028/100</f>
        <v>3084.08835</v>
      </c>
      <c r="DI8" s="38">
        <f>DG8+DH8</f>
        <v>3084.08835</v>
      </c>
      <c r="DJ8" s="38">
        <f>DH$6*$F8</f>
        <v>2741.928246</v>
      </c>
      <c r="DK8" s="38">
        <f>DH$6*$G8</f>
        <v>303.37030200000004</v>
      </c>
      <c r="DL8" s="55"/>
      <c r="DM8" s="38"/>
      <c r="DN8" s="38">
        <f>D8*2.14249/100</f>
        <v>7180.0196125</v>
      </c>
      <c r="DO8" s="38">
        <f>DM8+DN8</f>
        <v>7180.0196125</v>
      </c>
      <c r="DP8" s="38">
        <f>DN$6*$F8</f>
        <v>6383.4418305</v>
      </c>
      <c r="DQ8" s="38">
        <f>DN$6*$G8</f>
        <v>706.2718285</v>
      </c>
      <c r="DR8" s="55"/>
      <c r="DS8" s="38"/>
      <c r="DT8" s="38">
        <f>D8*1.04086/100</f>
        <v>3488.1820749999997</v>
      </c>
      <c r="DU8" s="38">
        <f>DS8+DT8</f>
        <v>3488.1820749999997</v>
      </c>
      <c r="DV8" s="38">
        <f>DT$6*$F8</f>
        <v>3101.1903270000003</v>
      </c>
      <c r="DW8" s="38">
        <f>DT$6*$G8</f>
        <v>343.119499</v>
      </c>
      <c r="DX8" s="55"/>
      <c r="DY8" s="38"/>
      <c r="DZ8" s="38">
        <f>D8*0.17922/100</f>
        <v>600.6110249999999</v>
      </c>
      <c r="EA8" s="38">
        <f>DY8+DZ8</f>
        <v>600.6110249999999</v>
      </c>
      <c r="EB8" s="38">
        <f>DZ$6*$F8</f>
        <v>533.977029</v>
      </c>
      <c r="EC8" s="38">
        <f>DZ$6*$G8</f>
        <v>59.079873000000006</v>
      </c>
      <c r="ED8" s="55"/>
      <c r="EE8" s="38"/>
      <c r="EF8" s="38">
        <f>D8*0.23104/100</f>
        <v>774.2728</v>
      </c>
      <c r="EG8" s="38">
        <f>EE8+EF8</f>
        <v>774.2728</v>
      </c>
      <c r="EH8" s="38">
        <f>EF$6*$F8</f>
        <v>688.3721280000001</v>
      </c>
      <c r="EI8" s="38">
        <f>EF$6*$G8</f>
        <v>76.16233600000001</v>
      </c>
      <c r="EJ8" s="55"/>
      <c r="EK8" s="74"/>
      <c r="EL8" s="74">
        <f>D8*6.05401/100</f>
        <v>20288.5010125</v>
      </c>
      <c r="EM8" s="74">
        <f>EK8+EL8</f>
        <v>20288.5010125</v>
      </c>
      <c r="EN8" s="38">
        <f>EL$6*$F8</f>
        <v>18037.6200945</v>
      </c>
      <c r="EO8" s="38">
        <f>EL$6*$G8</f>
        <v>1995.7043965</v>
      </c>
      <c r="EP8" s="55"/>
      <c r="EQ8" s="38"/>
      <c r="ER8" s="38">
        <f>D8*1.51927/100</f>
        <v>5091.453587499999</v>
      </c>
      <c r="ES8" s="38">
        <f>EQ8+ER8</f>
        <v>5091.453587499999</v>
      </c>
      <c r="ET8" s="38">
        <f>ER$6*$F8</f>
        <v>4526.5890014999995</v>
      </c>
      <c r="EU8" s="38">
        <f>ER$6*$G8</f>
        <v>500.8273555</v>
      </c>
      <c r="EV8" s="55"/>
      <c r="EW8" s="38"/>
      <c r="EX8" s="38">
        <f>D8*2.21555/100</f>
        <v>7424.8619375</v>
      </c>
      <c r="EY8" s="38">
        <f>EW8+EX8</f>
        <v>7424.8619375</v>
      </c>
      <c r="EZ8" s="38">
        <f>EX$6*$F8</f>
        <v>6601.1204475</v>
      </c>
      <c r="FA8" s="38">
        <f>EX$6*$G8</f>
        <v>730.3560575</v>
      </c>
      <c r="FB8" s="55"/>
      <c r="FC8" s="38"/>
      <c r="FD8" s="38">
        <f>D8*0.00068/100</f>
        <v>2.2788500000000003</v>
      </c>
      <c r="FE8" s="38">
        <f>FC8+FD8</f>
        <v>2.2788500000000003</v>
      </c>
      <c r="FF8" s="38">
        <f>FD$6*$F8</f>
        <v>2.026026</v>
      </c>
      <c r="FG8" s="38">
        <f>FD$6*$G8</f>
        <v>0.224162</v>
      </c>
      <c r="FH8" s="55"/>
      <c r="FI8" s="38"/>
      <c r="FJ8" s="38">
        <f>D8*1.45821/100</f>
        <v>4886.826262500001</v>
      </c>
      <c r="FK8" s="38">
        <f>FI8+FJ8</f>
        <v>4886.826262500001</v>
      </c>
      <c r="FL8" s="38">
        <f>FJ$6*$F8</f>
        <v>4344.6637845000005</v>
      </c>
      <c r="FM8" s="38">
        <f>FJ$6*$G8</f>
        <v>480.6989265</v>
      </c>
      <c r="FN8" s="55"/>
      <c r="FO8" s="38"/>
      <c r="FP8" s="38">
        <f>D8*1.8151/100</f>
        <v>6082.853875</v>
      </c>
      <c r="FQ8" s="38">
        <f>FO8+FP8</f>
        <v>6082.853875</v>
      </c>
      <c r="FR8" s="38">
        <f>FP$6*$F8</f>
        <v>5407.999695</v>
      </c>
      <c r="FS8" s="38">
        <f>FP$6*$G8</f>
        <v>598.347715</v>
      </c>
      <c r="FT8" s="55"/>
      <c r="FU8" s="38"/>
      <c r="FV8" s="38">
        <f>D8*2.12676/100</f>
        <v>7127.30445</v>
      </c>
      <c r="FW8" s="38">
        <f>FU8+FV8</f>
        <v>7127.30445</v>
      </c>
      <c r="FX8" s="38">
        <f>FV$6*$F8</f>
        <v>6336.575082</v>
      </c>
      <c r="FY8" s="38">
        <f>FV$6*$G8</f>
        <v>701.086434</v>
      </c>
      <c r="FZ8" s="55"/>
      <c r="GA8" s="38"/>
      <c r="GB8" s="38">
        <f>D8*6.78414/100</f>
        <v>22735.349175</v>
      </c>
      <c r="GC8" s="38">
        <f>GA8+GB8</f>
        <v>22735.349175</v>
      </c>
      <c r="GD8" s="38">
        <f>GB$6*$F8</f>
        <v>20213.005923</v>
      </c>
      <c r="GE8" s="38">
        <f>GB$6*$G8</f>
        <v>2236.3917509999997</v>
      </c>
      <c r="GF8" s="55"/>
      <c r="GG8" s="38"/>
      <c r="GH8" s="38">
        <f>D8*10.89131/100</f>
        <v>36499.5026375</v>
      </c>
      <c r="GI8" s="38">
        <f>GG8+GH8</f>
        <v>36499.5026375</v>
      </c>
      <c r="GJ8" s="38">
        <f>GH$6*$F8</f>
        <v>32450.1135795</v>
      </c>
      <c r="GK8" s="38">
        <f>GH$6*$G8</f>
        <v>3590.3203415</v>
      </c>
      <c r="GL8" s="55"/>
      <c r="GM8" s="38"/>
      <c r="GN8" s="38">
        <f>D8*0.03264/100</f>
        <v>109.38480000000001</v>
      </c>
      <c r="GO8" s="38">
        <f>GM8+GN8</f>
        <v>109.38480000000001</v>
      </c>
      <c r="GP8" s="38">
        <f>GN$6*$F8</f>
        <v>97.24924800000001</v>
      </c>
      <c r="GQ8" s="38">
        <f>GN$6*$G8</f>
        <v>10.759776</v>
      </c>
      <c r="GR8" s="55"/>
      <c r="GS8" s="38"/>
      <c r="GT8" s="38">
        <f>D8*0.18025/100</f>
        <v>604.0628125</v>
      </c>
      <c r="GU8" s="38">
        <f>GS8+GT8</f>
        <v>604.0628125</v>
      </c>
      <c r="GV8" s="38">
        <f>GT$6*$F8</f>
        <v>537.0458625</v>
      </c>
      <c r="GW8" s="38">
        <f>GT$6*$G8</f>
        <v>59.4194125</v>
      </c>
      <c r="GX8" s="55"/>
      <c r="GY8" s="47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</row>
    <row r="9" spans="1:229" s="57" customFormat="1" ht="12.75">
      <c r="A9" s="56">
        <v>44652</v>
      </c>
      <c r="B9" s="55"/>
      <c r="C9" s="55">
        <v>6540000</v>
      </c>
      <c r="D9" s="55">
        <v>335125</v>
      </c>
      <c r="E9" s="41">
        <f>C9+D9</f>
        <v>6875125</v>
      </c>
      <c r="F9" s="41">
        <v>297945</v>
      </c>
      <c r="G9" s="41">
        <v>32965</v>
      </c>
      <c r="H9" s="55"/>
      <c r="I9" s="41">
        <f>'2017B Academic'!C9</f>
        <v>1160255.514</v>
      </c>
      <c r="J9" s="41">
        <f>'2017B Academic'!D9</f>
        <v>59454.22463750001</v>
      </c>
      <c r="K9" s="41">
        <f>I9+J9</f>
        <v>1219709.7386375</v>
      </c>
      <c r="L9" s="41">
        <f>'2017B Academic'!F9</f>
        <v>52858.15429949999</v>
      </c>
      <c r="M9" s="41">
        <f>'2017B Academic'!G9</f>
        <v>5848.290981499999</v>
      </c>
      <c r="O9" s="38">
        <f>U9+AA9+AG9+AM9+AS9+AY9+BE9+BK9+BQ9+BW9+CC9+CI9+CO9+CU9+DA9+DG9+DM9+DS9+DY9+EE9+EK9+EQ9+EW9+FC9+FI9+FO9+FU9+GA9++GG9+GM9+GS9+GY9</f>
        <v>5379744.4860000005</v>
      </c>
      <c r="P9" s="47">
        <f>V9+AB9+AH9+AN9+AT9+AZ9+BF9+BL9+BR9+BX9+CD9+CJ9+CP9+CV9+DB9+DH9+DN9+DT9+DZ9+EF9+EL9+ER9+EX9+FD9+FJ9+FP9+FV9+GB9+GH9+GN9+GT9</f>
        <v>275670.7753625</v>
      </c>
      <c r="Q9" s="38">
        <f>O9+P9</f>
        <v>5655415.2613625005</v>
      </c>
      <c r="R9" s="38">
        <f t="shared" si="0"/>
        <v>245086.84570049995</v>
      </c>
      <c r="S9" s="38">
        <f t="shared" si="0"/>
        <v>27116.709018499998</v>
      </c>
      <c r="U9" s="38">
        <f>C9*0.01736/100</f>
        <v>1135.344</v>
      </c>
      <c r="V9" s="38">
        <f>D9*0.01736/100</f>
        <v>58.1777</v>
      </c>
      <c r="W9" s="38">
        <f>U9+V9</f>
        <v>1193.5217</v>
      </c>
      <c r="X9" s="38">
        <f>V$6*$F9</f>
        <v>51.723251999999995</v>
      </c>
      <c r="Y9" s="38">
        <f>V$6*$G9</f>
        <v>5.7227239999999995</v>
      </c>
      <c r="AA9" s="38">
        <f>C9*2.24825/100</f>
        <v>147035.55</v>
      </c>
      <c r="AB9" s="38">
        <f>D9*2.24825/100</f>
        <v>7534.4478125</v>
      </c>
      <c r="AC9" s="38">
        <f>AA9+AB9</f>
        <v>154569.9978125</v>
      </c>
      <c r="AD9" s="38">
        <f>AB$6*$F9</f>
        <v>6698.5484625</v>
      </c>
      <c r="AE9" s="38">
        <f>AB$6*$G9</f>
        <v>741.1356125</v>
      </c>
      <c r="AF9" s="55"/>
      <c r="AG9" s="38">
        <f>C9*13.89587/100</f>
        <v>908789.8979999999</v>
      </c>
      <c r="AH9" s="38">
        <f>D9*13.89587/100</f>
        <v>46568.5343375</v>
      </c>
      <c r="AI9" s="38">
        <f>AG9+AH9</f>
        <v>955358.4323374999</v>
      </c>
      <c r="AJ9" s="38">
        <f>AH$6*$F9</f>
        <v>41402.0498715</v>
      </c>
      <c r="AK9" s="38">
        <f>AH$6*$G9</f>
        <v>4580.773545499999</v>
      </c>
      <c r="AL9" s="55"/>
      <c r="AM9" s="38">
        <f>C9*0.14088/100</f>
        <v>9213.552000000001</v>
      </c>
      <c r="AN9" s="38">
        <f>D9*0.14088/100</f>
        <v>472.12410000000006</v>
      </c>
      <c r="AO9" s="38">
        <f>AM9+AN9</f>
        <v>9685.676100000002</v>
      </c>
      <c r="AP9" s="38">
        <f>AN$6*$F9</f>
        <v>419.744916</v>
      </c>
      <c r="AQ9" s="38">
        <f>AN$6*$G9</f>
        <v>46.441092</v>
      </c>
      <c r="AR9" s="55"/>
      <c r="AS9" s="38">
        <f>C9*3.92527/100</f>
        <v>256712.65799999997</v>
      </c>
      <c r="AT9" s="38">
        <f>D9*3.92527/100</f>
        <v>13154.561087499998</v>
      </c>
      <c r="AU9" s="38">
        <f>AS9+AT9</f>
        <v>269867.21908749995</v>
      </c>
      <c r="AV9" s="38">
        <f>AT$6*$F9</f>
        <v>11695.1457015</v>
      </c>
      <c r="AW9" s="38">
        <f>AT$6*$G9</f>
        <v>1293.9652555</v>
      </c>
      <c r="AX9" s="55"/>
      <c r="AY9" s="38">
        <f>C9*0.27645/100</f>
        <v>18079.829999999998</v>
      </c>
      <c r="AZ9" s="38">
        <f>D9*0.27645/100</f>
        <v>926.4530625</v>
      </c>
      <c r="BA9" s="38">
        <f>AY9+AZ9</f>
        <v>19006.2830625</v>
      </c>
      <c r="BB9" s="38">
        <f>AZ$6*$F9</f>
        <v>823.6689525</v>
      </c>
      <c r="BC9" s="38">
        <f>AZ$6*$G9</f>
        <v>91.1317425</v>
      </c>
      <c r="BD9" s="55"/>
      <c r="BE9" s="38">
        <f>C9*6.3907/100</f>
        <v>417951.78</v>
      </c>
      <c r="BF9" s="38">
        <f>D9*6.3907/100</f>
        <v>21416.833375</v>
      </c>
      <c r="BG9" s="38">
        <f>BE9+BF9</f>
        <v>439368.613375</v>
      </c>
      <c r="BH9" s="38">
        <f>BF$6*$F9</f>
        <v>19040.771115000003</v>
      </c>
      <c r="BI9" s="38">
        <f>BF$6*$G9</f>
        <v>2106.6942550000003</v>
      </c>
      <c r="BJ9" s="55"/>
      <c r="BK9" s="38">
        <f>C9*0.21962/100</f>
        <v>14363.148000000001</v>
      </c>
      <c r="BL9" s="38">
        <f>D9*0.21962/100</f>
        <v>736.001525</v>
      </c>
      <c r="BM9" s="38">
        <f>BK9+BL9</f>
        <v>15099.149525</v>
      </c>
      <c r="BN9" s="38">
        <f>BL$6*$F9</f>
        <v>654.346809</v>
      </c>
      <c r="BO9" s="38">
        <f>BL$6*$G9</f>
        <v>72.397733</v>
      </c>
      <c r="BP9" s="55"/>
      <c r="BQ9" s="38">
        <f>C9*0.23679/100</f>
        <v>15486.066</v>
      </c>
      <c r="BR9" s="38">
        <f>D9*0.23679/100</f>
        <v>793.5424875</v>
      </c>
      <c r="BS9" s="38">
        <f>BQ9+BR9</f>
        <v>16279.608487500002</v>
      </c>
      <c r="BT9" s="38">
        <f>BR$6*$F9</f>
        <v>705.5039655</v>
      </c>
      <c r="BU9" s="38">
        <f>BR$6*$G9</f>
        <v>78.0578235</v>
      </c>
      <c r="BV9" s="55"/>
      <c r="BW9" s="38">
        <f>C9*0.06255/100</f>
        <v>4090.7699999999995</v>
      </c>
      <c r="BX9" s="38">
        <f>D9*0.06255/100</f>
        <v>209.62068749999997</v>
      </c>
      <c r="BY9" s="38">
        <f>BW9+BX9</f>
        <v>4300.390687499999</v>
      </c>
      <c r="BZ9" s="38">
        <f>BX$6*$F9</f>
        <v>186.3645975</v>
      </c>
      <c r="CA9" s="38">
        <f>BX$6*$G9</f>
        <v>20.6196075</v>
      </c>
      <c r="CB9" s="55"/>
      <c r="CC9" s="38">
        <f>C9*13.89834/100</f>
        <v>908951.436</v>
      </c>
      <c r="CD9" s="38">
        <f>D9*13.89834/100</f>
        <v>46576.811925</v>
      </c>
      <c r="CE9" s="38">
        <f>CC9+CD9</f>
        <v>955528.247925</v>
      </c>
      <c r="CF9" s="38">
        <f>CD$6*$F9</f>
        <v>41409.409113</v>
      </c>
      <c r="CG9" s="38">
        <f>CD$6*$G9</f>
        <v>4581.587781</v>
      </c>
      <c r="CH9" s="55"/>
      <c r="CI9" s="38">
        <f>C9*0.19064/100</f>
        <v>12467.856000000002</v>
      </c>
      <c r="CJ9" s="38">
        <f>D9*0.19064/100</f>
        <v>638.8823</v>
      </c>
      <c r="CK9" s="38">
        <f>CI9+CJ9</f>
        <v>13106.7383</v>
      </c>
      <c r="CL9" s="38">
        <f>CJ$6*$F9</f>
        <v>568.002348</v>
      </c>
      <c r="CM9" s="38">
        <f>CJ$6*$G9</f>
        <v>62.844476</v>
      </c>
      <c r="CN9" s="55"/>
      <c r="CO9" s="38">
        <f>C9*0.22587/100</f>
        <v>14771.897999999997</v>
      </c>
      <c r="CP9" s="38">
        <f>D9*0.22587/100</f>
        <v>756.9468375</v>
      </c>
      <c r="CQ9" s="38">
        <f>CO9+CP9</f>
        <v>15528.844837499997</v>
      </c>
      <c r="CR9" s="38">
        <f>CP$6*$F9</f>
        <v>672.9683715000001</v>
      </c>
      <c r="CS9" s="38">
        <f>CP$6*$G9</f>
        <v>74.45804550000001</v>
      </c>
      <c r="CT9" s="55"/>
      <c r="CU9" s="38">
        <f>C9*2.69452/100</f>
        <v>176221.60799999998</v>
      </c>
      <c r="CV9" s="38">
        <f>D9*2.69452/100</f>
        <v>9030.010149999998</v>
      </c>
      <c r="CW9" s="38">
        <f>CU9+CV9</f>
        <v>185251.61814999997</v>
      </c>
      <c r="CX9" s="38">
        <f>CV$6*$F9</f>
        <v>8028.1876139999995</v>
      </c>
      <c r="CY9" s="38">
        <f>CV$6*$G9</f>
        <v>888.248518</v>
      </c>
      <c r="CZ9" s="55"/>
      <c r="DA9" s="38">
        <f>C9*0.24417/100</f>
        <v>15968.718</v>
      </c>
      <c r="DB9" s="38">
        <f>D9*0.24417/100</f>
        <v>818.2747125000001</v>
      </c>
      <c r="DC9" s="38">
        <f>DA9+DB9</f>
        <v>16786.9927125</v>
      </c>
      <c r="DD9" s="38">
        <f>DB$6*$F9</f>
        <v>727.4923065</v>
      </c>
      <c r="DE9" s="38">
        <f>DB$6*$G9</f>
        <v>80.49064050000001</v>
      </c>
      <c r="DF9" s="55"/>
      <c r="DG9" s="38">
        <f>C9*0.92028/100</f>
        <v>60186.312000000005</v>
      </c>
      <c r="DH9" s="38">
        <f>D9*0.92028/100</f>
        <v>3084.08835</v>
      </c>
      <c r="DI9" s="38">
        <f>DG9+DH9</f>
        <v>63270.40035</v>
      </c>
      <c r="DJ9" s="38">
        <f>DH$6*$F9</f>
        <v>2741.928246</v>
      </c>
      <c r="DK9" s="38">
        <f>DH$6*$G9</f>
        <v>303.37030200000004</v>
      </c>
      <c r="DL9" s="55"/>
      <c r="DM9" s="38">
        <f>C9*2.14249/100</f>
        <v>140118.846</v>
      </c>
      <c r="DN9" s="38">
        <f>D9*2.14249/100</f>
        <v>7180.0196125</v>
      </c>
      <c r="DO9" s="38">
        <f>DM9+DN9</f>
        <v>147298.8656125</v>
      </c>
      <c r="DP9" s="38">
        <f>DN$6*$F9</f>
        <v>6383.4418305</v>
      </c>
      <c r="DQ9" s="38">
        <f>DN$6*$G9</f>
        <v>706.2718285</v>
      </c>
      <c r="DR9" s="55"/>
      <c r="DS9" s="38">
        <f>C9*1.04086/100</f>
        <v>68072.24399999999</v>
      </c>
      <c r="DT9" s="38">
        <f>D9*1.04086/100</f>
        <v>3488.1820749999997</v>
      </c>
      <c r="DU9" s="38">
        <f>DS9+DT9</f>
        <v>71560.426075</v>
      </c>
      <c r="DV9" s="38">
        <f>DT$6*$F9</f>
        <v>3101.1903270000003</v>
      </c>
      <c r="DW9" s="38">
        <f>DT$6*$G9</f>
        <v>343.119499</v>
      </c>
      <c r="DX9" s="55"/>
      <c r="DY9" s="38">
        <f>C9*0.17922/100</f>
        <v>11720.988000000001</v>
      </c>
      <c r="DZ9" s="38">
        <f>D9*0.17922/100</f>
        <v>600.6110249999999</v>
      </c>
      <c r="EA9" s="38">
        <f>DY9+DZ9</f>
        <v>12321.599025000001</v>
      </c>
      <c r="EB9" s="38">
        <f>DZ$6*$F9</f>
        <v>533.977029</v>
      </c>
      <c r="EC9" s="38">
        <f>DZ$6*$G9</f>
        <v>59.079873000000006</v>
      </c>
      <c r="ED9" s="55"/>
      <c r="EE9" s="38">
        <f>C9*0.23104/100</f>
        <v>15110.015999999998</v>
      </c>
      <c r="EF9" s="38">
        <f>D9*0.23104/100</f>
        <v>774.2728</v>
      </c>
      <c r="EG9" s="38">
        <f>EE9+EF9</f>
        <v>15884.288799999998</v>
      </c>
      <c r="EH9" s="38">
        <f>EF$6*$F9</f>
        <v>688.3721280000001</v>
      </c>
      <c r="EI9" s="38">
        <f>EF$6*$G9</f>
        <v>76.16233600000001</v>
      </c>
      <c r="EJ9" s="55"/>
      <c r="EK9" s="74">
        <f>C9*6.05401/100</f>
        <v>395932.25399999996</v>
      </c>
      <c r="EL9" s="74">
        <f>D9*6.05401/100</f>
        <v>20288.5010125</v>
      </c>
      <c r="EM9" s="74">
        <f>EK9+EL9</f>
        <v>416220.7550125</v>
      </c>
      <c r="EN9" s="38">
        <f>EL$6*$F9</f>
        <v>18037.6200945</v>
      </c>
      <c r="EO9" s="38">
        <f>EL$6*$G9</f>
        <v>1995.7043965</v>
      </c>
      <c r="EP9" s="55"/>
      <c r="EQ9" s="38">
        <f>C9*1.51927/100</f>
        <v>99360.25799999999</v>
      </c>
      <c r="ER9" s="38">
        <f>D9*1.51927/100</f>
        <v>5091.453587499999</v>
      </c>
      <c r="ES9" s="38">
        <f>EQ9+ER9</f>
        <v>104451.71158749999</v>
      </c>
      <c r="ET9" s="38">
        <f>ER$6*$F9</f>
        <v>4526.5890014999995</v>
      </c>
      <c r="EU9" s="38">
        <f>ER$6*$G9</f>
        <v>500.8273555</v>
      </c>
      <c r="EV9" s="55"/>
      <c r="EW9" s="38">
        <f>C9*2.21555/100</f>
        <v>144896.97</v>
      </c>
      <c r="EX9" s="38">
        <f>D9*2.21555/100</f>
        <v>7424.8619375</v>
      </c>
      <c r="EY9" s="38">
        <f>EW9+EX9</f>
        <v>152321.8319375</v>
      </c>
      <c r="EZ9" s="38">
        <f>EX$6*$F9</f>
        <v>6601.1204475</v>
      </c>
      <c r="FA9" s="38">
        <f>EX$6*$G9</f>
        <v>730.3560575</v>
      </c>
      <c r="FB9" s="55"/>
      <c r="FC9" s="38">
        <f>C9*0.00068/100</f>
        <v>44.47200000000001</v>
      </c>
      <c r="FD9" s="38">
        <f>D9*0.00068/100</f>
        <v>2.2788500000000003</v>
      </c>
      <c r="FE9" s="38">
        <f>FC9+FD9</f>
        <v>46.75085000000001</v>
      </c>
      <c r="FF9" s="38">
        <f>FD$6*$F9</f>
        <v>2.026026</v>
      </c>
      <c r="FG9" s="38">
        <f>FD$6*$G9</f>
        <v>0.224162</v>
      </c>
      <c r="FH9" s="55"/>
      <c r="FI9" s="38">
        <f>C9*1.45821/100</f>
        <v>95366.93400000001</v>
      </c>
      <c r="FJ9" s="38">
        <f>D9*1.45821/100</f>
        <v>4886.826262500001</v>
      </c>
      <c r="FK9" s="38">
        <f>FI9+FJ9</f>
        <v>100253.76026250001</v>
      </c>
      <c r="FL9" s="38">
        <f>FJ$6*$F9</f>
        <v>4344.6637845000005</v>
      </c>
      <c r="FM9" s="38">
        <f>FJ$6*$G9</f>
        <v>480.6989265</v>
      </c>
      <c r="FN9" s="55"/>
      <c r="FO9" s="38">
        <f>C9*1.8151/100</f>
        <v>118707.54</v>
      </c>
      <c r="FP9" s="38">
        <f>D9*1.8151/100</f>
        <v>6082.853875</v>
      </c>
      <c r="FQ9" s="38">
        <f>FO9+FP9</f>
        <v>124790.393875</v>
      </c>
      <c r="FR9" s="38">
        <f>FP$6*$F9</f>
        <v>5407.999695</v>
      </c>
      <c r="FS9" s="38">
        <f>FP$6*$G9</f>
        <v>598.347715</v>
      </c>
      <c r="FT9" s="55"/>
      <c r="FU9" s="38">
        <f>C9*2.12676/100</f>
        <v>139090.104</v>
      </c>
      <c r="FV9" s="38">
        <f>D9*2.12676/100</f>
        <v>7127.30445</v>
      </c>
      <c r="FW9" s="38">
        <f>FU9+FV9</f>
        <v>146217.40845</v>
      </c>
      <c r="FX9" s="38">
        <f>FV$6*$F9</f>
        <v>6336.575082</v>
      </c>
      <c r="FY9" s="38">
        <f>FV$6*$G9</f>
        <v>701.086434</v>
      </c>
      <c r="FZ9" s="55"/>
      <c r="GA9" s="38">
        <f>C9*6.78414/100</f>
        <v>443682.756</v>
      </c>
      <c r="GB9" s="38">
        <f>D9*6.78414/100</f>
        <v>22735.349175</v>
      </c>
      <c r="GC9" s="38">
        <f>GA9+GB9</f>
        <v>466418.105175</v>
      </c>
      <c r="GD9" s="38">
        <f>GB$6*$F9</f>
        <v>20213.005923</v>
      </c>
      <c r="GE9" s="38">
        <f>GB$6*$G9</f>
        <v>2236.3917509999997</v>
      </c>
      <c r="GF9" s="55"/>
      <c r="GG9" s="38">
        <f>C9*10.89131/100</f>
        <v>712291.6740000001</v>
      </c>
      <c r="GH9" s="38">
        <f>D9*10.89131/100</f>
        <v>36499.5026375</v>
      </c>
      <c r="GI9" s="38">
        <f>GG9+GH9</f>
        <v>748791.1766375001</v>
      </c>
      <c r="GJ9" s="38">
        <f>GH$6*$F9</f>
        <v>32450.1135795</v>
      </c>
      <c r="GK9" s="38">
        <f>GH$6*$G9</f>
        <v>3590.3203415</v>
      </c>
      <c r="GL9" s="55"/>
      <c r="GM9" s="38">
        <f>C9*0.03264/100</f>
        <v>2134.656</v>
      </c>
      <c r="GN9" s="38">
        <f>D9*0.03264/100</f>
        <v>109.38480000000001</v>
      </c>
      <c r="GO9" s="38">
        <f>GM9+GN9</f>
        <v>2244.0407999999998</v>
      </c>
      <c r="GP9" s="38">
        <f>GN$6*$F9</f>
        <v>97.24924800000001</v>
      </c>
      <c r="GQ9" s="38">
        <f>GN$6*$G9</f>
        <v>10.759776</v>
      </c>
      <c r="GR9" s="55"/>
      <c r="GS9" s="38">
        <f>C9*0.18025/100</f>
        <v>11788.35</v>
      </c>
      <c r="GT9" s="38">
        <f>D9*0.18025/100</f>
        <v>604.0628125</v>
      </c>
      <c r="GU9" s="38">
        <f>GS9+GT9</f>
        <v>12392.4128125</v>
      </c>
      <c r="GV9" s="38">
        <f>GT$6*$F9</f>
        <v>537.0458625</v>
      </c>
      <c r="GW9" s="38">
        <f>GT$6*$G9</f>
        <v>59.4194125</v>
      </c>
      <c r="GX9" s="55"/>
      <c r="GY9" s="47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</row>
    <row r="10" spans="1:229" s="57" customFormat="1" ht="12.75">
      <c r="A10" s="56">
        <v>44856</v>
      </c>
      <c r="B10" s="55"/>
      <c r="C10" s="55"/>
      <c r="D10" s="55">
        <v>171625</v>
      </c>
      <c r="E10" s="41">
        <f>C10+D10</f>
        <v>171625</v>
      </c>
      <c r="F10" s="41">
        <v>297945</v>
      </c>
      <c r="G10" s="41">
        <v>32965</v>
      </c>
      <c r="H10" s="55"/>
      <c r="I10" s="41">
        <f>'2017B Academic'!C10</f>
        <v>0</v>
      </c>
      <c r="J10" s="41">
        <f>'2017B Academic'!D10</f>
        <v>30447.836787500008</v>
      </c>
      <c r="K10" s="41">
        <f>I10+J10</f>
        <v>30447.836787500008</v>
      </c>
      <c r="L10" s="41">
        <f>'2017B Academic'!F10</f>
        <v>52858.15429949999</v>
      </c>
      <c r="M10" s="41">
        <f>'2017B Academic'!G10</f>
        <v>5848.290981499999</v>
      </c>
      <c r="O10" s="38">
        <f>U10+AA10+AG10+AM10+AS10+AY10+BE10+BK10+BQ10+BW10+CC10+CI10+CO10+CU10+DA10+DG10+DM10+DS10+DY10+EE10+EK10+EQ10+EW10+FC10+FI10+FO10+FU10+GA10++GG10+GM10+GS10+GY10</f>
        <v>0</v>
      </c>
      <c r="P10" s="47">
        <f>V10+AB10+AH10+AN10+AT10+AZ10+BF10+BL10+BR10+BX10+CD10+CJ10+CP10+CV10+DB10+DH10+DN10+DT10+DZ10+EF10+EL10+ER10+EX10+FD10+FJ10+FP10+FV10+GB10+GH10+GN10+GT10</f>
        <v>141177.1632125</v>
      </c>
      <c r="Q10" s="38">
        <f>O10+P10</f>
        <v>141177.1632125</v>
      </c>
      <c r="R10" s="38">
        <f t="shared" si="0"/>
        <v>245086.84570049995</v>
      </c>
      <c r="S10" s="38">
        <f t="shared" si="0"/>
        <v>27116.709018499998</v>
      </c>
      <c r="U10" s="38"/>
      <c r="V10" s="38">
        <f>D10*0.01736/100</f>
        <v>29.7941</v>
      </c>
      <c r="W10" s="38">
        <f>U10+V10</f>
        <v>29.7941</v>
      </c>
      <c r="X10" s="38">
        <f>V$6*$F10</f>
        <v>51.723251999999995</v>
      </c>
      <c r="Y10" s="38">
        <f>V$6*$G10</f>
        <v>5.7227239999999995</v>
      </c>
      <c r="AA10" s="38"/>
      <c r="AB10" s="38">
        <f>D10*2.24825/100</f>
        <v>3858.5590625</v>
      </c>
      <c r="AC10" s="38">
        <f>AA10+AB10</f>
        <v>3858.5590625</v>
      </c>
      <c r="AD10" s="38">
        <f>AB$6*$F10</f>
        <v>6698.5484625</v>
      </c>
      <c r="AE10" s="38">
        <f>AB$6*$G10</f>
        <v>741.1356125</v>
      </c>
      <c r="AF10" s="55"/>
      <c r="AG10" s="38"/>
      <c r="AH10" s="38">
        <f>D10*13.89587/100</f>
        <v>23848.786887500002</v>
      </c>
      <c r="AI10" s="38">
        <f>AG10+AH10</f>
        <v>23848.786887500002</v>
      </c>
      <c r="AJ10" s="38">
        <f>AH$6*$F10</f>
        <v>41402.0498715</v>
      </c>
      <c r="AK10" s="38">
        <f>AH$6*$G10</f>
        <v>4580.773545499999</v>
      </c>
      <c r="AL10" s="55"/>
      <c r="AM10" s="38"/>
      <c r="AN10" s="38">
        <f>D10*0.14088/100</f>
        <v>241.78530000000003</v>
      </c>
      <c r="AO10" s="38">
        <f>AM10+AN10</f>
        <v>241.78530000000003</v>
      </c>
      <c r="AP10" s="38">
        <f>AN$6*$F10</f>
        <v>419.744916</v>
      </c>
      <c r="AQ10" s="38">
        <f>AN$6*$G10</f>
        <v>46.441092</v>
      </c>
      <c r="AR10" s="55"/>
      <c r="AS10" s="38"/>
      <c r="AT10" s="38">
        <f>D10*3.92527/100</f>
        <v>6736.7446375</v>
      </c>
      <c r="AU10" s="38">
        <f>AS10+AT10</f>
        <v>6736.7446375</v>
      </c>
      <c r="AV10" s="38">
        <f>AT$6*$F10</f>
        <v>11695.1457015</v>
      </c>
      <c r="AW10" s="38">
        <f>AT$6*$G10</f>
        <v>1293.9652555</v>
      </c>
      <c r="AX10" s="55"/>
      <c r="AY10" s="38"/>
      <c r="AZ10" s="38">
        <f>D10*0.27645/100</f>
        <v>474.45731249999994</v>
      </c>
      <c r="BA10" s="38">
        <f>AY10+AZ10</f>
        <v>474.45731249999994</v>
      </c>
      <c r="BB10" s="38">
        <f>AZ$6*$F10</f>
        <v>823.6689525</v>
      </c>
      <c r="BC10" s="38">
        <f>AZ$6*$G10</f>
        <v>91.1317425</v>
      </c>
      <c r="BD10" s="55"/>
      <c r="BE10" s="38"/>
      <c r="BF10" s="38">
        <f>D10*6.3907/100</f>
        <v>10968.038875</v>
      </c>
      <c r="BG10" s="38">
        <f>BE10+BF10</f>
        <v>10968.038875</v>
      </c>
      <c r="BH10" s="38">
        <f>BF$6*$F10</f>
        <v>19040.771115000003</v>
      </c>
      <c r="BI10" s="38">
        <f>BF$6*$G10</f>
        <v>2106.6942550000003</v>
      </c>
      <c r="BJ10" s="55"/>
      <c r="BK10" s="38"/>
      <c r="BL10" s="38">
        <f>D10*0.21962/100</f>
        <v>376.922825</v>
      </c>
      <c r="BM10" s="38">
        <f>BK10+BL10</f>
        <v>376.922825</v>
      </c>
      <c r="BN10" s="38">
        <f>BL$6*$F10</f>
        <v>654.346809</v>
      </c>
      <c r="BO10" s="38">
        <f>BL$6*$G10</f>
        <v>72.397733</v>
      </c>
      <c r="BP10" s="55"/>
      <c r="BQ10" s="38"/>
      <c r="BR10" s="38">
        <f>D10*0.23679/100</f>
        <v>406.3908375</v>
      </c>
      <c r="BS10" s="38">
        <f>BQ10+BR10</f>
        <v>406.3908375</v>
      </c>
      <c r="BT10" s="38">
        <f>BR$6*$F10</f>
        <v>705.5039655</v>
      </c>
      <c r="BU10" s="38">
        <f>BR$6*$G10</f>
        <v>78.0578235</v>
      </c>
      <c r="BV10" s="55"/>
      <c r="BW10" s="38"/>
      <c r="BX10" s="38">
        <f>D10*0.06255/100</f>
        <v>107.35143749999999</v>
      </c>
      <c r="BY10" s="38">
        <f>BW10+BX10</f>
        <v>107.35143749999999</v>
      </c>
      <c r="BZ10" s="38">
        <f>BX$6*$F10</f>
        <v>186.3645975</v>
      </c>
      <c r="CA10" s="38">
        <f>BX$6*$G10</f>
        <v>20.6196075</v>
      </c>
      <c r="CB10" s="55"/>
      <c r="CC10" s="38"/>
      <c r="CD10" s="38">
        <f>D10*13.89834/100</f>
        <v>23853.026025</v>
      </c>
      <c r="CE10" s="38">
        <f>CC10+CD10</f>
        <v>23853.026025</v>
      </c>
      <c r="CF10" s="38">
        <f>CD$6*$F10</f>
        <v>41409.409113</v>
      </c>
      <c r="CG10" s="38">
        <f>CD$6*$G10</f>
        <v>4581.587781</v>
      </c>
      <c r="CH10" s="55"/>
      <c r="CI10" s="38"/>
      <c r="CJ10" s="38">
        <f>D10*0.19064/100</f>
        <v>327.1859</v>
      </c>
      <c r="CK10" s="38">
        <f>CI10+CJ10</f>
        <v>327.1859</v>
      </c>
      <c r="CL10" s="38">
        <f>CJ$6*$F10</f>
        <v>568.002348</v>
      </c>
      <c r="CM10" s="38">
        <f>CJ$6*$G10</f>
        <v>62.844476</v>
      </c>
      <c r="CN10" s="55"/>
      <c r="CO10" s="38"/>
      <c r="CP10" s="38">
        <f>D10*0.22587/100</f>
        <v>387.6493875</v>
      </c>
      <c r="CQ10" s="38">
        <f>CO10+CP10</f>
        <v>387.6493875</v>
      </c>
      <c r="CR10" s="38">
        <f>CP$6*$F10</f>
        <v>672.9683715000001</v>
      </c>
      <c r="CS10" s="38">
        <f>CP$6*$G10</f>
        <v>74.45804550000001</v>
      </c>
      <c r="CT10" s="55"/>
      <c r="CU10" s="38"/>
      <c r="CV10" s="38">
        <f>D10*2.69452/100</f>
        <v>4624.46995</v>
      </c>
      <c r="CW10" s="38">
        <f>CU10+CV10</f>
        <v>4624.46995</v>
      </c>
      <c r="CX10" s="38">
        <f>CV$6*$F10</f>
        <v>8028.1876139999995</v>
      </c>
      <c r="CY10" s="38">
        <f>CV$6*$G10</f>
        <v>888.248518</v>
      </c>
      <c r="CZ10" s="55"/>
      <c r="DA10" s="38"/>
      <c r="DB10" s="38">
        <f>D10*0.24417/100</f>
        <v>419.0567625</v>
      </c>
      <c r="DC10" s="38">
        <f>DA10+DB10</f>
        <v>419.0567625</v>
      </c>
      <c r="DD10" s="38">
        <f>DB$6*$F10</f>
        <v>727.4923065</v>
      </c>
      <c r="DE10" s="38">
        <f>DB$6*$G10</f>
        <v>80.49064050000001</v>
      </c>
      <c r="DF10" s="55"/>
      <c r="DG10" s="38"/>
      <c r="DH10" s="38">
        <f>D10*0.92028/100</f>
        <v>1579.43055</v>
      </c>
      <c r="DI10" s="38">
        <f>DG10+DH10</f>
        <v>1579.43055</v>
      </c>
      <c r="DJ10" s="38">
        <f>DH$6*$F10</f>
        <v>2741.928246</v>
      </c>
      <c r="DK10" s="38">
        <f>DH$6*$G10</f>
        <v>303.37030200000004</v>
      </c>
      <c r="DL10" s="55"/>
      <c r="DM10" s="38"/>
      <c r="DN10" s="38">
        <f>D10*2.14249/100</f>
        <v>3677.0484625</v>
      </c>
      <c r="DO10" s="38">
        <f>DM10+DN10</f>
        <v>3677.0484625</v>
      </c>
      <c r="DP10" s="38">
        <f>DN$6*$F10</f>
        <v>6383.4418305</v>
      </c>
      <c r="DQ10" s="38">
        <f>DN$6*$G10</f>
        <v>706.2718285</v>
      </c>
      <c r="DR10" s="55"/>
      <c r="DS10" s="38"/>
      <c r="DT10" s="38">
        <f>D10*1.04086/100</f>
        <v>1786.3759749999997</v>
      </c>
      <c r="DU10" s="38">
        <f>DS10+DT10</f>
        <v>1786.3759749999997</v>
      </c>
      <c r="DV10" s="38">
        <f>DT$6*$F10</f>
        <v>3101.1903270000003</v>
      </c>
      <c r="DW10" s="38">
        <f>DT$6*$G10</f>
        <v>343.119499</v>
      </c>
      <c r="DX10" s="55"/>
      <c r="DY10" s="38"/>
      <c r="DZ10" s="38">
        <f>D10*0.17922/100</f>
        <v>307.586325</v>
      </c>
      <c r="EA10" s="38">
        <f>DY10+DZ10</f>
        <v>307.586325</v>
      </c>
      <c r="EB10" s="38">
        <f>DZ$6*$F10</f>
        <v>533.977029</v>
      </c>
      <c r="EC10" s="38">
        <f>DZ$6*$G10</f>
        <v>59.079873000000006</v>
      </c>
      <c r="ED10" s="55"/>
      <c r="EE10" s="38"/>
      <c r="EF10" s="38">
        <f>D10*0.23104/100</f>
        <v>396.5224</v>
      </c>
      <c r="EG10" s="38">
        <f>EE10+EF10</f>
        <v>396.5224</v>
      </c>
      <c r="EH10" s="38">
        <f>EF$6*$F10</f>
        <v>688.3721280000001</v>
      </c>
      <c r="EI10" s="38">
        <f>EF$6*$G10</f>
        <v>76.16233600000001</v>
      </c>
      <c r="EJ10" s="55"/>
      <c r="EK10" s="74"/>
      <c r="EL10" s="74">
        <f>D10*6.05401/100</f>
        <v>10390.1946625</v>
      </c>
      <c r="EM10" s="74">
        <f>EK10+EL10</f>
        <v>10390.1946625</v>
      </c>
      <c r="EN10" s="38">
        <f>EL$6*$F10</f>
        <v>18037.6200945</v>
      </c>
      <c r="EO10" s="38">
        <f>EL$6*$G10</f>
        <v>1995.7043965</v>
      </c>
      <c r="EP10" s="55"/>
      <c r="EQ10" s="38"/>
      <c r="ER10" s="38">
        <f>D10*1.51927/100</f>
        <v>2607.4471375</v>
      </c>
      <c r="ES10" s="38">
        <f>EQ10+ER10</f>
        <v>2607.4471375</v>
      </c>
      <c r="ET10" s="38">
        <f>ER$6*$F10</f>
        <v>4526.5890014999995</v>
      </c>
      <c r="EU10" s="38">
        <f>ER$6*$G10</f>
        <v>500.8273555</v>
      </c>
      <c r="EV10" s="55"/>
      <c r="EW10" s="38"/>
      <c r="EX10" s="38">
        <f>D10*2.21555/100</f>
        <v>3802.4376875</v>
      </c>
      <c r="EY10" s="38">
        <f>EW10+EX10</f>
        <v>3802.4376875</v>
      </c>
      <c r="EZ10" s="38">
        <f>EX$6*$F10</f>
        <v>6601.1204475</v>
      </c>
      <c r="FA10" s="38">
        <f>EX$6*$G10</f>
        <v>730.3560575</v>
      </c>
      <c r="FB10" s="55"/>
      <c r="FC10" s="38"/>
      <c r="FD10" s="38">
        <f>D10*0.00068/100</f>
        <v>1.1670500000000001</v>
      </c>
      <c r="FE10" s="38">
        <f>FC10+FD10</f>
        <v>1.1670500000000001</v>
      </c>
      <c r="FF10" s="38">
        <f>FD$6*$F10</f>
        <v>2.026026</v>
      </c>
      <c r="FG10" s="38">
        <f>FD$6*$G10</f>
        <v>0.224162</v>
      </c>
      <c r="FH10" s="55"/>
      <c r="FI10" s="38"/>
      <c r="FJ10" s="38">
        <f>D10*1.45821/100</f>
        <v>2502.6529125</v>
      </c>
      <c r="FK10" s="38">
        <f>FI10+FJ10</f>
        <v>2502.6529125</v>
      </c>
      <c r="FL10" s="38">
        <f>FJ$6*$F10</f>
        <v>4344.6637845000005</v>
      </c>
      <c r="FM10" s="38">
        <f>FJ$6*$G10</f>
        <v>480.6989265</v>
      </c>
      <c r="FN10" s="55"/>
      <c r="FO10" s="38"/>
      <c r="FP10" s="38">
        <f>D10*1.8151/100</f>
        <v>3115.1653749999996</v>
      </c>
      <c r="FQ10" s="38">
        <f>FO10+FP10</f>
        <v>3115.1653749999996</v>
      </c>
      <c r="FR10" s="38">
        <f>FP$6*$F10</f>
        <v>5407.999695</v>
      </c>
      <c r="FS10" s="38">
        <f>FP$6*$G10</f>
        <v>598.347715</v>
      </c>
      <c r="FT10" s="55"/>
      <c r="FU10" s="38"/>
      <c r="FV10" s="38">
        <f>D10*2.12676/100</f>
        <v>3650.05185</v>
      </c>
      <c r="FW10" s="38">
        <f>FU10+FV10</f>
        <v>3650.05185</v>
      </c>
      <c r="FX10" s="38">
        <f>FV$6*$F10</f>
        <v>6336.575082</v>
      </c>
      <c r="FY10" s="38">
        <f>FV$6*$G10</f>
        <v>701.086434</v>
      </c>
      <c r="FZ10" s="55"/>
      <c r="GA10" s="38"/>
      <c r="GB10" s="38">
        <f>D10*6.78414/100</f>
        <v>11643.280275000001</v>
      </c>
      <c r="GC10" s="38">
        <f>GA10+GB10</f>
        <v>11643.280275000001</v>
      </c>
      <c r="GD10" s="38">
        <f>GB$6*$F10</f>
        <v>20213.005923</v>
      </c>
      <c r="GE10" s="38">
        <f>GB$6*$G10</f>
        <v>2236.3917509999997</v>
      </c>
      <c r="GF10" s="55"/>
      <c r="GG10" s="38"/>
      <c r="GH10" s="38">
        <f>D10*10.89131/100</f>
        <v>18692.2107875</v>
      </c>
      <c r="GI10" s="38">
        <f>GG10+GH10</f>
        <v>18692.2107875</v>
      </c>
      <c r="GJ10" s="38">
        <f>GH$6*$F10</f>
        <v>32450.1135795</v>
      </c>
      <c r="GK10" s="38">
        <f>GH$6*$G10</f>
        <v>3590.3203415</v>
      </c>
      <c r="GL10" s="55"/>
      <c r="GM10" s="38"/>
      <c r="GN10" s="38">
        <f>D10*0.03264/100</f>
        <v>56.0184</v>
      </c>
      <c r="GO10" s="38">
        <f>GM10+GN10</f>
        <v>56.0184</v>
      </c>
      <c r="GP10" s="38">
        <f>GN$6*$F10</f>
        <v>97.24924800000001</v>
      </c>
      <c r="GQ10" s="38">
        <f>GN$6*$G10</f>
        <v>10.759776</v>
      </c>
      <c r="GR10" s="55"/>
      <c r="GS10" s="38"/>
      <c r="GT10" s="38">
        <f>D10*0.18025/100</f>
        <v>309.3540625</v>
      </c>
      <c r="GU10" s="38">
        <f>GS10+GT10</f>
        <v>309.3540625</v>
      </c>
      <c r="GV10" s="38">
        <f>GT$6*$F10</f>
        <v>537.0458625</v>
      </c>
      <c r="GW10" s="38">
        <f>GT$6*$G10</f>
        <v>59.4194125</v>
      </c>
      <c r="GX10" s="55"/>
      <c r="GY10" s="47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</row>
    <row r="11" spans="1:229" s="57" customFormat="1" ht="12.75">
      <c r="A11" s="56">
        <v>45017</v>
      </c>
      <c r="B11" s="55"/>
      <c r="C11" s="55">
        <v>6865000</v>
      </c>
      <c r="D11" s="55">
        <v>171625</v>
      </c>
      <c r="E11" s="41">
        <f>C11+D11</f>
        <v>7036625</v>
      </c>
      <c r="F11" s="41">
        <v>297945</v>
      </c>
      <c r="G11" s="41">
        <v>32965</v>
      </c>
      <c r="H11" s="55"/>
      <c r="I11" s="41">
        <f>'2017B Academic'!C11</f>
        <v>1217913.4715000005</v>
      </c>
      <c r="J11" s="41">
        <f>'2017B Academic'!D11</f>
        <v>30447.836787500008</v>
      </c>
      <c r="K11" s="41">
        <f>I11+J11</f>
        <v>1248361.3082875004</v>
      </c>
      <c r="L11" s="41">
        <f>'2017B Academic'!F11</f>
        <v>52858.15429949999</v>
      </c>
      <c r="M11" s="41">
        <f>'2017B Academic'!G11</f>
        <v>5848.290981499999</v>
      </c>
      <c r="O11" s="38">
        <f>U11+AA11+AG11+AM11+AS11+AY11+BE11+BK11+BQ11+BW11+CC11+CI11+CO11+CU11+DA11+DG11+DM11+DS11+DY11+EE11+EK11+EQ11+EW11+FC11+FI11+FO11+FU11+GA11++GG11+GM11+GS11+GY11</f>
        <v>5647086.5285</v>
      </c>
      <c r="P11" s="47">
        <f>V11+AB11+AH11+AN11+AT11+AZ11+BF11+BL11+BR11+BX11+CD11+CJ11+CP11+CV11+DB11+DH11+DN11+DT11+DZ11+EF11+EL11+ER11+EX11+FD11+FJ11+FP11+FV11+GB11+GH11+GN11+GT11</f>
        <v>141177.1632125</v>
      </c>
      <c r="Q11" s="38">
        <f>O11+P11</f>
        <v>5788263.6917125</v>
      </c>
      <c r="R11" s="38">
        <f t="shared" si="0"/>
        <v>245086.84570049995</v>
      </c>
      <c r="S11" s="38">
        <f t="shared" si="0"/>
        <v>27116.709018499998</v>
      </c>
      <c r="U11" s="38">
        <f>C11*0.01736/100</f>
        <v>1191.7640000000001</v>
      </c>
      <c r="V11" s="38">
        <f>D11*0.01736/100</f>
        <v>29.7941</v>
      </c>
      <c r="W11" s="38">
        <f>U11+V11</f>
        <v>1221.5581000000002</v>
      </c>
      <c r="X11" s="38">
        <f>V$6*$F11</f>
        <v>51.723251999999995</v>
      </c>
      <c r="Y11" s="38">
        <f>V$6*$G11</f>
        <v>5.7227239999999995</v>
      </c>
      <c r="AA11" s="38">
        <f>C11*2.24825/100</f>
        <v>154342.3625</v>
      </c>
      <c r="AB11" s="38">
        <f>D11*2.24825/100</f>
        <v>3858.5590625</v>
      </c>
      <c r="AC11" s="38">
        <f>AA11+AB11</f>
        <v>158200.92156249998</v>
      </c>
      <c r="AD11" s="38">
        <f>AB$6*$F11</f>
        <v>6698.5484625</v>
      </c>
      <c r="AE11" s="38">
        <f>AB$6*$G11</f>
        <v>741.1356125</v>
      </c>
      <c r="AF11" s="55"/>
      <c r="AG11" s="38">
        <f>C11*13.89587/100</f>
        <v>953951.4755</v>
      </c>
      <c r="AH11" s="38">
        <f>D11*13.89587/100</f>
        <v>23848.786887500002</v>
      </c>
      <c r="AI11" s="38">
        <f>AG11+AH11</f>
        <v>977800.2623874999</v>
      </c>
      <c r="AJ11" s="38">
        <f>AH$6*$F11</f>
        <v>41402.0498715</v>
      </c>
      <c r="AK11" s="38">
        <f>AH$6*$G11</f>
        <v>4580.773545499999</v>
      </c>
      <c r="AL11" s="55"/>
      <c r="AM11" s="38">
        <f>C11*0.14088/100</f>
        <v>9671.412</v>
      </c>
      <c r="AN11" s="38">
        <f>D11*0.14088/100</f>
        <v>241.78530000000003</v>
      </c>
      <c r="AO11" s="38">
        <f>AM11+AN11</f>
        <v>9913.1973</v>
      </c>
      <c r="AP11" s="38">
        <f>AN$6*$F11</f>
        <v>419.744916</v>
      </c>
      <c r="AQ11" s="38">
        <f>AN$6*$G11</f>
        <v>46.441092</v>
      </c>
      <c r="AR11" s="55"/>
      <c r="AS11" s="38">
        <f>C11*3.92527/100</f>
        <v>269469.7855</v>
      </c>
      <c r="AT11" s="38">
        <f>D11*3.92527/100</f>
        <v>6736.7446375</v>
      </c>
      <c r="AU11" s="38">
        <f>AS11+AT11</f>
        <v>276206.5301375</v>
      </c>
      <c r="AV11" s="38">
        <f>AT$6*$F11</f>
        <v>11695.1457015</v>
      </c>
      <c r="AW11" s="38">
        <f>AT$6*$G11</f>
        <v>1293.9652555</v>
      </c>
      <c r="AX11" s="55"/>
      <c r="AY11" s="38">
        <f>C11*0.27645/100</f>
        <v>18978.292499999996</v>
      </c>
      <c r="AZ11" s="38">
        <f>D11*0.27645/100</f>
        <v>474.45731249999994</v>
      </c>
      <c r="BA11" s="38">
        <f>AY11+AZ11</f>
        <v>19452.749812499995</v>
      </c>
      <c r="BB11" s="38">
        <f>AZ$6*$F11</f>
        <v>823.6689525</v>
      </c>
      <c r="BC11" s="38">
        <f>AZ$6*$G11</f>
        <v>91.1317425</v>
      </c>
      <c r="BD11" s="55"/>
      <c r="BE11" s="38">
        <f>C11*6.3907/100</f>
        <v>438721.555</v>
      </c>
      <c r="BF11" s="38">
        <f>D11*6.3907/100</f>
        <v>10968.038875</v>
      </c>
      <c r="BG11" s="38">
        <f>BE11+BF11</f>
        <v>449689.593875</v>
      </c>
      <c r="BH11" s="38">
        <f>BF$6*$F11</f>
        <v>19040.771115000003</v>
      </c>
      <c r="BI11" s="38">
        <f>BF$6*$G11</f>
        <v>2106.6942550000003</v>
      </c>
      <c r="BJ11" s="55"/>
      <c r="BK11" s="38">
        <f>C11*0.21962/100</f>
        <v>15076.913</v>
      </c>
      <c r="BL11" s="38">
        <f>D11*0.21962/100</f>
        <v>376.922825</v>
      </c>
      <c r="BM11" s="38">
        <f>BK11+BL11</f>
        <v>15453.835825</v>
      </c>
      <c r="BN11" s="38">
        <f>BL$6*$F11</f>
        <v>654.346809</v>
      </c>
      <c r="BO11" s="38">
        <f>BL$6*$G11</f>
        <v>72.397733</v>
      </c>
      <c r="BP11" s="55"/>
      <c r="BQ11" s="38">
        <f>C11*0.23679/100</f>
        <v>16255.633500000002</v>
      </c>
      <c r="BR11" s="38">
        <f>D11*0.23679/100</f>
        <v>406.3908375</v>
      </c>
      <c r="BS11" s="38">
        <f>BQ11+BR11</f>
        <v>16662.024337500003</v>
      </c>
      <c r="BT11" s="38">
        <f>BR$6*$F11</f>
        <v>705.5039655</v>
      </c>
      <c r="BU11" s="38">
        <f>BR$6*$G11</f>
        <v>78.0578235</v>
      </c>
      <c r="BV11" s="55"/>
      <c r="BW11" s="38">
        <f>C11*0.06255/100</f>
        <v>4294.057499999999</v>
      </c>
      <c r="BX11" s="38">
        <f>D11*0.06255/100</f>
        <v>107.35143749999999</v>
      </c>
      <c r="BY11" s="38">
        <f>BW11+BX11</f>
        <v>4401.408937499999</v>
      </c>
      <c r="BZ11" s="38">
        <f>BX$6*$F11</f>
        <v>186.3645975</v>
      </c>
      <c r="CA11" s="38">
        <f>BX$6*$G11</f>
        <v>20.6196075</v>
      </c>
      <c r="CB11" s="55"/>
      <c r="CC11" s="38">
        <f>C11*13.89834/100</f>
        <v>954121.041</v>
      </c>
      <c r="CD11" s="38">
        <f>D11*13.89834/100</f>
        <v>23853.026025</v>
      </c>
      <c r="CE11" s="38">
        <f>CC11+CD11</f>
        <v>977974.067025</v>
      </c>
      <c r="CF11" s="38">
        <f>CD$6*$F11</f>
        <v>41409.409113</v>
      </c>
      <c r="CG11" s="38">
        <f>CD$6*$G11</f>
        <v>4581.587781</v>
      </c>
      <c r="CH11" s="55"/>
      <c r="CI11" s="38">
        <f>C11*0.19064/100</f>
        <v>13087.436000000002</v>
      </c>
      <c r="CJ11" s="38">
        <f>D11*0.19064/100</f>
        <v>327.1859</v>
      </c>
      <c r="CK11" s="38">
        <f>CI11+CJ11</f>
        <v>13414.621900000002</v>
      </c>
      <c r="CL11" s="38">
        <f>CJ$6*$F11</f>
        <v>568.002348</v>
      </c>
      <c r="CM11" s="38">
        <f>CJ$6*$G11</f>
        <v>62.844476</v>
      </c>
      <c r="CN11" s="55"/>
      <c r="CO11" s="38">
        <f>C11*0.22587/100</f>
        <v>15505.975499999999</v>
      </c>
      <c r="CP11" s="38">
        <f>D11*0.22587/100</f>
        <v>387.6493875</v>
      </c>
      <c r="CQ11" s="38">
        <f>CO11+CP11</f>
        <v>15893.624887499998</v>
      </c>
      <c r="CR11" s="38">
        <f>CP$6*$F11</f>
        <v>672.9683715000001</v>
      </c>
      <c r="CS11" s="38">
        <f>CP$6*$G11</f>
        <v>74.45804550000001</v>
      </c>
      <c r="CT11" s="55"/>
      <c r="CU11" s="38">
        <f>C11*2.69452/100</f>
        <v>184978.79799999998</v>
      </c>
      <c r="CV11" s="38">
        <f>D11*2.69452/100</f>
        <v>4624.46995</v>
      </c>
      <c r="CW11" s="38">
        <f>CU11+CV11</f>
        <v>189603.26794999998</v>
      </c>
      <c r="CX11" s="38">
        <f>CV$6*$F11</f>
        <v>8028.1876139999995</v>
      </c>
      <c r="CY11" s="38">
        <f>CV$6*$G11</f>
        <v>888.248518</v>
      </c>
      <c r="CZ11" s="55"/>
      <c r="DA11" s="38">
        <f>C11*0.24417/100</f>
        <v>16762.2705</v>
      </c>
      <c r="DB11" s="38">
        <f>D11*0.24417/100</f>
        <v>419.0567625</v>
      </c>
      <c r="DC11" s="38">
        <f>DA11+DB11</f>
        <v>17181.3272625</v>
      </c>
      <c r="DD11" s="38">
        <f>DB$6*$F11</f>
        <v>727.4923065</v>
      </c>
      <c r="DE11" s="38">
        <f>DB$6*$G11</f>
        <v>80.49064050000001</v>
      </c>
      <c r="DF11" s="55"/>
      <c r="DG11" s="38">
        <f>C11*0.92028/100</f>
        <v>63177.222</v>
      </c>
      <c r="DH11" s="38">
        <f>D11*0.92028/100</f>
        <v>1579.43055</v>
      </c>
      <c r="DI11" s="38">
        <f>DG11+DH11</f>
        <v>64756.65255</v>
      </c>
      <c r="DJ11" s="38">
        <f>DH$6*$F11</f>
        <v>2741.928246</v>
      </c>
      <c r="DK11" s="38">
        <f>DH$6*$G11</f>
        <v>303.37030200000004</v>
      </c>
      <c r="DL11" s="55"/>
      <c r="DM11" s="38">
        <f>C11*2.14249/100</f>
        <v>147081.9385</v>
      </c>
      <c r="DN11" s="38">
        <f>D11*2.14249/100</f>
        <v>3677.0484625</v>
      </c>
      <c r="DO11" s="38">
        <f>DM11+DN11</f>
        <v>150758.9869625</v>
      </c>
      <c r="DP11" s="38">
        <f>DN$6*$F11</f>
        <v>6383.4418305</v>
      </c>
      <c r="DQ11" s="38">
        <f>DN$6*$G11</f>
        <v>706.2718285</v>
      </c>
      <c r="DR11" s="55"/>
      <c r="DS11" s="38">
        <f>C11*1.04086/100</f>
        <v>71455.03899999999</v>
      </c>
      <c r="DT11" s="38">
        <f>D11*1.04086/100</f>
        <v>1786.3759749999997</v>
      </c>
      <c r="DU11" s="38">
        <f>DS11+DT11</f>
        <v>73241.41497499999</v>
      </c>
      <c r="DV11" s="38">
        <f>DT$6*$F11</f>
        <v>3101.1903270000003</v>
      </c>
      <c r="DW11" s="38">
        <f>DT$6*$G11</f>
        <v>343.119499</v>
      </c>
      <c r="DX11" s="55"/>
      <c r="DY11" s="38">
        <f>C11*0.17922/100</f>
        <v>12303.453000000001</v>
      </c>
      <c r="DZ11" s="38">
        <f>D11*0.17922/100</f>
        <v>307.586325</v>
      </c>
      <c r="EA11" s="38">
        <f>DY11+DZ11</f>
        <v>12611.039325000002</v>
      </c>
      <c r="EB11" s="38">
        <f>DZ$6*$F11</f>
        <v>533.977029</v>
      </c>
      <c r="EC11" s="38">
        <f>DZ$6*$G11</f>
        <v>59.079873000000006</v>
      </c>
      <c r="ED11" s="55"/>
      <c r="EE11" s="38">
        <f>C11*0.23104/100</f>
        <v>15860.895999999999</v>
      </c>
      <c r="EF11" s="38">
        <f>D11*0.23104/100</f>
        <v>396.5224</v>
      </c>
      <c r="EG11" s="38">
        <f>EE11+EF11</f>
        <v>16257.418399999999</v>
      </c>
      <c r="EH11" s="38">
        <f>EF$6*$F11</f>
        <v>688.3721280000001</v>
      </c>
      <c r="EI11" s="38">
        <f>EF$6*$G11</f>
        <v>76.16233600000001</v>
      </c>
      <c r="EJ11" s="55"/>
      <c r="EK11" s="74">
        <f>C11*6.05401/100</f>
        <v>415607.7865</v>
      </c>
      <c r="EL11" s="74">
        <f>D11*6.05401/100</f>
        <v>10390.1946625</v>
      </c>
      <c r="EM11" s="74">
        <f>EK11+EL11</f>
        <v>425997.9811625</v>
      </c>
      <c r="EN11" s="38">
        <f>EL$6*$F11</f>
        <v>18037.6200945</v>
      </c>
      <c r="EO11" s="38">
        <f>EL$6*$G11</f>
        <v>1995.7043965</v>
      </c>
      <c r="EP11" s="55"/>
      <c r="EQ11" s="38">
        <f>C11*1.51927/100</f>
        <v>104297.88549999999</v>
      </c>
      <c r="ER11" s="38">
        <f>D11*1.51927/100</f>
        <v>2607.4471375</v>
      </c>
      <c r="ES11" s="38">
        <f>EQ11+ER11</f>
        <v>106905.33263749999</v>
      </c>
      <c r="ET11" s="38">
        <f>ER$6*$F11</f>
        <v>4526.5890014999995</v>
      </c>
      <c r="EU11" s="38">
        <f>ER$6*$G11</f>
        <v>500.8273555</v>
      </c>
      <c r="EV11" s="55"/>
      <c r="EW11" s="38">
        <f>C11*2.21555/100</f>
        <v>152097.5075</v>
      </c>
      <c r="EX11" s="38">
        <f>D11*2.21555/100</f>
        <v>3802.4376875</v>
      </c>
      <c r="EY11" s="38">
        <f>EW11+EX11</f>
        <v>155899.9451875</v>
      </c>
      <c r="EZ11" s="38">
        <f>EX$6*$F11</f>
        <v>6601.1204475</v>
      </c>
      <c r="FA11" s="38">
        <f>EX$6*$G11</f>
        <v>730.3560575</v>
      </c>
      <c r="FB11" s="55"/>
      <c r="FC11" s="38">
        <f>C11*0.00068/100</f>
        <v>46.68200000000001</v>
      </c>
      <c r="FD11" s="38">
        <f>D11*0.00068/100</f>
        <v>1.1670500000000001</v>
      </c>
      <c r="FE11" s="38">
        <f>FC11+FD11</f>
        <v>47.84905000000001</v>
      </c>
      <c r="FF11" s="38">
        <f>FD$6*$F11</f>
        <v>2.026026</v>
      </c>
      <c r="FG11" s="38">
        <f>FD$6*$G11</f>
        <v>0.224162</v>
      </c>
      <c r="FH11" s="55"/>
      <c r="FI11" s="38">
        <f>C11*1.45821/100</f>
        <v>100106.1165</v>
      </c>
      <c r="FJ11" s="38">
        <f>D11*1.45821/100</f>
        <v>2502.6529125</v>
      </c>
      <c r="FK11" s="38">
        <f>FI11+FJ11</f>
        <v>102608.7694125</v>
      </c>
      <c r="FL11" s="38">
        <f>FJ$6*$F11</f>
        <v>4344.6637845000005</v>
      </c>
      <c r="FM11" s="38">
        <f>FJ$6*$G11</f>
        <v>480.6989265</v>
      </c>
      <c r="FN11" s="55"/>
      <c r="FO11" s="38">
        <f>C11*1.8151/100</f>
        <v>124606.615</v>
      </c>
      <c r="FP11" s="38">
        <f>D11*1.8151/100</f>
        <v>3115.1653749999996</v>
      </c>
      <c r="FQ11" s="38">
        <f>FO11+FP11</f>
        <v>127721.780375</v>
      </c>
      <c r="FR11" s="38">
        <f>FP$6*$F11</f>
        <v>5407.999695</v>
      </c>
      <c r="FS11" s="38">
        <f>FP$6*$G11</f>
        <v>598.347715</v>
      </c>
      <c r="FT11" s="55"/>
      <c r="FU11" s="38">
        <f>C11*2.12676/100</f>
        <v>146002.074</v>
      </c>
      <c r="FV11" s="38">
        <f>D11*2.12676/100</f>
        <v>3650.05185</v>
      </c>
      <c r="FW11" s="38">
        <f>FU11+FV11</f>
        <v>149652.12584999998</v>
      </c>
      <c r="FX11" s="38">
        <f>FV$6*$F11</f>
        <v>6336.575082</v>
      </c>
      <c r="FY11" s="38">
        <f>FV$6*$G11</f>
        <v>701.086434</v>
      </c>
      <c r="FZ11" s="55"/>
      <c r="GA11" s="38">
        <f>C11*6.78414/100</f>
        <v>465731.211</v>
      </c>
      <c r="GB11" s="38">
        <f>D11*6.78414/100</f>
        <v>11643.280275000001</v>
      </c>
      <c r="GC11" s="38">
        <f>GA11+GB11</f>
        <v>477374.49127500004</v>
      </c>
      <c r="GD11" s="38">
        <f>GB$6*$F11</f>
        <v>20213.005923</v>
      </c>
      <c r="GE11" s="38">
        <f>GB$6*$G11</f>
        <v>2236.3917509999997</v>
      </c>
      <c r="GF11" s="55"/>
      <c r="GG11" s="38">
        <f>C11*10.89131/100</f>
        <v>747688.4315000001</v>
      </c>
      <c r="GH11" s="38">
        <f>D11*10.89131/100</f>
        <v>18692.2107875</v>
      </c>
      <c r="GI11" s="38">
        <f>GG11+GH11</f>
        <v>766380.6422875001</v>
      </c>
      <c r="GJ11" s="38">
        <f>GH$6*$F11</f>
        <v>32450.1135795</v>
      </c>
      <c r="GK11" s="38">
        <f>GH$6*$G11</f>
        <v>3590.3203415</v>
      </c>
      <c r="GL11" s="55"/>
      <c r="GM11" s="38">
        <f>C11*0.03264/100</f>
        <v>2240.736</v>
      </c>
      <c r="GN11" s="38">
        <f>D11*0.03264/100</f>
        <v>56.0184</v>
      </c>
      <c r="GO11" s="38">
        <f>GM11+GN11</f>
        <v>2296.7544</v>
      </c>
      <c r="GP11" s="38">
        <f>GN$6*$F11</f>
        <v>97.24924800000001</v>
      </c>
      <c r="GQ11" s="38">
        <f>GN$6*$G11</f>
        <v>10.759776</v>
      </c>
      <c r="GR11" s="55"/>
      <c r="GS11" s="38">
        <f>C11*0.18025/100</f>
        <v>12374.1625</v>
      </c>
      <c r="GT11" s="38">
        <f>D11*0.18025/100</f>
        <v>309.3540625</v>
      </c>
      <c r="GU11" s="38">
        <f>GS11+GT11</f>
        <v>12683.5165625</v>
      </c>
      <c r="GV11" s="38">
        <f>GT$6*$F11</f>
        <v>537.0458625</v>
      </c>
      <c r="GW11" s="38">
        <f>GT$6*$G11</f>
        <v>59.4194125</v>
      </c>
      <c r="GX11" s="55"/>
      <c r="GY11" s="47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</row>
    <row r="12" spans="3:229" ht="12.75">
      <c r="C12" s="47"/>
      <c r="D12" s="47"/>
      <c r="E12" s="47"/>
      <c r="F12" s="47"/>
      <c r="G12" s="47"/>
      <c r="I12" s="47"/>
      <c r="J12" s="47"/>
      <c r="K12" s="47"/>
      <c r="L12" s="47"/>
      <c r="M12" s="47"/>
      <c r="AA12" s="55"/>
      <c r="AB12" s="55"/>
      <c r="AC12" s="55"/>
      <c r="AD12" s="55"/>
      <c r="AE12" s="55"/>
      <c r="AF12" s="38"/>
      <c r="AG12" s="55"/>
      <c r="AH12" s="55"/>
      <c r="AI12" s="55"/>
      <c r="AJ12" s="55"/>
      <c r="AK12" s="55"/>
      <c r="AL12" s="38"/>
      <c r="AM12" s="55"/>
      <c r="AN12" s="55"/>
      <c r="AO12" s="55"/>
      <c r="AP12" s="55"/>
      <c r="AQ12" s="55"/>
      <c r="AR12" s="38"/>
      <c r="AS12" s="55"/>
      <c r="AT12" s="55"/>
      <c r="AU12" s="55"/>
      <c r="AV12" s="55"/>
      <c r="AW12" s="55"/>
      <c r="AX12" s="38"/>
      <c r="AY12" s="38"/>
      <c r="AZ12" s="38"/>
      <c r="BA12" s="38"/>
      <c r="BB12" s="38"/>
      <c r="BC12" s="38"/>
      <c r="BD12" s="38"/>
      <c r="BE12" s="55"/>
      <c r="BF12" s="55"/>
      <c r="BG12" s="55"/>
      <c r="BH12" s="55"/>
      <c r="BI12" s="55"/>
      <c r="BJ12" s="38"/>
      <c r="BK12" s="38"/>
      <c r="BL12" s="38"/>
      <c r="BM12" s="55"/>
      <c r="BN12" s="55"/>
      <c r="BO12" s="55"/>
      <c r="BP12" s="38"/>
      <c r="BQ12" s="38"/>
      <c r="BR12" s="38"/>
      <c r="BS12" s="38"/>
      <c r="BT12" s="38"/>
      <c r="BU12" s="38"/>
      <c r="BV12" s="38"/>
      <c r="BW12" s="55"/>
      <c r="BX12" s="55"/>
      <c r="BY12" s="55"/>
      <c r="BZ12" s="55"/>
      <c r="CA12" s="55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55"/>
      <c r="DZ12" s="55"/>
      <c r="EA12" s="55"/>
      <c r="EB12" s="55"/>
      <c r="EC12" s="55"/>
      <c r="ED12" s="55"/>
      <c r="EE12" s="38"/>
      <c r="EF12" s="38"/>
      <c r="EG12" s="38"/>
      <c r="EH12" s="38"/>
      <c r="EI12" s="38"/>
      <c r="EJ12" s="38"/>
      <c r="EK12" s="74"/>
      <c r="EL12" s="74"/>
      <c r="EM12" s="74"/>
      <c r="EN12" s="74"/>
      <c r="EO12" s="74"/>
      <c r="EP12" s="38"/>
      <c r="EQ12" s="55"/>
      <c r="ER12" s="38"/>
      <c r="ES12" s="55"/>
      <c r="ET12" s="55"/>
      <c r="EU12" s="55"/>
      <c r="EV12" s="38"/>
      <c r="EW12" s="38"/>
      <c r="EX12" s="38"/>
      <c r="EY12" s="38"/>
      <c r="EZ12" s="38"/>
      <c r="FA12" s="38"/>
      <c r="FB12" s="38"/>
      <c r="FC12" s="55"/>
      <c r="FD12" s="55"/>
      <c r="FE12" s="55"/>
      <c r="FF12" s="55"/>
      <c r="FG12" s="55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55"/>
      <c r="GZ12" s="55"/>
      <c r="HA12" s="55"/>
      <c r="HB12" s="55"/>
      <c r="HC12" s="55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</row>
    <row r="13" spans="1:229" ht="13.5" thickBot="1">
      <c r="A13" s="36" t="s">
        <v>4</v>
      </c>
      <c r="C13" s="54">
        <f>SUM(C8:C12)</f>
        <v>13405000</v>
      </c>
      <c r="D13" s="54">
        <f>SUM(D8:D12)</f>
        <v>1013500</v>
      </c>
      <c r="E13" s="54">
        <f>SUM(E8:E12)</f>
        <v>14418500</v>
      </c>
      <c r="F13" s="54">
        <f>SUM(F8:F12)</f>
        <v>1191780</v>
      </c>
      <c r="G13" s="54">
        <f>SUM(G8:G12)</f>
        <v>131860</v>
      </c>
      <c r="I13" s="54">
        <f>SUM(I8:I12)</f>
        <v>2378168.9855000004</v>
      </c>
      <c r="J13" s="54">
        <f>SUM(J8:J12)</f>
        <v>179804.12285000004</v>
      </c>
      <c r="K13" s="54">
        <f>SUM(K8:K12)</f>
        <v>2557973.1083500003</v>
      </c>
      <c r="L13" s="54">
        <f>SUM(L8:L12)</f>
        <v>211432.61719799996</v>
      </c>
      <c r="M13" s="54">
        <f>SUM(M8:M12)</f>
        <v>23393.163925999997</v>
      </c>
      <c r="O13" s="54">
        <f>SUM(O8:O12)</f>
        <v>11026831.0145</v>
      </c>
      <c r="P13" s="54">
        <f>SUM(P8:P12)</f>
        <v>833695.8771500001</v>
      </c>
      <c r="Q13" s="54">
        <f>SUM(Q8:Q12)</f>
        <v>11860526.891649999</v>
      </c>
      <c r="R13" s="54">
        <f>SUM(R8:R12)</f>
        <v>980347.3828019998</v>
      </c>
      <c r="S13" s="54">
        <f>SUM(S8:S12)</f>
        <v>108466.83607399999</v>
      </c>
      <c r="U13" s="54">
        <f>SUM(U8:U12)</f>
        <v>2327.108</v>
      </c>
      <c r="V13" s="54">
        <f>SUM(V8:V12)</f>
        <v>175.9436</v>
      </c>
      <c r="W13" s="54">
        <f>SUM(W8:W12)</f>
        <v>2503.0516000000002</v>
      </c>
      <c r="X13" s="54">
        <f>SUM(X8:X12)</f>
        <v>206.89300799999998</v>
      </c>
      <c r="Y13" s="54">
        <f>SUM(Y8:Y12)</f>
        <v>22.890895999999998</v>
      </c>
      <c r="AA13" s="54">
        <f>SUM(AA8:AA12)</f>
        <v>301377.9125</v>
      </c>
      <c r="AB13" s="54">
        <f>SUM(AB8:AB12)</f>
        <v>22786.01375</v>
      </c>
      <c r="AC13" s="54">
        <f>SUM(AC8:AC12)</f>
        <v>324163.92624999996</v>
      </c>
      <c r="AD13" s="54">
        <f>SUM(AD8:AD12)</f>
        <v>26794.19385</v>
      </c>
      <c r="AE13" s="54">
        <f>SUM(AE8:AE12)</f>
        <v>2964.54245</v>
      </c>
      <c r="AF13" s="38"/>
      <c r="AG13" s="54">
        <f>SUM(AG8:AG12)</f>
        <v>1862741.3734999998</v>
      </c>
      <c r="AH13" s="54">
        <f>SUM(AH8:AH12)</f>
        <v>140834.64245</v>
      </c>
      <c r="AI13" s="54">
        <f>SUM(AI8:AI12)</f>
        <v>2003576.01595</v>
      </c>
      <c r="AJ13" s="54">
        <f>SUM(AJ8:AJ12)</f>
        <v>165608.199486</v>
      </c>
      <c r="AK13" s="54">
        <f>SUM(AK8:AK12)</f>
        <v>18323.094181999997</v>
      </c>
      <c r="AL13" s="38"/>
      <c r="AM13" s="54">
        <f>SUM(AM8:AM12)</f>
        <v>18884.964</v>
      </c>
      <c r="AN13" s="54">
        <f>SUM(AN8:AN12)</f>
        <v>1427.8188000000002</v>
      </c>
      <c r="AO13" s="54">
        <f>SUM(AO8:AO12)</f>
        <v>20312.7828</v>
      </c>
      <c r="AP13" s="54">
        <f>SUM(AP8:AP12)</f>
        <v>1678.979664</v>
      </c>
      <c r="AQ13" s="54">
        <f>SUM(AQ8:AQ12)</f>
        <v>185.764368</v>
      </c>
      <c r="AR13" s="38"/>
      <c r="AS13" s="54">
        <f>SUM(AS8:AS12)</f>
        <v>526182.4434999999</v>
      </c>
      <c r="AT13" s="54">
        <f>SUM(AT8:AT12)</f>
        <v>39782.61145</v>
      </c>
      <c r="AU13" s="54">
        <f>SUM(AU8:AU12)</f>
        <v>565965.05495</v>
      </c>
      <c r="AV13" s="54">
        <f>SUM(AV8:AV12)</f>
        <v>46780.582806</v>
      </c>
      <c r="AW13" s="54">
        <f>SUM(AW8:AW12)</f>
        <v>5175.861022</v>
      </c>
      <c r="AX13" s="38"/>
      <c r="AY13" s="54">
        <f>SUM(AY8:AY12)</f>
        <v>37058.1225</v>
      </c>
      <c r="AZ13" s="54">
        <f>SUM(AZ8:AZ12)</f>
        <v>2801.82075</v>
      </c>
      <c r="BA13" s="54">
        <f>SUM(BA8:BA12)</f>
        <v>39859.94325</v>
      </c>
      <c r="BB13" s="54">
        <f>SUM(BB8:BB12)</f>
        <v>3294.67581</v>
      </c>
      <c r="BC13" s="54">
        <f>SUM(BC8:BC12)</f>
        <v>364.52697</v>
      </c>
      <c r="BD13" s="38"/>
      <c r="BE13" s="54">
        <f>SUM(BE8:BE12)</f>
        <v>856673.335</v>
      </c>
      <c r="BF13" s="54">
        <f>SUM(BF8:BF12)</f>
        <v>64769.74449999999</v>
      </c>
      <c r="BG13" s="54">
        <f>SUM(BG8:BG12)</f>
        <v>921443.0795</v>
      </c>
      <c r="BH13" s="54">
        <f>SUM(BH8:BH12)</f>
        <v>76163.08446000001</v>
      </c>
      <c r="BI13" s="54">
        <f>SUM(BI8:BI12)</f>
        <v>8426.777020000001</v>
      </c>
      <c r="BJ13" s="38"/>
      <c r="BK13" s="54">
        <f>SUM(BK8:BK12)</f>
        <v>29440.061</v>
      </c>
      <c r="BL13" s="54">
        <f>SUM(BL8:BL12)</f>
        <v>2225.8487</v>
      </c>
      <c r="BM13" s="54">
        <f>SUM(BM8:BM12)</f>
        <v>31665.9097</v>
      </c>
      <c r="BN13" s="54">
        <f>SUM(BN8:BN12)</f>
        <v>2617.387236</v>
      </c>
      <c r="BO13" s="54">
        <f>SUM(BO8:BO12)</f>
        <v>289.590932</v>
      </c>
      <c r="BP13" s="38"/>
      <c r="BQ13" s="54">
        <f>SUM(BQ8:BQ12)</f>
        <v>31741.699500000002</v>
      </c>
      <c r="BR13" s="54">
        <f>SUM(BR8:BR12)</f>
        <v>2399.86665</v>
      </c>
      <c r="BS13" s="54">
        <f>SUM(BS8:BS12)</f>
        <v>34141.56615</v>
      </c>
      <c r="BT13" s="54">
        <f>SUM(BT8:BT12)</f>
        <v>2822.015862</v>
      </c>
      <c r="BU13" s="54">
        <f>SUM(BU8:BU12)</f>
        <v>312.231294</v>
      </c>
      <c r="BV13" s="38"/>
      <c r="BW13" s="54">
        <f>SUM(BW8:BW12)</f>
        <v>8384.8275</v>
      </c>
      <c r="BX13" s="54">
        <f>SUM(BX8:BX12)</f>
        <v>633.9442499999999</v>
      </c>
      <c r="BY13" s="54">
        <f>SUM(BY8:BY12)</f>
        <v>9018.77175</v>
      </c>
      <c r="BZ13" s="54">
        <f>SUM(BZ8:BZ12)</f>
        <v>745.45839</v>
      </c>
      <c r="CA13" s="54">
        <f>SUM(CA8:CA12)</f>
        <v>82.47843</v>
      </c>
      <c r="CB13" s="38"/>
      <c r="CC13" s="54">
        <f>SUM(CC8:CC12)</f>
        <v>1863072.477</v>
      </c>
      <c r="CD13" s="54">
        <f>SUM(CD8:CD12)</f>
        <v>140859.6759</v>
      </c>
      <c r="CE13" s="54">
        <f>SUM(CE8:CE12)</f>
        <v>2003932.1529</v>
      </c>
      <c r="CF13" s="54">
        <f>SUM(CF8:CF12)</f>
        <v>165637.636452</v>
      </c>
      <c r="CG13" s="54">
        <f>SUM(CG8:CG12)</f>
        <v>18326.351124</v>
      </c>
      <c r="CH13" s="38"/>
      <c r="CI13" s="54">
        <f>SUM(CI8:CI12)</f>
        <v>25555.292</v>
      </c>
      <c r="CJ13" s="54">
        <f>SUM(CJ8:CJ12)</f>
        <v>1932.1363999999999</v>
      </c>
      <c r="CK13" s="54">
        <f>SUM(CK8:CK12)</f>
        <v>27487.428400000004</v>
      </c>
      <c r="CL13" s="54">
        <f>SUM(CL8:CL12)</f>
        <v>2272.009392</v>
      </c>
      <c r="CM13" s="54">
        <f>SUM(CM8:CM12)</f>
        <v>251.377904</v>
      </c>
      <c r="CN13" s="38"/>
      <c r="CO13" s="54">
        <f>SUM(CO8:CO12)</f>
        <v>30277.873499999994</v>
      </c>
      <c r="CP13" s="54">
        <f>SUM(CP8:CP12)</f>
        <v>2289.19245</v>
      </c>
      <c r="CQ13" s="54">
        <f>SUM(CQ8:CQ12)</f>
        <v>32567.065949999997</v>
      </c>
      <c r="CR13" s="54">
        <f>SUM(CR8:CR12)</f>
        <v>2691.8734860000004</v>
      </c>
      <c r="CS13" s="54">
        <f>SUM(CS8:CS12)</f>
        <v>297.83218200000005</v>
      </c>
      <c r="CT13" s="38"/>
      <c r="CU13" s="54">
        <f>SUM(CU8:CU12)</f>
        <v>361200.40599999996</v>
      </c>
      <c r="CV13" s="54">
        <f>SUM(CV8:CV12)</f>
        <v>27308.960199999994</v>
      </c>
      <c r="CW13" s="54">
        <f>SUM(CW8:CW12)</f>
        <v>388509.36619999993</v>
      </c>
      <c r="CX13" s="54">
        <f>SUM(CX8:CX12)</f>
        <v>32112.750455999998</v>
      </c>
      <c r="CY13" s="54">
        <f>SUM(CY8:CY12)</f>
        <v>3552.994072</v>
      </c>
      <c r="CZ13" s="38"/>
      <c r="DA13" s="54">
        <f>SUM(DA8:DA12)</f>
        <v>32730.9885</v>
      </c>
      <c r="DB13" s="54">
        <f>SUM(DB8:DB12)</f>
        <v>2474.66295</v>
      </c>
      <c r="DC13" s="54">
        <f>SUM(DC8:DC12)</f>
        <v>35205.65145</v>
      </c>
      <c r="DD13" s="54">
        <f>SUM(DD8:DD12)</f>
        <v>2909.969226</v>
      </c>
      <c r="DE13" s="54">
        <f>SUM(DE8:DE12)</f>
        <v>321.96256200000005</v>
      </c>
      <c r="DF13" s="38"/>
      <c r="DG13" s="54">
        <f>SUM(DG8:DG12)</f>
        <v>123363.53400000001</v>
      </c>
      <c r="DH13" s="54">
        <f>SUM(DH8:DH12)</f>
        <v>9327.0378</v>
      </c>
      <c r="DI13" s="54">
        <f>SUM(DI8:DI12)</f>
        <v>132690.5718</v>
      </c>
      <c r="DJ13" s="54">
        <f>SUM(DJ8:DJ12)</f>
        <v>10967.712984</v>
      </c>
      <c r="DK13" s="54">
        <f>SUM(DK8:DK12)</f>
        <v>1213.4812080000002</v>
      </c>
      <c r="DL13" s="38"/>
      <c r="DM13" s="54">
        <f>SUM(DM8:DM12)</f>
        <v>287200.78449999995</v>
      </c>
      <c r="DN13" s="54">
        <f>SUM(DN8:DN12)</f>
        <v>21714.13615</v>
      </c>
      <c r="DO13" s="54">
        <f>SUM(DO8:DO12)</f>
        <v>308914.92065</v>
      </c>
      <c r="DP13" s="54">
        <f>SUM(DP8:DP12)</f>
        <v>25533.767322</v>
      </c>
      <c r="DQ13" s="54">
        <f>SUM(DQ8:DQ12)</f>
        <v>2825.087314</v>
      </c>
      <c r="DR13" s="38"/>
      <c r="DS13" s="54">
        <f>SUM(DS8:DS12)</f>
        <v>139527.283</v>
      </c>
      <c r="DT13" s="54">
        <f>SUM(DT8:DT12)</f>
        <v>10549.116099999997</v>
      </c>
      <c r="DU13" s="54">
        <f>SUM(DU8:DU12)</f>
        <v>150076.39909999998</v>
      </c>
      <c r="DV13" s="54">
        <f>SUM(DV8:DV12)</f>
        <v>12404.761308000001</v>
      </c>
      <c r="DW13" s="54">
        <f>SUM(DW8:DW12)</f>
        <v>1372.477996</v>
      </c>
      <c r="DX13" s="38"/>
      <c r="DY13" s="54">
        <f>SUM(DY8:DY12)</f>
        <v>24024.441000000003</v>
      </c>
      <c r="DZ13" s="54">
        <f>SUM(DZ8:DZ12)</f>
        <v>1816.3946999999998</v>
      </c>
      <c r="EA13" s="54">
        <f>SUM(EA8:EA12)</f>
        <v>25840.835700000003</v>
      </c>
      <c r="EB13" s="54">
        <f>SUM(EB8:EB12)</f>
        <v>2135.908116</v>
      </c>
      <c r="EC13" s="54">
        <f>SUM(EC8:EC12)</f>
        <v>236.31949200000003</v>
      </c>
      <c r="ED13" s="47"/>
      <c r="EE13" s="54">
        <f>SUM(EE8:EE12)</f>
        <v>30970.911999999997</v>
      </c>
      <c r="EF13" s="54">
        <f>SUM(EF8:EF12)</f>
        <v>2341.5904</v>
      </c>
      <c r="EG13" s="54">
        <f>SUM(EG8:EG12)</f>
        <v>33312.5024</v>
      </c>
      <c r="EH13" s="54">
        <f>SUM(EH8:EH12)</f>
        <v>2753.4885120000004</v>
      </c>
      <c r="EI13" s="54">
        <f>SUM(EI8:EI12)</f>
        <v>304.64934400000004</v>
      </c>
      <c r="EJ13" s="38"/>
      <c r="EK13" s="75">
        <f>SUM(EK8:EK12)</f>
        <v>811540.0404999999</v>
      </c>
      <c r="EL13" s="75">
        <f>SUM(EL8:EL12)</f>
        <v>61357.39135</v>
      </c>
      <c r="EM13" s="75">
        <f>SUM(EM8:EM12)</f>
        <v>872897.43185</v>
      </c>
      <c r="EN13" s="75">
        <f>SUM(EN8:EN12)</f>
        <v>72150.480378</v>
      </c>
      <c r="EO13" s="75">
        <f>SUM(EO8:EO12)</f>
        <v>7982.817586</v>
      </c>
      <c r="EP13" s="38"/>
      <c r="EQ13" s="54">
        <f>SUM(EQ8:EQ12)</f>
        <v>203658.14349999998</v>
      </c>
      <c r="ER13" s="54">
        <f>SUM(ER8:ER12)</f>
        <v>15397.801449999997</v>
      </c>
      <c r="ES13" s="54">
        <f>SUM(ES8:ES12)</f>
        <v>219055.94494999998</v>
      </c>
      <c r="ET13" s="54">
        <f>SUM(ET8:ET12)</f>
        <v>18106.356005999998</v>
      </c>
      <c r="EU13" s="54">
        <f>SUM(EU8:EU12)</f>
        <v>2003.309422</v>
      </c>
      <c r="EV13" s="38"/>
      <c r="EW13" s="54">
        <f>SUM(EW8:EW12)</f>
        <v>296994.47750000004</v>
      </c>
      <c r="EX13" s="54">
        <f>SUM(EX8:EX12)</f>
        <v>22454.59925</v>
      </c>
      <c r="EY13" s="54">
        <f>SUM(EY8:EY12)</f>
        <v>319449.07675</v>
      </c>
      <c r="EZ13" s="54">
        <f>SUM(EZ8:EZ12)</f>
        <v>26404.48179</v>
      </c>
      <c r="FA13" s="54">
        <f>SUM(FA8:FA12)</f>
        <v>2921.42423</v>
      </c>
      <c r="FB13" s="38"/>
      <c r="FC13" s="54">
        <f>SUM(FC8:FC12)</f>
        <v>91.15400000000002</v>
      </c>
      <c r="FD13" s="54">
        <f>SUM(FD8:FD12)</f>
        <v>6.8918</v>
      </c>
      <c r="FE13" s="54">
        <f>SUM(FE8:FE12)</f>
        <v>98.04580000000001</v>
      </c>
      <c r="FF13" s="54">
        <f>SUM(FF8:FF12)</f>
        <v>8.104104</v>
      </c>
      <c r="FG13" s="54">
        <f>SUM(FG8:FG12)</f>
        <v>0.896648</v>
      </c>
      <c r="FH13" s="38"/>
      <c r="FI13" s="54">
        <f>SUM(FI8:FI12)</f>
        <v>195473.0505</v>
      </c>
      <c r="FJ13" s="54">
        <f>SUM(FJ8:FJ12)</f>
        <v>14778.95835</v>
      </c>
      <c r="FK13" s="54">
        <f>SUM(FK8:FK12)</f>
        <v>210252.00885</v>
      </c>
      <c r="FL13" s="54">
        <f>SUM(FL8:FL12)</f>
        <v>17378.655138000002</v>
      </c>
      <c r="FM13" s="54">
        <f>SUM(FM8:FM12)</f>
        <v>1922.795706</v>
      </c>
      <c r="FN13" s="38"/>
      <c r="FO13" s="54">
        <f>SUM(FO8:FO12)</f>
        <v>243314.155</v>
      </c>
      <c r="FP13" s="54">
        <f>SUM(FP8:FP12)</f>
        <v>18396.0385</v>
      </c>
      <c r="FQ13" s="54">
        <f>SUM(FQ8:FQ12)</f>
        <v>261710.1935</v>
      </c>
      <c r="FR13" s="54">
        <f>SUM(FR8:FR12)</f>
        <v>21631.99878</v>
      </c>
      <c r="FS13" s="54">
        <f>SUM(FS8:FS12)</f>
        <v>2393.39086</v>
      </c>
      <c r="FT13" s="38"/>
      <c r="FU13" s="54">
        <f>SUM(FU8:FU12)</f>
        <v>285092.17799999996</v>
      </c>
      <c r="FV13" s="54">
        <f>SUM(FV8:FV12)</f>
        <v>21554.7126</v>
      </c>
      <c r="FW13" s="54">
        <f>SUM(FW8:FW12)</f>
        <v>306646.8905999999</v>
      </c>
      <c r="FX13" s="54">
        <f>SUM(FX8:FX12)</f>
        <v>25346.300328</v>
      </c>
      <c r="FY13" s="54">
        <f>SUM(FY8:FY12)</f>
        <v>2804.345736</v>
      </c>
      <c r="FZ13" s="38"/>
      <c r="GA13" s="54">
        <f>SUM(GA8:GA12)</f>
        <v>909413.967</v>
      </c>
      <c r="GB13" s="54">
        <f>SUM(GB8:GB12)</f>
        <v>68757.2589</v>
      </c>
      <c r="GC13" s="54">
        <f>SUM(GC8:GC12)</f>
        <v>978171.2259</v>
      </c>
      <c r="GD13" s="54">
        <f>SUM(GD8:GD12)</f>
        <v>80852.023692</v>
      </c>
      <c r="GE13" s="54">
        <f>SUM(GE8:GE12)</f>
        <v>8945.567003999999</v>
      </c>
      <c r="GF13" s="38"/>
      <c r="GG13" s="54">
        <f>SUM(GG8:GG12)</f>
        <v>1459980.1055</v>
      </c>
      <c r="GH13" s="54">
        <f>SUM(GH8:GH12)</f>
        <v>110383.42684999999</v>
      </c>
      <c r="GI13" s="54">
        <f>SUM(GI8:GI12)</f>
        <v>1570363.53235</v>
      </c>
      <c r="GJ13" s="54">
        <f>SUM(GJ8:GJ12)</f>
        <v>129800.454318</v>
      </c>
      <c r="GK13" s="54">
        <f>SUM(GK8:GK12)</f>
        <v>14361.281366</v>
      </c>
      <c r="GL13" s="38"/>
      <c r="GM13" s="54">
        <f>SUM(GM8:GM12)</f>
        <v>4375.392</v>
      </c>
      <c r="GN13" s="54">
        <f>SUM(GN8:GN12)</f>
        <v>330.8064</v>
      </c>
      <c r="GO13" s="54">
        <f>SUM(GO8:GO12)</f>
        <v>4706.198399999999</v>
      </c>
      <c r="GP13" s="54">
        <f>SUM(GP8:GP12)</f>
        <v>388.99699200000003</v>
      </c>
      <c r="GQ13" s="54">
        <f>SUM(GQ8:GQ12)</f>
        <v>43.039104</v>
      </c>
      <c r="GR13" s="38"/>
      <c r="GS13" s="54">
        <f>SUM(GS8:GS12)</f>
        <v>24162.5125</v>
      </c>
      <c r="GT13" s="54">
        <f>SUM(GT8:GT12)</f>
        <v>1826.83375</v>
      </c>
      <c r="GU13" s="54">
        <f>SUM(GU8:GU12)</f>
        <v>25989.346250000002</v>
      </c>
      <c r="GV13" s="54">
        <f>SUM(GV8:GV12)</f>
        <v>2148.18345</v>
      </c>
      <c r="GW13" s="54">
        <f>SUM(GW8:GW12)</f>
        <v>237.67765</v>
      </c>
      <c r="GX13" s="38"/>
      <c r="GY13" s="54">
        <f>SUM(GY8:GY12)</f>
        <v>0</v>
      </c>
      <c r="GZ13" s="54">
        <f>SUM(GZ8:GZ12)</f>
        <v>0</v>
      </c>
      <c r="HA13" s="54">
        <f>SUM(HA8:HA12)</f>
        <v>0</v>
      </c>
      <c r="HB13" s="47"/>
      <c r="HC13" s="47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</row>
    <row r="14" spans="141:145" ht="13.5" thickTop="1">
      <c r="EK14" s="76"/>
      <c r="EL14" s="76"/>
      <c r="EM14" s="76"/>
      <c r="EN14" s="76"/>
      <c r="EO14" s="76"/>
    </row>
    <row r="15" spans="3:27" ht="12.75">
      <c r="C15" s="38">
        <f>I13+O13</f>
        <v>13405000</v>
      </c>
      <c r="D15" s="38">
        <f>J13+P13</f>
        <v>1013500.0000000001</v>
      </c>
      <c r="F15" s="38">
        <f>L13+R13</f>
        <v>1191779.9999999998</v>
      </c>
      <c r="G15" s="38">
        <f>M13+S13</f>
        <v>131860</v>
      </c>
      <c r="U15" s="38"/>
      <c r="AA15" s="38"/>
    </row>
  </sheetData>
  <sheetProtection/>
  <printOptions/>
  <pageMargins left="0.75" right="0.75" top="1" bottom="1" header="0.3" footer="0.3"/>
  <pageSetup horizontalDpi="600" verticalDpi="600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C13"/>
  <sheetViews>
    <sheetView workbookViewId="0" topLeftCell="A1">
      <selection activeCell="E17" sqref="E17"/>
    </sheetView>
  </sheetViews>
  <sheetFormatPr defaultColWidth="8.7109375" defaultRowHeight="12.75"/>
  <cols>
    <col min="1" max="1" width="9.7109375" style="22" customWidth="1"/>
    <col min="2" max="2" width="3.7109375" style="38" customWidth="1"/>
    <col min="3" max="6" width="13.7109375" style="0" customWidth="1"/>
    <col min="7" max="7" width="17.421875" style="0" customWidth="1"/>
    <col min="8" max="8" width="3.7109375" style="0" customWidth="1"/>
    <col min="9" max="12" width="13.7109375" style="0" customWidth="1"/>
    <col min="13" max="13" width="16.7109375" style="0" customWidth="1"/>
    <col min="14" max="14" width="3.7109375" style="0" customWidth="1"/>
    <col min="15" max="18" width="13.7109375" style="23" customWidth="1"/>
    <col min="19" max="19" width="15.7109375" style="23" customWidth="1"/>
    <col min="20" max="20" width="3.7109375" style="23" customWidth="1"/>
    <col min="21" max="24" width="13.7109375" style="23" customWidth="1"/>
    <col min="25" max="25" width="15.421875" style="23" customWidth="1"/>
    <col min="26" max="26" width="3.7109375" style="23" customWidth="1"/>
    <col min="27" max="30" width="13.7109375" style="23" customWidth="1"/>
    <col min="31" max="31" width="16.140625" style="23" customWidth="1"/>
    <col min="32" max="32" width="3.7109375" style="23" customWidth="1"/>
    <col min="33" max="36" width="13.7109375" style="23" customWidth="1"/>
    <col min="37" max="37" width="15.7109375" style="23" customWidth="1"/>
    <col min="38" max="38" width="3.7109375" style="23" customWidth="1"/>
    <col min="39" max="42" width="13.7109375" style="23" customWidth="1"/>
    <col min="43" max="43" width="15.7109375" style="23" customWidth="1"/>
    <col min="44" max="44" width="3.7109375" style="23" customWidth="1"/>
    <col min="45" max="48" width="13.7109375" style="23" customWidth="1"/>
    <col min="49" max="49" width="15.421875" style="23" customWidth="1"/>
    <col min="50" max="50" width="3.7109375" style="23" customWidth="1"/>
    <col min="51" max="54" width="13.7109375" style="23" customWidth="1"/>
    <col min="55" max="55" width="16.421875" style="23" customWidth="1"/>
    <col min="56" max="56" width="3.7109375" style="23" customWidth="1"/>
    <col min="57" max="60" width="13.7109375" style="23" customWidth="1"/>
    <col min="61" max="61" width="16.7109375" style="23" customWidth="1"/>
    <col min="62" max="62" width="3.7109375" style="23" customWidth="1"/>
    <col min="63" max="66" width="13.7109375" style="23" customWidth="1"/>
    <col min="67" max="67" width="16.421875" style="23" customWidth="1"/>
    <col min="68" max="68" width="3.7109375" style="23" customWidth="1"/>
    <col min="69" max="72" width="13.7109375" style="23" customWidth="1"/>
    <col min="73" max="73" width="15.7109375" style="23" customWidth="1"/>
    <col min="74" max="74" width="3.7109375" style="23" customWidth="1"/>
    <col min="75" max="78" width="13.7109375" style="23" customWidth="1"/>
    <col min="79" max="79" width="17.28125" style="23" customWidth="1"/>
    <col min="80" max="80" width="3.7109375" style="23" customWidth="1"/>
    <col min="81" max="84" width="13.7109375" style="23" customWidth="1"/>
    <col min="85" max="85" width="16.421875" style="23" customWidth="1"/>
    <col min="86" max="86" width="3.7109375" style="23" customWidth="1"/>
    <col min="87" max="90" width="13.7109375" style="23" customWidth="1"/>
    <col min="91" max="91" width="15.7109375" style="23" customWidth="1"/>
    <col min="92" max="92" width="3.7109375" style="23" customWidth="1"/>
    <col min="93" max="96" width="13.7109375" style="23" customWidth="1"/>
    <col min="97" max="97" width="16.00390625" style="23" customWidth="1"/>
    <col min="98" max="98" width="3.7109375" style="23" customWidth="1"/>
    <col min="99" max="102" width="13.7109375" style="23" customWidth="1"/>
    <col min="103" max="103" width="16.00390625" style="23" customWidth="1"/>
    <col min="104" max="104" width="3.7109375" style="23" customWidth="1"/>
    <col min="105" max="108" width="13.7109375" style="23" customWidth="1"/>
    <col min="109" max="109" width="16.7109375" style="23" customWidth="1"/>
    <col min="110" max="110" width="3.7109375" style="23" customWidth="1"/>
    <col min="111" max="114" width="13.7109375" style="23" customWidth="1"/>
    <col min="115" max="115" width="16.140625" style="23" customWidth="1"/>
    <col min="116" max="116" width="3.7109375" style="23" customWidth="1"/>
    <col min="117" max="120" width="13.7109375" style="23" customWidth="1"/>
    <col min="121" max="121" width="15.7109375" style="23" customWidth="1"/>
    <col min="122" max="122" width="3.7109375" style="23" customWidth="1"/>
    <col min="123" max="126" width="13.7109375" style="23" customWidth="1"/>
    <col min="127" max="127" width="16.140625" style="23" customWidth="1"/>
    <col min="128" max="128" width="3.7109375" style="23" customWidth="1"/>
    <col min="129" max="132" width="13.7109375" style="23" customWidth="1"/>
    <col min="133" max="133" width="15.421875" style="23" customWidth="1"/>
    <col min="134" max="134" width="3.7109375" style="23" customWidth="1"/>
    <col min="135" max="138" width="13.7109375" style="23" customWidth="1"/>
    <col min="139" max="139" width="15.421875" style="23" customWidth="1"/>
    <col min="140" max="140" width="3.7109375" style="23" customWidth="1"/>
    <col min="141" max="144" width="13.7109375" style="23" customWidth="1"/>
    <col min="145" max="145" width="16.7109375" style="23" customWidth="1"/>
    <col min="146" max="146" width="3.7109375" style="23" customWidth="1"/>
    <col min="147" max="150" width="13.7109375" style="23" customWidth="1"/>
    <col min="151" max="151" width="15.7109375" style="23" customWidth="1"/>
    <col min="152" max="152" width="3.7109375" style="23" customWidth="1"/>
    <col min="153" max="156" width="13.7109375" style="23" customWidth="1"/>
    <col min="157" max="157" width="16.28125" style="23" customWidth="1"/>
    <col min="158" max="158" width="3.7109375" style="23" customWidth="1"/>
    <col min="159" max="162" width="13.7109375" style="23" customWidth="1"/>
    <col min="163" max="163" width="15.7109375" style="23" customWidth="1"/>
    <col min="164" max="164" width="3.7109375" style="23" customWidth="1"/>
    <col min="165" max="168" width="13.7109375" style="23" customWidth="1"/>
    <col min="169" max="169" width="17.421875" style="23" customWidth="1"/>
    <col min="170" max="170" width="3.7109375" style="23" customWidth="1"/>
    <col min="171" max="174" width="13.7109375" style="23" customWidth="1"/>
    <col min="175" max="175" width="15.421875" style="23" customWidth="1"/>
    <col min="176" max="176" width="3.7109375" style="23" customWidth="1"/>
    <col min="177" max="180" width="13.7109375" style="23" customWidth="1"/>
    <col min="181" max="181" width="15.7109375" style="23" customWidth="1"/>
    <col min="182" max="182" width="3.7109375" style="23" customWidth="1"/>
    <col min="183" max="186" width="13.7109375" style="23" customWidth="1"/>
    <col min="187" max="187" width="15.7109375" style="23" customWidth="1"/>
    <col min="188" max="188" width="3.7109375" style="23" customWidth="1"/>
    <col min="189" max="192" width="13.7109375" style="23" customWidth="1"/>
    <col min="193" max="193" width="16.421875" style="23" customWidth="1"/>
    <col min="194" max="194" width="3.7109375" style="23" customWidth="1"/>
  </cols>
  <sheetData>
    <row r="1" spans="1:194" ht="12.75">
      <c r="A1" s="49"/>
      <c r="B1" s="33"/>
      <c r="C1" s="48"/>
      <c r="D1" s="50"/>
      <c r="E1" s="41"/>
      <c r="F1" s="38"/>
      <c r="G1" s="50"/>
      <c r="H1" s="38"/>
      <c r="I1" s="38"/>
      <c r="J1" s="38"/>
      <c r="K1" s="48"/>
      <c r="L1" s="50" t="s">
        <v>24</v>
      </c>
      <c r="M1" s="41"/>
      <c r="N1" s="38"/>
      <c r="O1" s="50"/>
      <c r="P1" s="38"/>
      <c r="Q1" s="38"/>
      <c r="R1" s="38"/>
      <c r="S1" s="50"/>
      <c r="T1" s="50"/>
      <c r="U1" s="41"/>
      <c r="V1" s="38"/>
      <c r="W1" s="48"/>
      <c r="X1" s="50" t="s">
        <v>24</v>
      </c>
      <c r="Y1"/>
      <c r="Z1" s="38"/>
      <c r="AA1"/>
      <c r="AB1"/>
      <c r="AC1"/>
      <c r="AD1" s="38"/>
      <c r="AE1" s="50"/>
      <c r="AF1" s="24"/>
      <c r="AH1" s="38"/>
      <c r="AI1" s="48"/>
      <c r="AJ1" s="50" t="s">
        <v>24</v>
      </c>
      <c r="AL1" s="38"/>
      <c r="AP1" s="38"/>
      <c r="AQ1" s="50"/>
      <c r="AR1" s="24"/>
      <c r="AT1" s="38"/>
      <c r="AU1" s="48"/>
      <c r="AV1" s="50" t="s">
        <v>24</v>
      </c>
      <c r="AX1" s="38"/>
      <c r="BB1" s="38"/>
      <c r="BC1" s="50"/>
      <c r="BD1" s="24"/>
      <c r="BF1" s="38"/>
      <c r="BG1" s="48"/>
      <c r="BH1" s="50" t="s">
        <v>24</v>
      </c>
      <c r="BJ1" s="38"/>
      <c r="BK1" s="50"/>
      <c r="BN1" s="38"/>
      <c r="BO1" s="50"/>
      <c r="BR1" s="38"/>
      <c r="BS1" s="48"/>
      <c r="BT1" s="50" t="s">
        <v>24</v>
      </c>
      <c r="BV1" s="38"/>
      <c r="BZ1" s="38"/>
      <c r="CA1" s="50"/>
      <c r="CD1" s="38"/>
      <c r="CE1" s="48"/>
      <c r="CF1" s="50" t="s">
        <v>24</v>
      </c>
      <c r="CH1" s="38"/>
      <c r="CL1" s="38"/>
      <c r="CM1" s="50"/>
      <c r="CP1" s="38"/>
      <c r="CQ1" s="48"/>
      <c r="CR1" s="50" t="s">
        <v>24</v>
      </c>
      <c r="CT1" s="38"/>
      <c r="CV1" s="24"/>
      <c r="CX1" s="38"/>
      <c r="CY1" s="50"/>
      <c r="DB1" s="38"/>
      <c r="DC1" s="48"/>
      <c r="DD1" s="50" t="s">
        <v>24</v>
      </c>
      <c r="DF1" s="38"/>
      <c r="DG1" s="50"/>
      <c r="DJ1" s="38"/>
      <c r="DK1" s="50"/>
      <c r="DN1" s="38"/>
      <c r="DO1" s="48"/>
      <c r="DP1" s="50" t="s">
        <v>24</v>
      </c>
      <c r="DR1" s="38"/>
      <c r="DS1" s="50"/>
      <c r="DV1" s="38"/>
      <c r="DW1" s="50"/>
      <c r="DZ1" s="38"/>
      <c r="EA1" s="48"/>
      <c r="EB1" s="50" t="s">
        <v>24</v>
      </c>
      <c r="ED1" s="38"/>
      <c r="EH1" s="38"/>
      <c r="EI1" s="50"/>
      <c r="EL1" s="38"/>
      <c r="EM1" s="48"/>
      <c r="EN1" s="50" t="s">
        <v>24</v>
      </c>
      <c r="EP1" s="38"/>
      <c r="ET1" s="38"/>
      <c r="EU1" s="50"/>
      <c r="EX1"/>
      <c r="EY1" s="48"/>
      <c r="EZ1" s="50" t="s">
        <v>24</v>
      </c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</row>
    <row r="2" spans="1:194" ht="12.75">
      <c r="A2" s="49"/>
      <c r="B2" s="33"/>
      <c r="C2" s="48"/>
      <c r="D2" s="50"/>
      <c r="E2" s="41"/>
      <c r="F2" s="38"/>
      <c r="G2" s="50"/>
      <c r="H2" s="38"/>
      <c r="I2" s="38"/>
      <c r="J2" s="38"/>
      <c r="K2" s="50" t="s">
        <v>187</v>
      </c>
      <c r="L2" s="38"/>
      <c r="M2" s="41"/>
      <c r="N2" s="38"/>
      <c r="O2" s="50"/>
      <c r="P2" s="38"/>
      <c r="Q2" s="38"/>
      <c r="R2" s="38"/>
      <c r="S2" s="50"/>
      <c r="T2" s="50"/>
      <c r="U2" s="41"/>
      <c r="V2" s="38"/>
      <c r="W2" s="50" t="str">
        <f>K2</f>
        <v>         Distribution of Debt Services after 2017B Bond Issue</v>
      </c>
      <c r="X2" s="38"/>
      <c r="Y2"/>
      <c r="Z2" s="38"/>
      <c r="AA2"/>
      <c r="AB2"/>
      <c r="AC2"/>
      <c r="AD2" s="38"/>
      <c r="AE2" s="50"/>
      <c r="AF2" s="24"/>
      <c r="AH2" s="38"/>
      <c r="AI2" s="50" t="str">
        <f>W2</f>
        <v>         Distribution of Debt Services after 2017B Bond Issue</v>
      </c>
      <c r="AJ2" s="38"/>
      <c r="AL2" s="38"/>
      <c r="AP2" s="38"/>
      <c r="AQ2" s="50"/>
      <c r="AR2" s="24"/>
      <c r="AT2" s="38"/>
      <c r="AU2" s="50" t="str">
        <f>AI2</f>
        <v>         Distribution of Debt Services after 2017B Bond Issue</v>
      </c>
      <c r="AV2" s="38"/>
      <c r="AX2" s="38"/>
      <c r="BB2" s="38"/>
      <c r="BC2" s="50"/>
      <c r="BD2" s="24"/>
      <c r="BF2" s="38"/>
      <c r="BG2" s="50" t="str">
        <f>AU2</f>
        <v>         Distribution of Debt Services after 2017B Bond Issue</v>
      </c>
      <c r="BH2" s="38"/>
      <c r="BJ2" s="38"/>
      <c r="BK2" s="50"/>
      <c r="BN2" s="38"/>
      <c r="BO2" s="50"/>
      <c r="BR2" s="38"/>
      <c r="BS2" s="50" t="str">
        <f>BG2</f>
        <v>         Distribution of Debt Services after 2017B Bond Issue</v>
      </c>
      <c r="BT2" s="38"/>
      <c r="BV2" s="38"/>
      <c r="BZ2" s="38"/>
      <c r="CA2" s="50"/>
      <c r="CD2" s="38"/>
      <c r="CE2" s="50" t="str">
        <f>BS2</f>
        <v>         Distribution of Debt Services after 2017B Bond Issue</v>
      </c>
      <c r="CF2" s="38"/>
      <c r="CH2" s="38"/>
      <c r="CL2" s="38"/>
      <c r="CM2" s="50"/>
      <c r="CP2" s="38"/>
      <c r="CQ2" s="50" t="str">
        <f>CE2</f>
        <v>         Distribution of Debt Services after 2017B Bond Issue</v>
      </c>
      <c r="CR2" s="38"/>
      <c r="CT2" s="38"/>
      <c r="CV2" s="24"/>
      <c r="CX2" s="38"/>
      <c r="CY2" s="50"/>
      <c r="DB2" s="38"/>
      <c r="DC2" s="50" t="str">
        <f>CQ2</f>
        <v>         Distribution of Debt Services after 2017B Bond Issue</v>
      </c>
      <c r="DD2" s="38"/>
      <c r="DF2" s="38"/>
      <c r="DG2" s="50"/>
      <c r="DJ2" s="38"/>
      <c r="DK2" s="50"/>
      <c r="DN2" s="38"/>
      <c r="DO2" s="50" t="str">
        <f>DC2</f>
        <v>         Distribution of Debt Services after 2017B Bond Issue</v>
      </c>
      <c r="DP2" s="38"/>
      <c r="DR2" s="38"/>
      <c r="DS2" s="50"/>
      <c r="DV2" s="38"/>
      <c r="DW2" s="50"/>
      <c r="DZ2" s="38"/>
      <c r="EA2" s="50" t="str">
        <f>DO2</f>
        <v>         Distribution of Debt Services after 2017B Bond Issue</v>
      </c>
      <c r="EB2" s="38"/>
      <c r="ED2" s="38"/>
      <c r="EH2" s="38"/>
      <c r="EI2" s="50"/>
      <c r="EL2" s="38"/>
      <c r="EM2" s="50" t="str">
        <f>EA2</f>
        <v>         Distribution of Debt Services after 2017B Bond Issue</v>
      </c>
      <c r="EN2" s="38"/>
      <c r="EP2" s="38"/>
      <c r="ET2" s="38"/>
      <c r="EU2" s="50"/>
      <c r="EX2"/>
      <c r="EY2" s="50" t="str">
        <f>EM2</f>
        <v>         Distribution of Debt Services after 2017B Bond Issue</v>
      </c>
      <c r="EZ2" s="38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</row>
    <row r="3" spans="1:194" ht="12.75">
      <c r="A3" s="49"/>
      <c r="B3" s="33"/>
      <c r="C3" s="48"/>
      <c r="D3" s="48"/>
      <c r="E3" s="41"/>
      <c r="F3" s="38"/>
      <c r="G3" s="50"/>
      <c r="H3" s="38"/>
      <c r="I3" s="38"/>
      <c r="J3" s="38"/>
      <c r="K3" s="48"/>
      <c r="L3" s="50" t="s">
        <v>85</v>
      </c>
      <c r="M3" s="41"/>
      <c r="N3" s="38"/>
      <c r="O3" s="50"/>
      <c r="P3" s="38"/>
      <c r="Q3" s="38"/>
      <c r="R3" s="38"/>
      <c r="S3" s="50"/>
      <c r="T3" s="48"/>
      <c r="U3" s="41"/>
      <c r="V3" s="38"/>
      <c r="W3" s="48"/>
      <c r="X3" s="50" t="s">
        <v>85</v>
      </c>
      <c r="Y3"/>
      <c r="Z3" s="38"/>
      <c r="AA3"/>
      <c r="AB3"/>
      <c r="AC3"/>
      <c r="AD3" s="38"/>
      <c r="AE3" s="50"/>
      <c r="AH3" s="38"/>
      <c r="AI3" s="48"/>
      <c r="AJ3" s="50" t="s">
        <v>85</v>
      </c>
      <c r="AL3" s="38"/>
      <c r="AP3" s="38"/>
      <c r="AQ3" s="50"/>
      <c r="AT3" s="38"/>
      <c r="AU3" s="48"/>
      <c r="AV3" s="50" t="s">
        <v>85</v>
      </c>
      <c r="AX3" s="38"/>
      <c r="BB3" s="38"/>
      <c r="BC3" s="50"/>
      <c r="BF3" s="38"/>
      <c r="BG3" s="48"/>
      <c r="BH3" s="50" t="s">
        <v>85</v>
      </c>
      <c r="BJ3" s="38"/>
      <c r="BK3" s="50"/>
      <c r="BN3" s="38"/>
      <c r="BO3" s="50"/>
      <c r="BR3" s="38"/>
      <c r="BS3" s="48"/>
      <c r="BT3" s="50" t="s">
        <v>85</v>
      </c>
      <c r="BV3" s="38"/>
      <c r="BZ3" s="38"/>
      <c r="CA3" s="50"/>
      <c r="CD3" s="38"/>
      <c r="CE3" s="48"/>
      <c r="CF3" s="50" t="s">
        <v>85</v>
      </c>
      <c r="CH3" s="38"/>
      <c r="CL3" s="38"/>
      <c r="CM3" s="50"/>
      <c r="CP3" s="38"/>
      <c r="CQ3" s="48"/>
      <c r="CR3" s="50" t="s">
        <v>85</v>
      </c>
      <c r="CT3" s="38"/>
      <c r="CX3" s="38"/>
      <c r="CY3" s="50"/>
      <c r="DB3" s="38"/>
      <c r="DC3" s="48"/>
      <c r="DD3" s="50" t="s">
        <v>85</v>
      </c>
      <c r="DF3" s="38"/>
      <c r="DG3" s="50"/>
      <c r="DJ3" s="38"/>
      <c r="DK3" s="50"/>
      <c r="DN3" s="38"/>
      <c r="DO3" s="48"/>
      <c r="DP3" s="50" t="s">
        <v>85</v>
      </c>
      <c r="DR3" s="38"/>
      <c r="DS3" s="50"/>
      <c r="DV3" s="38"/>
      <c r="DW3" s="50"/>
      <c r="DZ3" s="38"/>
      <c r="EA3" s="48"/>
      <c r="EB3" s="50" t="s">
        <v>85</v>
      </c>
      <c r="ED3" s="38"/>
      <c r="EH3" s="38"/>
      <c r="EI3" s="50"/>
      <c r="EL3" s="38"/>
      <c r="EM3" s="48"/>
      <c r="EN3" s="50" t="s">
        <v>85</v>
      </c>
      <c r="EP3" s="38"/>
      <c r="ET3" s="38"/>
      <c r="EU3" s="50"/>
      <c r="EX3"/>
      <c r="EY3" s="48"/>
      <c r="EZ3" s="50" t="s">
        <v>85</v>
      </c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</row>
    <row r="4" spans="1:148" ht="12.75">
      <c r="A4" s="49"/>
      <c r="P4" s="24"/>
      <c r="V4" s="24"/>
      <c r="AH4" s="24"/>
      <c r="AZ4" s="24"/>
      <c r="DN4" s="24"/>
      <c r="ER4" s="24"/>
    </row>
    <row r="5" spans="1:194" ht="12.75">
      <c r="A5" s="25" t="s">
        <v>13</v>
      </c>
      <c r="C5" s="42" t="s">
        <v>86</v>
      </c>
      <c r="D5" s="43"/>
      <c r="E5" s="44"/>
      <c r="F5" s="46"/>
      <c r="G5" s="46"/>
      <c r="I5" s="26" t="s">
        <v>147</v>
      </c>
      <c r="J5" s="27"/>
      <c r="K5" s="28"/>
      <c r="L5" s="46"/>
      <c r="M5" s="46"/>
      <c r="O5" s="26" t="s">
        <v>149</v>
      </c>
      <c r="P5" s="27"/>
      <c r="Q5" s="28"/>
      <c r="R5" s="46"/>
      <c r="S5" s="46"/>
      <c r="U5" s="26" t="s">
        <v>151</v>
      </c>
      <c r="V5" s="27"/>
      <c r="W5" s="28"/>
      <c r="X5" s="46"/>
      <c r="Y5" s="46"/>
      <c r="AA5" s="26" t="s">
        <v>153</v>
      </c>
      <c r="AB5" s="27"/>
      <c r="AC5" s="28"/>
      <c r="AD5" s="46"/>
      <c r="AE5" s="46"/>
      <c r="AG5" s="26" t="s">
        <v>155</v>
      </c>
      <c r="AH5" s="27"/>
      <c r="AI5" s="28"/>
      <c r="AJ5" s="46"/>
      <c r="AK5" s="46"/>
      <c r="AL5" s="34"/>
      <c r="AM5" s="26" t="s">
        <v>156</v>
      </c>
      <c r="AN5" s="27"/>
      <c r="AO5" s="28"/>
      <c r="AP5" s="46"/>
      <c r="AQ5" s="46"/>
      <c r="AR5" s="34"/>
      <c r="AS5" s="26" t="s">
        <v>157</v>
      </c>
      <c r="AT5" s="27"/>
      <c r="AU5" s="28"/>
      <c r="AV5" s="46"/>
      <c r="AW5" s="46"/>
      <c r="AX5" s="34"/>
      <c r="AY5" s="26" t="s">
        <v>158</v>
      </c>
      <c r="AZ5" s="27"/>
      <c r="BA5" s="28"/>
      <c r="BB5" s="46"/>
      <c r="BC5" s="46"/>
      <c r="BD5" s="34"/>
      <c r="BE5" s="26" t="s">
        <v>159</v>
      </c>
      <c r="BF5" s="27"/>
      <c r="BG5" s="28"/>
      <c r="BH5" s="46"/>
      <c r="BI5" s="46"/>
      <c r="BJ5" s="34"/>
      <c r="BK5" s="26" t="s">
        <v>160</v>
      </c>
      <c r="BL5" s="27"/>
      <c r="BM5" s="28"/>
      <c r="BN5" s="46"/>
      <c r="BO5" s="46"/>
      <c r="BQ5" s="26" t="s">
        <v>161</v>
      </c>
      <c r="BR5" s="27"/>
      <c r="BS5" s="28"/>
      <c r="BT5" s="46"/>
      <c r="BU5" s="46"/>
      <c r="BW5" s="26" t="s">
        <v>162</v>
      </c>
      <c r="BX5" s="27"/>
      <c r="BY5" s="28"/>
      <c r="BZ5" s="46"/>
      <c r="CA5" s="46"/>
      <c r="CC5" s="26" t="s">
        <v>163</v>
      </c>
      <c r="CD5" s="27"/>
      <c r="CE5" s="28"/>
      <c r="CF5" s="46"/>
      <c r="CG5" s="46"/>
      <c r="CI5" s="26" t="s">
        <v>182</v>
      </c>
      <c r="CJ5" s="27"/>
      <c r="CK5" s="28"/>
      <c r="CL5" s="46"/>
      <c r="CM5" s="46"/>
      <c r="CO5" s="61" t="s">
        <v>164</v>
      </c>
      <c r="CP5" s="27"/>
      <c r="CQ5" s="28"/>
      <c r="CR5" s="46"/>
      <c r="CS5" s="46"/>
      <c r="CU5" s="26" t="s">
        <v>166</v>
      </c>
      <c r="CV5" s="27"/>
      <c r="CW5" s="28"/>
      <c r="CX5" s="46"/>
      <c r="CY5" s="46"/>
      <c r="DA5" s="26" t="s">
        <v>165</v>
      </c>
      <c r="DB5" s="27"/>
      <c r="DC5" s="28"/>
      <c r="DD5" s="46"/>
      <c r="DE5" s="46"/>
      <c r="DG5" s="26" t="s">
        <v>167</v>
      </c>
      <c r="DH5" s="27"/>
      <c r="DI5" s="28"/>
      <c r="DJ5" s="46"/>
      <c r="DK5" s="46"/>
      <c r="DM5" s="61" t="s">
        <v>168</v>
      </c>
      <c r="DN5" s="27"/>
      <c r="DO5" s="28"/>
      <c r="DP5" s="46"/>
      <c r="DQ5" s="46"/>
      <c r="DR5" s="34"/>
      <c r="DS5" s="26" t="s">
        <v>169</v>
      </c>
      <c r="DT5" s="27"/>
      <c r="DU5" s="28"/>
      <c r="DV5" s="46"/>
      <c r="DW5" s="46"/>
      <c r="DY5" s="26" t="s">
        <v>170</v>
      </c>
      <c r="DZ5" s="27"/>
      <c r="EA5" s="28"/>
      <c r="EB5" s="46"/>
      <c r="EC5" s="46"/>
      <c r="EE5" s="26" t="s">
        <v>171</v>
      </c>
      <c r="EF5" s="27"/>
      <c r="EG5" s="28"/>
      <c r="EH5" s="46"/>
      <c r="EI5" s="46"/>
      <c r="EJ5" s="34"/>
      <c r="EK5" s="26" t="s">
        <v>183</v>
      </c>
      <c r="EL5" s="27"/>
      <c r="EM5" s="28"/>
      <c r="EN5" s="46"/>
      <c r="EO5" s="46"/>
      <c r="EP5" s="34"/>
      <c r="EQ5" s="26" t="s">
        <v>172</v>
      </c>
      <c r="ER5" s="27"/>
      <c r="ES5" s="28"/>
      <c r="ET5" s="46"/>
      <c r="EU5" s="46"/>
      <c r="EV5" s="34"/>
      <c r="EW5" s="26" t="s">
        <v>173</v>
      </c>
      <c r="EX5" s="27"/>
      <c r="EY5" s="28"/>
      <c r="EZ5" s="46"/>
      <c r="FA5" s="46"/>
      <c r="FB5" s="34"/>
      <c r="FC5" s="26" t="s">
        <v>174</v>
      </c>
      <c r="FD5" s="27"/>
      <c r="FE5" s="28"/>
      <c r="FF5" s="46"/>
      <c r="FG5" s="46"/>
      <c r="FH5" s="34"/>
      <c r="FI5" s="26" t="s">
        <v>175</v>
      </c>
      <c r="FJ5" s="27"/>
      <c r="FK5" s="28"/>
      <c r="FL5" s="46"/>
      <c r="FM5" s="46"/>
      <c r="FN5" s="34"/>
      <c r="FO5" s="26" t="s">
        <v>176</v>
      </c>
      <c r="FP5" s="27"/>
      <c r="FQ5" s="28"/>
      <c r="FR5" s="46"/>
      <c r="FS5" s="46"/>
      <c r="FT5" s="34"/>
      <c r="FU5" s="26" t="s">
        <v>177</v>
      </c>
      <c r="FV5" s="27"/>
      <c r="FW5" s="28"/>
      <c r="FX5" s="46"/>
      <c r="FY5" s="46"/>
      <c r="FZ5" s="34"/>
      <c r="GA5" s="26" t="s">
        <v>178</v>
      </c>
      <c r="GB5" s="27"/>
      <c r="GC5" s="28"/>
      <c r="GD5" s="46"/>
      <c r="GE5" s="46"/>
      <c r="GF5" s="34"/>
      <c r="GG5" s="26" t="s">
        <v>184</v>
      </c>
      <c r="GH5" s="27"/>
      <c r="GI5" s="28"/>
      <c r="GJ5" s="46"/>
      <c r="GK5" s="46"/>
      <c r="GL5" s="34"/>
    </row>
    <row r="6" spans="1:194" s="13" customFormat="1" ht="12.75">
      <c r="A6" s="51" t="s">
        <v>14</v>
      </c>
      <c r="B6" s="38"/>
      <c r="C6" s="45"/>
      <c r="D6" s="58">
        <v>0.17740910000000007</v>
      </c>
      <c r="E6" s="44"/>
      <c r="F6" s="46" t="s">
        <v>179</v>
      </c>
      <c r="G6" s="46" t="s">
        <v>179</v>
      </c>
      <c r="I6" s="16" t="s">
        <v>148</v>
      </c>
      <c r="J6" s="37">
        <v>0.0071293</v>
      </c>
      <c r="K6" s="53"/>
      <c r="L6" s="46" t="s">
        <v>179</v>
      </c>
      <c r="M6" s="46" t="s">
        <v>179</v>
      </c>
      <c r="O6" s="16" t="s">
        <v>150</v>
      </c>
      <c r="P6" s="37">
        <v>0.0230884</v>
      </c>
      <c r="Q6" s="53"/>
      <c r="R6" s="46" t="s">
        <v>179</v>
      </c>
      <c r="S6" s="46" t="s">
        <v>179</v>
      </c>
      <c r="U6" s="16" t="s">
        <v>152</v>
      </c>
      <c r="V6" s="37">
        <v>0.0013209</v>
      </c>
      <c r="W6" s="53"/>
      <c r="X6" s="46" t="s">
        <v>179</v>
      </c>
      <c r="Y6" s="46" t="s">
        <v>179</v>
      </c>
      <c r="AA6" s="16" t="s">
        <v>154</v>
      </c>
      <c r="AB6" s="37">
        <v>0.0051261</v>
      </c>
      <c r="AC6" s="53"/>
      <c r="AD6" s="46" t="s">
        <v>179</v>
      </c>
      <c r="AE6" s="46" t="s">
        <v>179</v>
      </c>
      <c r="AG6" s="52"/>
      <c r="AH6" s="37">
        <v>0.0132841</v>
      </c>
      <c r="AI6" s="53"/>
      <c r="AJ6" s="46" t="s">
        <v>179</v>
      </c>
      <c r="AK6" s="46" t="s">
        <v>179</v>
      </c>
      <c r="AL6" s="31"/>
      <c r="AM6" s="52"/>
      <c r="AN6" s="37">
        <v>0.0030359</v>
      </c>
      <c r="AO6" s="53"/>
      <c r="AP6" s="46" t="s">
        <v>179</v>
      </c>
      <c r="AQ6" s="46" t="s">
        <v>179</v>
      </c>
      <c r="AR6" s="31"/>
      <c r="AS6" s="52"/>
      <c r="AT6" s="37">
        <v>0.0395322</v>
      </c>
      <c r="AU6" s="53"/>
      <c r="AV6" s="46" t="s">
        <v>179</v>
      </c>
      <c r="AW6" s="46" t="s">
        <v>179</v>
      </c>
      <c r="AX6" s="31"/>
      <c r="AY6" s="52"/>
      <c r="AZ6" s="37">
        <v>0.0012272</v>
      </c>
      <c r="BA6" s="53"/>
      <c r="BB6" s="46" t="s">
        <v>179</v>
      </c>
      <c r="BC6" s="46" t="s">
        <v>179</v>
      </c>
      <c r="BD6" s="31"/>
      <c r="BE6" s="52"/>
      <c r="BF6" s="37">
        <v>0.0015937</v>
      </c>
      <c r="BG6" s="53"/>
      <c r="BH6" s="46" t="s">
        <v>179</v>
      </c>
      <c r="BI6" s="46" t="s">
        <v>179</v>
      </c>
      <c r="BJ6" s="31"/>
      <c r="BK6" s="52"/>
      <c r="BL6" s="37">
        <v>5.49E-05</v>
      </c>
      <c r="BM6" s="53"/>
      <c r="BN6" s="46" t="s">
        <v>179</v>
      </c>
      <c r="BO6" s="46" t="s">
        <v>179</v>
      </c>
      <c r="BQ6" s="52"/>
      <c r="BR6" s="37">
        <v>6.03E-05</v>
      </c>
      <c r="BS6" s="53"/>
      <c r="BT6" s="46" t="s">
        <v>179</v>
      </c>
      <c r="BU6" s="46" t="s">
        <v>179</v>
      </c>
      <c r="BW6" s="52"/>
      <c r="BX6" s="37">
        <v>0.005086</v>
      </c>
      <c r="BY6" s="53"/>
      <c r="BZ6" s="46" t="s">
        <v>179</v>
      </c>
      <c r="CA6" s="46" t="s">
        <v>179</v>
      </c>
      <c r="CC6" s="52"/>
      <c r="CD6" s="37">
        <v>0.0004093</v>
      </c>
      <c r="CE6" s="53"/>
      <c r="CF6" s="46" t="s">
        <v>179</v>
      </c>
      <c r="CG6" s="46" t="s">
        <v>179</v>
      </c>
      <c r="CI6" s="52"/>
      <c r="CJ6" s="37">
        <v>0.000464</v>
      </c>
      <c r="CK6" s="53"/>
      <c r="CL6" s="46" t="s">
        <v>179</v>
      </c>
      <c r="CM6" s="46" t="s">
        <v>179</v>
      </c>
      <c r="CO6" s="52"/>
      <c r="CP6" s="37">
        <v>0.0100903</v>
      </c>
      <c r="CQ6" s="53"/>
      <c r="CR6" s="46" t="s">
        <v>179</v>
      </c>
      <c r="CS6" s="46" t="s">
        <v>179</v>
      </c>
      <c r="CU6" s="52"/>
      <c r="CV6" s="37">
        <v>0.0062968</v>
      </c>
      <c r="CW6" s="53"/>
      <c r="CX6" s="46" t="s">
        <v>179</v>
      </c>
      <c r="CY6" s="46" t="s">
        <v>179</v>
      </c>
      <c r="DA6" s="52"/>
      <c r="DB6" s="37">
        <v>0.000199</v>
      </c>
      <c r="DC6" s="53"/>
      <c r="DD6" s="46" t="s">
        <v>179</v>
      </c>
      <c r="DE6" s="46" t="s">
        <v>179</v>
      </c>
      <c r="DG6" s="52"/>
      <c r="DH6" s="37">
        <v>0.000862</v>
      </c>
      <c r="DI6" s="53"/>
      <c r="DJ6" s="46" t="s">
        <v>179</v>
      </c>
      <c r="DK6" s="46" t="s">
        <v>179</v>
      </c>
      <c r="DM6" s="52"/>
      <c r="DN6" s="37">
        <v>0.0011413</v>
      </c>
      <c r="DO6" s="53"/>
      <c r="DP6" s="46" t="s">
        <v>179</v>
      </c>
      <c r="DQ6" s="46" t="s">
        <v>179</v>
      </c>
      <c r="DR6" s="31"/>
      <c r="DS6" s="52"/>
      <c r="DT6" s="37">
        <v>0.0068315</v>
      </c>
      <c r="DU6" s="53"/>
      <c r="DV6" s="46" t="s">
        <v>179</v>
      </c>
      <c r="DW6" s="46" t="s">
        <v>179</v>
      </c>
      <c r="DY6" s="52"/>
      <c r="DZ6" s="37">
        <v>0.0017145</v>
      </c>
      <c r="EA6" s="53"/>
      <c r="EB6" s="46" t="s">
        <v>179</v>
      </c>
      <c r="EC6" s="46" t="s">
        <v>179</v>
      </c>
      <c r="EE6" s="52"/>
      <c r="EF6" s="37">
        <v>0.0045461</v>
      </c>
      <c r="EG6" s="53"/>
      <c r="EH6" s="46" t="s">
        <v>179</v>
      </c>
      <c r="EI6" s="46" t="s">
        <v>179</v>
      </c>
      <c r="EJ6" s="31"/>
      <c r="EK6" s="52"/>
      <c r="EL6" s="37">
        <v>8.96E-05</v>
      </c>
      <c r="EM6" s="53"/>
      <c r="EN6" s="46" t="s">
        <v>179</v>
      </c>
      <c r="EO6" s="46" t="s">
        <v>179</v>
      </c>
      <c r="EP6" s="31"/>
      <c r="EQ6" s="52"/>
      <c r="ER6" s="37">
        <v>0.0026891</v>
      </c>
      <c r="ES6" s="53"/>
      <c r="ET6" s="46" t="s">
        <v>179</v>
      </c>
      <c r="EU6" s="46" t="s">
        <v>179</v>
      </c>
      <c r="EV6" s="31"/>
      <c r="EW6" s="52"/>
      <c r="EX6" s="37">
        <v>0.0072217</v>
      </c>
      <c r="EY6" s="53"/>
      <c r="EZ6" s="46" t="s">
        <v>179</v>
      </c>
      <c r="FA6" s="46" t="s">
        <v>179</v>
      </c>
      <c r="FB6" s="31"/>
      <c r="FC6" s="52"/>
      <c r="FD6" s="37">
        <v>0.0027764</v>
      </c>
      <c r="FE6" s="53"/>
      <c r="FF6" s="46" t="s">
        <v>179</v>
      </c>
      <c r="FG6" s="46" t="s">
        <v>179</v>
      </c>
      <c r="FH6" s="31"/>
      <c r="FI6" s="52"/>
      <c r="FJ6" s="37">
        <v>0.0196383</v>
      </c>
      <c r="FK6" s="53"/>
      <c r="FL6" s="46" t="s">
        <v>179</v>
      </c>
      <c r="FM6" s="46" t="s">
        <v>179</v>
      </c>
      <c r="FN6" s="31"/>
      <c r="FO6" s="52"/>
      <c r="FP6" s="37">
        <v>0.0066515</v>
      </c>
      <c r="FQ6" s="53"/>
      <c r="FR6" s="46" t="s">
        <v>179</v>
      </c>
      <c r="FS6" s="46" t="s">
        <v>179</v>
      </c>
      <c r="FT6" s="31"/>
      <c r="FU6" s="52"/>
      <c r="FV6" s="37">
        <v>0.0014374</v>
      </c>
      <c r="FW6" s="53"/>
      <c r="FX6" s="46" t="s">
        <v>179</v>
      </c>
      <c r="FY6" s="46" t="s">
        <v>179</v>
      </c>
      <c r="FZ6" s="31"/>
      <c r="GA6" s="52"/>
      <c r="GB6" s="37">
        <v>0.0037906</v>
      </c>
      <c r="GC6" s="53"/>
      <c r="GD6" s="46" t="s">
        <v>179</v>
      </c>
      <c r="GE6" s="46" t="s">
        <v>179</v>
      </c>
      <c r="GF6" s="31"/>
      <c r="GG6" s="52"/>
      <c r="GH6" s="37">
        <v>2.07E-05</v>
      </c>
      <c r="GI6" s="53"/>
      <c r="GJ6" s="46" t="s">
        <v>179</v>
      </c>
      <c r="GK6" s="46" t="s">
        <v>179</v>
      </c>
      <c r="GL6" s="31"/>
    </row>
    <row r="7" spans="1:194" ht="12.75">
      <c r="A7" s="29"/>
      <c r="C7" s="46" t="s">
        <v>15</v>
      </c>
      <c r="D7" s="46" t="s">
        <v>16</v>
      </c>
      <c r="E7" s="46" t="s">
        <v>4</v>
      </c>
      <c r="F7" s="46" t="s">
        <v>180</v>
      </c>
      <c r="G7" s="46" t="s">
        <v>181</v>
      </c>
      <c r="I7" s="30" t="s">
        <v>15</v>
      </c>
      <c r="J7" s="30" t="s">
        <v>16</v>
      </c>
      <c r="K7" s="30" t="s">
        <v>4</v>
      </c>
      <c r="L7" s="46" t="s">
        <v>180</v>
      </c>
      <c r="M7" s="46" t="s">
        <v>181</v>
      </c>
      <c r="O7" s="30" t="s">
        <v>15</v>
      </c>
      <c r="P7" s="30" t="s">
        <v>16</v>
      </c>
      <c r="Q7" s="30" t="s">
        <v>4</v>
      </c>
      <c r="R7" s="46" t="s">
        <v>180</v>
      </c>
      <c r="S7" s="46" t="s">
        <v>181</v>
      </c>
      <c r="U7" s="30" t="s">
        <v>15</v>
      </c>
      <c r="V7" s="30" t="s">
        <v>16</v>
      </c>
      <c r="W7" s="30" t="s">
        <v>4</v>
      </c>
      <c r="X7" s="46" t="s">
        <v>180</v>
      </c>
      <c r="Y7" s="46" t="s">
        <v>181</v>
      </c>
      <c r="AA7" s="30" t="s">
        <v>15</v>
      </c>
      <c r="AB7" s="30" t="s">
        <v>16</v>
      </c>
      <c r="AC7" s="30" t="s">
        <v>4</v>
      </c>
      <c r="AD7" s="46" t="s">
        <v>180</v>
      </c>
      <c r="AE7" s="46" t="s">
        <v>181</v>
      </c>
      <c r="AG7" s="30" t="s">
        <v>15</v>
      </c>
      <c r="AH7" s="30" t="s">
        <v>16</v>
      </c>
      <c r="AI7" s="30" t="s">
        <v>4</v>
      </c>
      <c r="AJ7" s="46" t="s">
        <v>180</v>
      </c>
      <c r="AK7" s="46" t="s">
        <v>181</v>
      </c>
      <c r="AL7" s="35"/>
      <c r="AM7" s="30" t="s">
        <v>15</v>
      </c>
      <c r="AN7" s="30" t="s">
        <v>16</v>
      </c>
      <c r="AO7" s="30" t="s">
        <v>4</v>
      </c>
      <c r="AP7" s="46" t="s">
        <v>180</v>
      </c>
      <c r="AQ7" s="46" t="s">
        <v>181</v>
      </c>
      <c r="AR7" s="35"/>
      <c r="AS7" s="30" t="s">
        <v>15</v>
      </c>
      <c r="AT7" s="30" t="s">
        <v>16</v>
      </c>
      <c r="AU7" s="30" t="s">
        <v>4</v>
      </c>
      <c r="AV7" s="46" t="s">
        <v>180</v>
      </c>
      <c r="AW7" s="46" t="s">
        <v>181</v>
      </c>
      <c r="AX7" s="35"/>
      <c r="AY7" s="30" t="s">
        <v>15</v>
      </c>
      <c r="AZ7" s="30" t="s">
        <v>16</v>
      </c>
      <c r="BA7" s="30" t="s">
        <v>4</v>
      </c>
      <c r="BB7" s="46" t="s">
        <v>180</v>
      </c>
      <c r="BC7" s="46" t="s">
        <v>181</v>
      </c>
      <c r="BD7" s="35"/>
      <c r="BE7" s="30" t="s">
        <v>15</v>
      </c>
      <c r="BF7" s="30" t="s">
        <v>16</v>
      </c>
      <c r="BG7" s="30" t="s">
        <v>4</v>
      </c>
      <c r="BH7" s="46" t="s">
        <v>180</v>
      </c>
      <c r="BI7" s="46" t="s">
        <v>181</v>
      </c>
      <c r="BJ7" s="35"/>
      <c r="BK7" s="30" t="s">
        <v>15</v>
      </c>
      <c r="BL7" s="30" t="s">
        <v>16</v>
      </c>
      <c r="BM7" s="30" t="s">
        <v>4</v>
      </c>
      <c r="BN7" s="46" t="s">
        <v>180</v>
      </c>
      <c r="BO7" s="46" t="s">
        <v>181</v>
      </c>
      <c r="BQ7" s="30" t="s">
        <v>15</v>
      </c>
      <c r="BR7" s="30" t="s">
        <v>16</v>
      </c>
      <c r="BS7" s="30" t="s">
        <v>4</v>
      </c>
      <c r="BT7" s="46" t="s">
        <v>180</v>
      </c>
      <c r="BU7" s="46" t="s">
        <v>181</v>
      </c>
      <c r="BW7" s="30" t="s">
        <v>15</v>
      </c>
      <c r="BX7" s="30" t="s">
        <v>16</v>
      </c>
      <c r="BY7" s="30" t="s">
        <v>4</v>
      </c>
      <c r="BZ7" s="46" t="s">
        <v>180</v>
      </c>
      <c r="CA7" s="46" t="s">
        <v>181</v>
      </c>
      <c r="CC7" s="30" t="s">
        <v>15</v>
      </c>
      <c r="CD7" s="30" t="s">
        <v>16</v>
      </c>
      <c r="CE7" s="30" t="s">
        <v>4</v>
      </c>
      <c r="CF7" s="46" t="s">
        <v>180</v>
      </c>
      <c r="CG7" s="46" t="s">
        <v>181</v>
      </c>
      <c r="CI7" s="30" t="s">
        <v>15</v>
      </c>
      <c r="CJ7" s="30" t="s">
        <v>16</v>
      </c>
      <c r="CK7" s="30" t="s">
        <v>4</v>
      </c>
      <c r="CL7" s="46" t="s">
        <v>180</v>
      </c>
      <c r="CM7" s="46" t="s">
        <v>181</v>
      </c>
      <c r="CO7" s="30" t="s">
        <v>15</v>
      </c>
      <c r="CP7" s="30" t="s">
        <v>16</v>
      </c>
      <c r="CQ7" s="30" t="s">
        <v>4</v>
      </c>
      <c r="CR7" s="46" t="s">
        <v>180</v>
      </c>
      <c r="CS7" s="46" t="s">
        <v>181</v>
      </c>
      <c r="CU7" s="30" t="s">
        <v>15</v>
      </c>
      <c r="CV7" s="30" t="s">
        <v>16</v>
      </c>
      <c r="CW7" s="30" t="s">
        <v>4</v>
      </c>
      <c r="CX7" s="46" t="s">
        <v>180</v>
      </c>
      <c r="CY7" s="46" t="s">
        <v>181</v>
      </c>
      <c r="DA7" s="30" t="s">
        <v>15</v>
      </c>
      <c r="DB7" s="30" t="s">
        <v>16</v>
      </c>
      <c r="DC7" s="30" t="s">
        <v>4</v>
      </c>
      <c r="DD7" s="46" t="s">
        <v>180</v>
      </c>
      <c r="DE7" s="46" t="s">
        <v>181</v>
      </c>
      <c r="DG7" s="30" t="s">
        <v>15</v>
      </c>
      <c r="DH7" s="30" t="s">
        <v>16</v>
      </c>
      <c r="DI7" s="30" t="s">
        <v>4</v>
      </c>
      <c r="DJ7" s="46" t="s">
        <v>180</v>
      </c>
      <c r="DK7" s="46" t="s">
        <v>181</v>
      </c>
      <c r="DM7" s="30" t="s">
        <v>15</v>
      </c>
      <c r="DN7" s="30" t="s">
        <v>16</v>
      </c>
      <c r="DO7" s="30" t="s">
        <v>4</v>
      </c>
      <c r="DP7" s="46" t="s">
        <v>180</v>
      </c>
      <c r="DQ7" s="46" t="s">
        <v>181</v>
      </c>
      <c r="DR7" s="35"/>
      <c r="DS7" s="30" t="s">
        <v>15</v>
      </c>
      <c r="DT7" s="30" t="s">
        <v>16</v>
      </c>
      <c r="DU7" s="30" t="s">
        <v>4</v>
      </c>
      <c r="DV7" s="46" t="s">
        <v>180</v>
      </c>
      <c r="DW7" s="46" t="s">
        <v>181</v>
      </c>
      <c r="DY7" s="30" t="s">
        <v>15</v>
      </c>
      <c r="DZ7" s="30" t="s">
        <v>16</v>
      </c>
      <c r="EA7" s="30" t="s">
        <v>4</v>
      </c>
      <c r="EB7" s="46" t="s">
        <v>180</v>
      </c>
      <c r="EC7" s="46" t="s">
        <v>181</v>
      </c>
      <c r="EE7" s="30" t="s">
        <v>15</v>
      </c>
      <c r="EF7" s="30" t="s">
        <v>16</v>
      </c>
      <c r="EG7" s="30" t="s">
        <v>4</v>
      </c>
      <c r="EH7" s="46" t="s">
        <v>180</v>
      </c>
      <c r="EI7" s="46" t="s">
        <v>181</v>
      </c>
      <c r="EJ7" s="35"/>
      <c r="EK7" s="30" t="s">
        <v>15</v>
      </c>
      <c r="EL7" s="30" t="s">
        <v>16</v>
      </c>
      <c r="EM7" s="30" t="s">
        <v>4</v>
      </c>
      <c r="EN7" s="46" t="s">
        <v>180</v>
      </c>
      <c r="EO7" s="46" t="s">
        <v>181</v>
      </c>
      <c r="EP7" s="35"/>
      <c r="EQ7" s="30" t="s">
        <v>15</v>
      </c>
      <c r="ER7" s="30" t="s">
        <v>16</v>
      </c>
      <c r="ES7" s="30" t="s">
        <v>4</v>
      </c>
      <c r="ET7" s="46" t="s">
        <v>180</v>
      </c>
      <c r="EU7" s="46" t="s">
        <v>181</v>
      </c>
      <c r="EV7" s="35"/>
      <c r="EW7" s="30" t="s">
        <v>15</v>
      </c>
      <c r="EX7" s="30" t="s">
        <v>16</v>
      </c>
      <c r="EY7" s="30" t="s">
        <v>4</v>
      </c>
      <c r="EZ7" s="46" t="s">
        <v>180</v>
      </c>
      <c r="FA7" s="46" t="s">
        <v>181</v>
      </c>
      <c r="FB7" s="35"/>
      <c r="FC7" s="30" t="s">
        <v>15</v>
      </c>
      <c r="FD7" s="30" t="s">
        <v>16</v>
      </c>
      <c r="FE7" s="30" t="s">
        <v>4</v>
      </c>
      <c r="FF7" s="46" t="s">
        <v>180</v>
      </c>
      <c r="FG7" s="46" t="s">
        <v>181</v>
      </c>
      <c r="FH7" s="35"/>
      <c r="FI7" s="30" t="s">
        <v>15</v>
      </c>
      <c r="FJ7" s="30" t="s">
        <v>16</v>
      </c>
      <c r="FK7" s="30" t="s">
        <v>4</v>
      </c>
      <c r="FL7" s="46" t="s">
        <v>180</v>
      </c>
      <c r="FM7" s="46" t="s">
        <v>181</v>
      </c>
      <c r="FN7" s="35"/>
      <c r="FO7" s="30" t="s">
        <v>15</v>
      </c>
      <c r="FP7" s="30" t="s">
        <v>16</v>
      </c>
      <c r="FQ7" s="30" t="s">
        <v>4</v>
      </c>
      <c r="FR7" s="46" t="s">
        <v>180</v>
      </c>
      <c r="FS7" s="46" t="s">
        <v>181</v>
      </c>
      <c r="FT7" s="35"/>
      <c r="FU7" s="30" t="s">
        <v>15</v>
      </c>
      <c r="FV7" s="30" t="s">
        <v>16</v>
      </c>
      <c r="FW7" s="30" t="s">
        <v>4</v>
      </c>
      <c r="FX7" s="46" t="s">
        <v>180</v>
      </c>
      <c r="FY7" s="46" t="s">
        <v>181</v>
      </c>
      <c r="FZ7" s="35"/>
      <c r="GA7" s="30" t="s">
        <v>15</v>
      </c>
      <c r="GB7" s="30" t="s">
        <v>16</v>
      </c>
      <c r="GC7" s="30" t="s">
        <v>4</v>
      </c>
      <c r="GD7" s="46" t="s">
        <v>180</v>
      </c>
      <c r="GE7" s="46" t="s">
        <v>181</v>
      </c>
      <c r="GF7" s="35"/>
      <c r="GG7" s="30" t="s">
        <v>15</v>
      </c>
      <c r="GH7" s="30" t="s">
        <v>16</v>
      </c>
      <c r="GI7" s="30" t="s">
        <v>4</v>
      </c>
      <c r="GJ7" s="46" t="s">
        <v>180</v>
      </c>
      <c r="GK7" s="46" t="s">
        <v>181</v>
      </c>
      <c r="GL7" s="35"/>
    </row>
    <row r="8" spans="1:211" s="57" customFormat="1" ht="12.75">
      <c r="A8" s="56">
        <v>44470</v>
      </c>
      <c r="B8" s="55"/>
      <c r="C8" s="38">
        <f aca="true" t="shared" si="0" ref="C8:G11">I8+O8+U8+AA8+AG8+AM8+AS8+AY8+BE8+BK8+BQ8+BW8+CC8+CI8+CO8+CU8+DA8+DG8+DM8+DS8+DY8+EE8+EK8+EQ8+EW8+FC8+FI8+FO8+FU8+GA8+GG8</f>
        <v>0</v>
      </c>
      <c r="D8" s="38">
        <f t="shared" si="0"/>
        <v>59454.22463750001</v>
      </c>
      <c r="E8" s="38">
        <f>C8+D8</f>
        <v>59454.22463750001</v>
      </c>
      <c r="F8" s="38">
        <f t="shared" si="0"/>
        <v>52858.15429949999</v>
      </c>
      <c r="G8" s="38">
        <f t="shared" si="0"/>
        <v>5848.290981499999</v>
      </c>
      <c r="I8" s="38">
        <f>J$6*'2017B'!$C8</f>
        <v>0</v>
      </c>
      <c r="J8" s="38">
        <f>J$6*'2017B'!$D8</f>
        <v>2389.2066624999998</v>
      </c>
      <c r="K8" s="38">
        <f>I8+J8</f>
        <v>2389.2066624999998</v>
      </c>
      <c r="L8" s="38">
        <f>J$6*'2017B'!$F8</f>
        <v>2124.1392885</v>
      </c>
      <c r="M8" s="38">
        <f>J$6*'2017B'!$G8</f>
        <v>235.0173745</v>
      </c>
      <c r="O8" s="38">
        <f>P$6*'2017B'!$C8</f>
        <v>0</v>
      </c>
      <c r="P8" s="38">
        <f>P$6*'2017B'!$D8</f>
        <v>7737.50005</v>
      </c>
      <c r="Q8" s="38">
        <f>O8+P8</f>
        <v>7737.50005</v>
      </c>
      <c r="R8" s="38">
        <f>P$6*'2017B'!$F8</f>
        <v>6879.073337999999</v>
      </c>
      <c r="S8" s="38">
        <f>P$6*'2017B'!$G8</f>
        <v>761.109106</v>
      </c>
      <c r="T8" s="55"/>
      <c r="U8" s="38">
        <f>V$6*'2017B'!$C8</f>
        <v>0</v>
      </c>
      <c r="V8" s="38">
        <f>V$6*'2017B'!$D8</f>
        <v>442.66661250000004</v>
      </c>
      <c r="W8" s="38">
        <f>U8+V8</f>
        <v>442.66661250000004</v>
      </c>
      <c r="X8" s="38">
        <f>V$6*'2017B'!$F8</f>
        <v>393.55555050000004</v>
      </c>
      <c r="Y8" s="38">
        <f>V$6*'2017B'!$G8</f>
        <v>43.5434685</v>
      </c>
      <c r="Z8" s="55"/>
      <c r="AA8" s="38">
        <f>AB$6*'2017B'!$C8</f>
        <v>0</v>
      </c>
      <c r="AB8" s="38">
        <f>AB$6*'2017B'!$D8</f>
        <v>1717.8842625</v>
      </c>
      <c r="AC8" s="38">
        <f>AA8+AB8</f>
        <v>1717.8842625</v>
      </c>
      <c r="AD8" s="38">
        <f>AB$6*'2017B'!$F8</f>
        <v>1527.2958644999999</v>
      </c>
      <c r="AE8" s="38">
        <f>AB$6*'2017B'!$G8</f>
        <v>168.9818865</v>
      </c>
      <c r="AF8" s="55"/>
      <c r="AG8" s="38">
        <f>AH$6*'2017B'!$C8</f>
        <v>0</v>
      </c>
      <c r="AH8" s="38">
        <f>AH$6*'2017B'!$D8</f>
        <v>4451.8340125</v>
      </c>
      <c r="AI8" s="38">
        <f>AG8+AH8</f>
        <v>4451.8340125</v>
      </c>
      <c r="AJ8" s="38">
        <f>AH$6*'2017B'!$F8</f>
        <v>3957.9311745</v>
      </c>
      <c r="AK8" s="38">
        <f>AH$6*'2017B'!$G8</f>
        <v>437.9103565</v>
      </c>
      <c r="AL8" s="55"/>
      <c r="AM8" s="38">
        <f>AN$6*'2017B'!$C8</f>
        <v>0</v>
      </c>
      <c r="AN8" s="38">
        <f>AN$6*'2017B'!$D8</f>
        <v>1017.4059874999999</v>
      </c>
      <c r="AO8" s="38">
        <f>AM8+AN8</f>
        <v>1017.4059874999999</v>
      </c>
      <c r="AP8" s="38">
        <f>AN$6*'2017B'!$F8</f>
        <v>904.5312254999999</v>
      </c>
      <c r="AQ8" s="38">
        <f>AN$6*'2017B'!$G8</f>
        <v>100.07844349999999</v>
      </c>
      <c r="AR8" s="55"/>
      <c r="AS8" s="38">
        <f>AT$6*'2017B'!$C8</f>
        <v>0</v>
      </c>
      <c r="AT8" s="38">
        <f>AT$6*'2017B'!$D8</f>
        <v>13248.228525</v>
      </c>
      <c r="AU8" s="38">
        <f>AS8+AT8</f>
        <v>13248.228525</v>
      </c>
      <c r="AV8" s="38">
        <f>AT$6*'2017B'!$F8</f>
        <v>11778.421329</v>
      </c>
      <c r="AW8" s="38">
        <f>AT$6*'2017B'!$G8</f>
        <v>1303.178973</v>
      </c>
      <c r="AX8" s="55"/>
      <c r="AY8" s="38">
        <f>AZ$6*'2017B'!$C8</f>
        <v>0</v>
      </c>
      <c r="AZ8" s="38">
        <f>AZ$6*'2017B'!$D8</f>
        <v>411.26539999999994</v>
      </c>
      <c r="BA8" s="38">
        <f>AY8+AZ8</f>
        <v>411.26539999999994</v>
      </c>
      <c r="BB8" s="38">
        <f>AZ$6*'2017B'!$F8</f>
        <v>365.638104</v>
      </c>
      <c r="BC8" s="38">
        <f>AZ$6*'2017B'!$G8</f>
        <v>40.454648</v>
      </c>
      <c r="BD8" s="55"/>
      <c r="BE8" s="38">
        <f>BF$6*'2017B'!$C8</f>
        <v>0</v>
      </c>
      <c r="BF8" s="38">
        <f>BF$6*'2017B'!$D8</f>
        <v>534.0887125</v>
      </c>
      <c r="BG8" s="38">
        <f>BE8+BF8</f>
        <v>534.0887125</v>
      </c>
      <c r="BH8" s="38">
        <f>BF$6*'2017B'!$F8</f>
        <v>474.8349465</v>
      </c>
      <c r="BI8" s="38">
        <f>BF$6*'2017B'!$G8</f>
        <v>52.5363205</v>
      </c>
      <c r="BJ8" s="55"/>
      <c r="BK8" s="38">
        <f>BL$6*'2017B'!$C8</f>
        <v>0</v>
      </c>
      <c r="BL8" s="38">
        <f>BL$6*'2017B'!$D8</f>
        <v>18.3983625</v>
      </c>
      <c r="BM8" s="38">
        <f>BK8+BL8</f>
        <v>18.3983625</v>
      </c>
      <c r="BN8" s="38">
        <f>BL$6*'2017B'!$F8</f>
        <v>16.3571805</v>
      </c>
      <c r="BO8" s="38">
        <f>BL$6*'2017B'!$G8</f>
        <v>1.8097785</v>
      </c>
      <c r="BP8" s="55"/>
      <c r="BQ8" s="38">
        <f>BR$6*'2017B'!$C8</f>
        <v>0</v>
      </c>
      <c r="BR8" s="38">
        <f>BR$6*'2017B'!$D8</f>
        <v>20.2080375</v>
      </c>
      <c r="BS8" s="38">
        <f>BQ8+BR8</f>
        <v>20.2080375</v>
      </c>
      <c r="BT8" s="38">
        <f>BR$6*'2017B'!$F8</f>
        <v>17.9660835</v>
      </c>
      <c r="BU8" s="38">
        <f>BR$6*'2017B'!$G8</f>
        <v>1.9877895</v>
      </c>
      <c r="BV8" s="55"/>
      <c r="BW8" s="38">
        <f>BX$6*'2017B'!$C8</f>
        <v>0</v>
      </c>
      <c r="BX8" s="38">
        <f>BX$6*'2017B'!$D8</f>
        <v>1704.44575</v>
      </c>
      <c r="BY8" s="38">
        <f>BW8+BX8</f>
        <v>1704.44575</v>
      </c>
      <c r="BZ8" s="38">
        <f>BX$6*'2017B'!$F8</f>
        <v>1515.3482700000002</v>
      </c>
      <c r="CA8" s="38">
        <f>BX$6*'2017B'!$G8</f>
        <v>167.65999000000002</v>
      </c>
      <c r="CB8" s="55"/>
      <c r="CC8" s="38">
        <f>CD$6*'2017B'!$C8</f>
        <v>0</v>
      </c>
      <c r="CD8" s="38">
        <f>CD$6*'2017B'!$D8</f>
        <v>137.1666625</v>
      </c>
      <c r="CE8" s="38">
        <f>CC8+CD8</f>
        <v>137.1666625</v>
      </c>
      <c r="CF8" s="38">
        <f>CD$6*'2017B'!$F8</f>
        <v>121.9488885</v>
      </c>
      <c r="CG8" s="38">
        <f>CD$6*'2017B'!$G8</f>
        <v>13.4925745</v>
      </c>
      <c r="CH8" s="55"/>
      <c r="CI8" s="38">
        <f>CJ$6*'2017B'!$C8</f>
        <v>0</v>
      </c>
      <c r="CJ8" s="38">
        <f>CJ$6*'2017B'!$D8</f>
        <v>155.498</v>
      </c>
      <c r="CK8" s="38">
        <f>CI8+CJ8</f>
        <v>155.498</v>
      </c>
      <c r="CL8" s="38">
        <f>CJ$6*'2017B'!$F8</f>
        <v>138.24648</v>
      </c>
      <c r="CM8" s="38">
        <f>CJ$6*'2017B'!$G8</f>
        <v>15.29576</v>
      </c>
      <c r="CN8" s="55"/>
      <c r="CO8" s="38">
        <f>CP$6*'2017B'!$C8</f>
        <v>0</v>
      </c>
      <c r="CP8" s="38">
        <f>CP$6*'2017B'!$D8</f>
        <v>3381.5117875</v>
      </c>
      <c r="CQ8" s="38">
        <f>CO8+CP8</f>
        <v>3381.5117875</v>
      </c>
      <c r="CR8" s="38">
        <f>CP$6*'2017B'!$F8</f>
        <v>3006.3544335</v>
      </c>
      <c r="CS8" s="38">
        <f>CP$6*'2017B'!$G8</f>
        <v>332.6267395</v>
      </c>
      <c r="CT8" s="55"/>
      <c r="CU8" s="38">
        <f>CV$6*'2017B'!$C8</f>
        <v>0</v>
      </c>
      <c r="CV8" s="38">
        <f>CV$6*'2017B'!$D8</f>
        <v>2110.2151</v>
      </c>
      <c r="CW8" s="38">
        <f>CU8+CV8</f>
        <v>2110.2151</v>
      </c>
      <c r="CX8" s="38">
        <f>CV$6*'2017B'!$F8</f>
        <v>1876.100076</v>
      </c>
      <c r="CY8" s="38">
        <f>CV$6*'2017B'!$G8</f>
        <v>207.574012</v>
      </c>
      <c r="CZ8" s="55"/>
      <c r="DA8" s="38">
        <f>DB$6*'2017B'!$C8</f>
        <v>0</v>
      </c>
      <c r="DB8" s="38">
        <f>DB$6*'2017B'!$D8</f>
        <v>66.689875</v>
      </c>
      <c r="DC8" s="38">
        <f>DA8+DB8</f>
        <v>66.689875</v>
      </c>
      <c r="DD8" s="38">
        <f>DB$6*'2017B'!$F8</f>
        <v>59.29105500000001</v>
      </c>
      <c r="DE8" s="38">
        <f>DB$6*'2017B'!$G8</f>
        <v>6.560035</v>
      </c>
      <c r="DF8" s="55"/>
      <c r="DG8" s="38">
        <f>DH$6*'2017B'!$C8</f>
        <v>0</v>
      </c>
      <c r="DH8" s="38">
        <f>DH$6*'2017B'!$D8</f>
        <v>288.87775</v>
      </c>
      <c r="DI8" s="38">
        <f>DG8+DH8</f>
        <v>288.87775</v>
      </c>
      <c r="DJ8" s="38">
        <f>DH$6*'2017B'!$F8</f>
        <v>256.82859</v>
      </c>
      <c r="DK8" s="38">
        <f>DH$6*'2017B'!$G8</f>
        <v>28.41583</v>
      </c>
      <c r="DL8" s="55"/>
      <c r="DM8" s="38">
        <f>DN$6*'2017B'!$C8</f>
        <v>0</v>
      </c>
      <c r="DN8" s="38">
        <f>DN$6*'2017B'!$D8</f>
        <v>382.4781625</v>
      </c>
      <c r="DO8" s="38">
        <f>DM8+DN8</f>
        <v>382.4781625</v>
      </c>
      <c r="DP8" s="38">
        <f>DN$6*'2017B'!$F8</f>
        <v>340.0446285</v>
      </c>
      <c r="DQ8" s="38">
        <f>DN$6*'2017B'!$G8</f>
        <v>37.6229545</v>
      </c>
      <c r="DR8" s="55"/>
      <c r="DS8" s="38">
        <f>DT$6*'2017B'!$C8</f>
        <v>0</v>
      </c>
      <c r="DT8" s="38">
        <f>DT$6*'2017B'!$D8</f>
        <v>2289.4064375</v>
      </c>
      <c r="DU8" s="38">
        <f>DS8+DT8</f>
        <v>2289.4064375</v>
      </c>
      <c r="DV8" s="38">
        <f>DT$6*'2017B'!$F8</f>
        <v>2035.4112675</v>
      </c>
      <c r="DW8" s="38">
        <f>DT$6*'2017B'!$G8</f>
        <v>225.2003975</v>
      </c>
      <c r="DX8" s="55"/>
      <c r="DY8" s="38">
        <f>DZ$6*'2017B'!$C8</f>
        <v>0</v>
      </c>
      <c r="DZ8" s="38">
        <f>DZ$6*'2017B'!$D8</f>
        <v>574.5718125000001</v>
      </c>
      <c r="EA8" s="38">
        <f>DY8+DZ8</f>
        <v>574.5718125000001</v>
      </c>
      <c r="EB8" s="38">
        <f>DZ$6*'2017B'!$F8</f>
        <v>510.8267025</v>
      </c>
      <c r="EC8" s="38">
        <f>DZ$6*'2017B'!$G8</f>
        <v>56.5184925</v>
      </c>
      <c r="ED8" s="55"/>
      <c r="EE8" s="38">
        <f>EF$6*'2017B'!$C8</f>
        <v>0</v>
      </c>
      <c r="EF8" s="38">
        <f>EF$6*'2017B'!$D8</f>
        <v>1523.5117625</v>
      </c>
      <c r="EG8" s="38">
        <f>EE8+EF8</f>
        <v>1523.5117625</v>
      </c>
      <c r="EH8" s="38">
        <f>EF$6*'2017B'!$F8</f>
        <v>1354.4877645</v>
      </c>
      <c r="EI8" s="38">
        <f>EF$6*'2017B'!$G8</f>
        <v>149.8621865</v>
      </c>
      <c r="EJ8" s="55"/>
      <c r="EK8" s="38">
        <f>EL$6*'2017B'!$C8</f>
        <v>0</v>
      </c>
      <c r="EL8" s="38">
        <f>EL$6*'2017B'!$D8</f>
        <v>30.027199999999997</v>
      </c>
      <c r="EM8" s="38">
        <f>EK8+EL8</f>
        <v>30.027199999999997</v>
      </c>
      <c r="EN8" s="38">
        <f>EL$6*'2017B'!$F8</f>
        <v>26.695871999999998</v>
      </c>
      <c r="EO8" s="38">
        <f>EL$6*'2017B'!$G8</f>
        <v>2.953664</v>
      </c>
      <c r="EP8" s="55"/>
      <c r="EQ8" s="38">
        <f>ER$6*'2017B'!$C8</f>
        <v>0</v>
      </c>
      <c r="ER8" s="38">
        <f>ER$6*'2017B'!$D8</f>
        <v>901.1846374999999</v>
      </c>
      <c r="ES8" s="38">
        <f>EQ8+ER8</f>
        <v>901.1846374999999</v>
      </c>
      <c r="ET8" s="38">
        <f>ER$6*'2017B'!$F8</f>
        <v>801.2038994999999</v>
      </c>
      <c r="EU8" s="38">
        <f>ER$6*'2017B'!$G8</f>
        <v>88.6461815</v>
      </c>
      <c r="EV8" s="55"/>
      <c r="EW8" s="38">
        <f>EX$6*'2017B'!$C8</f>
        <v>0</v>
      </c>
      <c r="EX8" s="38">
        <f>EX$6*'2017B'!$D8</f>
        <v>2420.1722125</v>
      </c>
      <c r="EY8" s="38">
        <f>EW8+EX8</f>
        <v>2420.1722125</v>
      </c>
      <c r="EZ8" s="38">
        <f>EX$6*'2017B'!$F8</f>
        <v>2151.6694065</v>
      </c>
      <c r="FA8" s="38">
        <f>EX$6*'2017B'!$G8</f>
        <v>238.0633405</v>
      </c>
      <c r="FB8" s="55"/>
      <c r="FC8" s="38">
        <f>FD$6*'2017B'!$C8</f>
        <v>0</v>
      </c>
      <c r="FD8" s="38">
        <f>FD$6*'2017B'!$D8</f>
        <v>930.44105</v>
      </c>
      <c r="FE8" s="38">
        <f>FC8+FD8</f>
        <v>930.44105</v>
      </c>
      <c r="FF8" s="38">
        <f>FD$6*'2017B'!$F8</f>
        <v>827.214498</v>
      </c>
      <c r="FG8" s="38">
        <f>FD$6*'2017B'!$G8</f>
        <v>91.524026</v>
      </c>
      <c r="FH8" s="55"/>
      <c r="FI8" s="38">
        <f>FJ$6*'2017B'!$C8</f>
        <v>0</v>
      </c>
      <c r="FJ8" s="38">
        <f>FJ$6*'2017B'!$D8</f>
        <v>6581.2852875</v>
      </c>
      <c r="FK8" s="38">
        <f>FI8+FJ8</f>
        <v>6581.2852875</v>
      </c>
      <c r="FL8" s="38">
        <f>FJ$6*'2017B'!$F8</f>
        <v>5851.1332935</v>
      </c>
      <c r="FM8" s="38">
        <f>FJ$6*'2017B'!$G8</f>
        <v>647.3765595</v>
      </c>
      <c r="FN8" s="55"/>
      <c r="FO8" s="38">
        <f>FP$6*'2017B'!$C8</f>
        <v>0</v>
      </c>
      <c r="FP8" s="38">
        <f>FP$6*'2017B'!$D8</f>
        <v>2229.0839375</v>
      </c>
      <c r="FQ8" s="38">
        <f>FO8+FP8</f>
        <v>2229.0839375</v>
      </c>
      <c r="FR8" s="38">
        <f>FP$6*'2017B'!$F8</f>
        <v>1981.7811675</v>
      </c>
      <c r="FS8" s="38">
        <f>FP$6*'2017B'!$G8</f>
        <v>219.26669750000002</v>
      </c>
      <c r="FT8" s="55"/>
      <c r="FU8" s="38">
        <f>FV$6*'2017B'!$C8</f>
        <v>0</v>
      </c>
      <c r="FV8" s="38">
        <f>FV$6*'2017B'!$D8</f>
        <v>481.70867499999997</v>
      </c>
      <c r="FW8" s="38">
        <f>FU8+FV8</f>
        <v>481.70867499999997</v>
      </c>
      <c r="FX8" s="38">
        <f>FV$6*'2017B'!$F8</f>
        <v>428.266143</v>
      </c>
      <c r="FY8" s="38">
        <f>FV$6*'2017B'!$G8</f>
        <v>47.383891</v>
      </c>
      <c r="FZ8" s="55"/>
      <c r="GA8" s="38">
        <f>GB$6*'2017B'!$C8</f>
        <v>0</v>
      </c>
      <c r="GB8" s="38">
        <f>GB$6*'2017B'!$D8</f>
        <v>1270.324825</v>
      </c>
      <c r="GC8" s="38">
        <f>GA8+GB8</f>
        <v>1270.324825</v>
      </c>
      <c r="GD8" s="38">
        <f>GB$6*'2017B'!$F8</f>
        <v>1129.3903169999999</v>
      </c>
      <c r="GE8" s="38">
        <f>GB$6*'2017B'!$G8</f>
        <v>124.957129</v>
      </c>
      <c r="GF8" s="55"/>
      <c r="GG8" s="38">
        <f>GH$6*'2017B'!$C8</f>
        <v>0</v>
      </c>
      <c r="GH8" s="38">
        <f>GH$6*'2017B'!$D8</f>
        <v>6.9370875</v>
      </c>
      <c r="GI8" s="38">
        <f>GG8+GH8</f>
        <v>6.9370875</v>
      </c>
      <c r="GJ8" s="38">
        <f>GH$6*'2017B'!$F8</f>
        <v>6.1674615</v>
      </c>
      <c r="GK8" s="38">
        <f>GH$6*'2017B'!$G8</f>
        <v>0.6823754999999999</v>
      </c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</row>
    <row r="9" spans="1:211" s="57" customFormat="1" ht="12.75">
      <c r="A9" s="56">
        <v>44652</v>
      </c>
      <c r="B9" s="55"/>
      <c r="C9" s="38">
        <f t="shared" si="0"/>
        <v>1160255.514</v>
      </c>
      <c r="D9" s="38">
        <f t="shared" si="0"/>
        <v>59454.22463750001</v>
      </c>
      <c r="E9" s="38">
        <f>C9+D9</f>
        <v>1219709.7386375</v>
      </c>
      <c r="F9" s="38">
        <f t="shared" si="0"/>
        <v>52858.15429949999</v>
      </c>
      <c r="G9" s="38">
        <f t="shared" si="0"/>
        <v>5848.290981499999</v>
      </c>
      <c r="I9" s="38">
        <f>J$6*'2017B'!$C9</f>
        <v>46625.621999999996</v>
      </c>
      <c r="J9" s="38">
        <f>J$6*'2017B'!$D9</f>
        <v>2389.2066624999998</v>
      </c>
      <c r="K9" s="38">
        <f>I9+J9</f>
        <v>49014.8286625</v>
      </c>
      <c r="L9" s="38">
        <f>J$6*'2017B'!$F9</f>
        <v>2124.1392885</v>
      </c>
      <c r="M9" s="38">
        <f>J$6*'2017B'!$G9</f>
        <v>235.0173745</v>
      </c>
      <c r="O9" s="38">
        <f>P$6*'2017B'!$C9</f>
        <v>150998.136</v>
      </c>
      <c r="P9" s="38">
        <f>P$6*'2017B'!$D9</f>
        <v>7737.50005</v>
      </c>
      <c r="Q9" s="38">
        <f>O9+P9</f>
        <v>158735.63605</v>
      </c>
      <c r="R9" s="38">
        <f>P$6*'2017B'!$F9</f>
        <v>6879.073337999999</v>
      </c>
      <c r="S9" s="38">
        <f>P$6*'2017B'!$G9</f>
        <v>761.109106</v>
      </c>
      <c r="T9" s="55"/>
      <c r="U9" s="38">
        <f>V$6*'2017B'!$C9</f>
        <v>8638.686</v>
      </c>
      <c r="V9" s="38">
        <f>V$6*'2017B'!$D9</f>
        <v>442.66661250000004</v>
      </c>
      <c r="W9" s="38">
        <f>U9+V9</f>
        <v>9081.352612499999</v>
      </c>
      <c r="X9" s="38">
        <f>V$6*'2017B'!$F9</f>
        <v>393.55555050000004</v>
      </c>
      <c r="Y9" s="38">
        <f>V$6*'2017B'!$G9</f>
        <v>43.5434685</v>
      </c>
      <c r="Z9" s="55"/>
      <c r="AA9" s="38">
        <f>AB$6*'2017B'!$C9</f>
        <v>33524.693999999996</v>
      </c>
      <c r="AB9" s="38">
        <f>AB$6*'2017B'!$D9</f>
        <v>1717.8842625</v>
      </c>
      <c r="AC9" s="38">
        <f>AA9+AB9</f>
        <v>35242.5782625</v>
      </c>
      <c r="AD9" s="38">
        <f>AB$6*'2017B'!$F9</f>
        <v>1527.2958644999999</v>
      </c>
      <c r="AE9" s="38">
        <f>AB$6*'2017B'!$G9</f>
        <v>168.9818865</v>
      </c>
      <c r="AF9" s="55"/>
      <c r="AG9" s="38">
        <f>AH$6*'2017B'!$C9</f>
        <v>86878.014</v>
      </c>
      <c r="AH9" s="38">
        <f>AH$6*'2017B'!$D9</f>
        <v>4451.8340125</v>
      </c>
      <c r="AI9" s="38">
        <f>AG9+AH9</f>
        <v>91329.84801249999</v>
      </c>
      <c r="AJ9" s="38">
        <f>AH$6*'2017B'!$F9</f>
        <v>3957.9311745</v>
      </c>
      <c r="AK9" s="38">
        <f>AH$6*'2017B'!$G9</f>
        <v>437.9103565</v>
      </c>
      <c r="AL9" s="55"/>
      <c r="AM9" s="38">
        <f>AN$6*'2017B'!$C9</f>
        <v>19854.786</v>
      </c>
      <c r="AN9" s="38">
        <f>AN$6*'2017B'!$D9</f>
        <v>1017.4059874999999</v>
      </c>
      <c r="AO9" s="38">
        <f>AM9+AN9</f>
        <v>20872.1919875</v>
      </c>
      <c r="AP9" s="38">
        <f>AN$6*'2017B'!$F9</f>
        <v>904.5312254999999</v>
      </c>
      <c r="AQ9" s="38">
        <f>AN$6*'2017B'!$G9</f>
        <v>100.07844349999999</v>
      </c>
      <c r="AR9" s="55"/>
      <c r="AS9" s="38">
        <f>AT$6*'2017B'!$C9</f>
        <v>258540.58800000002</v>
      </c>
      <c r="AT9" s="38">
        <f>AT$6*'2017B'!$D9</f>
        <v>13248.228525</v>
      </c>
      <c r="AU9" s="38">
        <f>AS9+AT9</f>
        <v>271788.81652500003</v>
      </c>
      <c r="AV9" s="38">
        <f>AT$6*'2017B'!$F9</f>
        <v>11778.421329</v>
      </c>
      <c r="AW9" s="38">
        <f>AT$6*'2017B'!$G9</f>
        <v>1303.178973</v>
      </c>
      <c r="AX9" s="55"/>
      <c r="AY9" s="38">
        <f>AZ$6*'2017B'!$C9</f>
        <v>8025.887999999999</v>
      </c>
      <c r="AZ9" s="38">
        <f>AZ$6*'2017B'!$D9</f>
        <v>411.26539999999994</v>
      </c>
      <c r="BA9" s="38">
        <f>AY9+AZ9</f>
        <v>8437.1534</v>
      </c>
      <c r="BB9" s="38">
        <f>AZ$6*'2017B'!$F9</f>
        <v>365.638104</v>
      </c>
      <c r="BC9" s="38">
        <f>AZ$6*'2017B'!$G9</f>
        <v>40.454648</v>
      </c>
      <c r="BD9" s="55"/>
      <c r="BE9" s="38">
        <f>BF$6*'2017B'!$C9</f>
        <v>10422.798</v>
      </c>
      <c r="BF9" s="38">
        <f>BF$6*'2017B'!$D9</f>
        <v>534.0887125</v>
      </c>
      <c r="BG9" s="38">
        <f>BE9+BF9</f>
        <v>10956.886712500002</v>
      </c>
      <c r="BH9" s="38">
        <f>BF$6*'2017B'!$F9</f>
        <v>474.8349465</v>
      </c>
      <c r="BI9" s="38">
        <f>BF$6*'2017B'!$G9</f>
        <v>52.5363205</v>
      </c>
      <c r="BJ9" s="55"/>
      <c r="BK9" s="38">
        <f>BL$6*'2017B'!$C9</f>
        <v>359.046</v>
      </c>
      <c r="BL9" s="38">
        <f>BL$6*'2017B'!$D9</f>
        <v>18.3983625</v>
      </c>
      <c r="BM9" s="38">
        <f>BK9+BL9</f>
        <v>377.4443625</v>
      </c>
      <c r="BN9" s="38">
        <f>BL$6*'2017B'!$F9</f>
        <v>16.3571805</v>
      </c>
      <c r="BO9" s="38">
        <f>BL$6*'2017B'!$G9</f>
        <v>1.8097785</v>
      </c>
      <c r="BP9" s="55"/>
      <c r="BQ9" s="38">
        <f>BR$6*'2017B'!$C9</f>
        <v>394.362</v>
      </c>
      <c r="BR9" s="38">
        <f>BR$6*'2017B'!$D9</f>
        <v>20.2080375</v>
      </c>
      <c r="BS9" s="38">
        <f>BQ9+BR9</f>
        <v>414.5700375</v>
      </c>
      <c r="BT9" s="38">
        <f>BR$6*'2017B'!$F9</f>
        <v>17.9660835</v>
      </c>
      <c r="BU9" s="38">
        <f>BR$6*'2017B'!$G9</f>
        <v>1.9877895</v>
      </c>
      <c r="BV9" s="55"/>
      <c r="BW9" s="38">
        <f>BX$6*'2017B'!$C9</f>
        <v>33262.44</v>
      </c>
      <c r="BX9" s="38">
        <f>BX$6*'2017B'!$D9</f>
        <v>1704.44575</v>
      </c>
      <c r="BY9" s="38">
        <f>BW9+BX9</f>
        <v>34966.88575</v>
      </c>
      <c r="BZ9" s="38">
        <f>BX$6*'2017B'!$F9</f>
        <v>1515.3482700000002</v>
      </c>
      <c r="CA9" s="38">
        <f>BX$6*'2017B'!$G9</f>
        <v>167.65999000000002</v>
      </c>
      <c r="CB9" s="55"/>
      <c r="CC9" s="38">
        <f>CD$6*'2017B'!$C9</f>
        <v>2676.8219999999997</v>
      </c>
      <c r="CD9" s="38">
        <f>CD$6*'2017B'!$D9</f>
        <v>137.1666625</v>
      </c>
      <c r="CE9" s="38">
        <f>CC9+CD9</f>
        <v>2813.9886624999995</v>
      </c>
      <c r="CF9" s="38">
        <f>CD$6*'2017B'!$F9</f>
        <v>121.9488885</v>
      </c>
      <c r="CG9" s="38">
        <f>CD$6*'2017B'!$G9</f>
        <v>13.4925745</v>
      </c>
      <c r="CH9" s="55"/>
      <c r="CI9" s="38">
        <f>CJ$6*'2017B'!$C9</f>
        <v>3034.56</v>
      </c>
      <c r="CJ9" s="38">
        <f>CJ$6*'2017B'!$D9</f>
        <v>155.498</v>
      </c>
      <c r="CK9" s="38">
        <f>CI9+CJ9</f>
        <v>3190.058</v>
      </c>
      <c r="CL9" s="38">
        <f>CJ$6*'2017B'!$F9</f>
        <v>138.24648</v>
      </c>
      <c r="CM9" s="38">
        <f>CJ$6*'2017B'!$G9</f>
        <v>15.29576</v>
      </c>
      <c r="CN9" s="55"/>
      <c r="CO9" s="38">
        <f>CP$6*'2017B'!$C9</f>
        <v>65990.562</v>
      </c>
      <c r="CP9" s="38">
        <f>CP$6*'2017B'!$D9</f>
        <v>3381.5117875</v>
      </c>
      <c r="CQ9" s="38">
        <f>CO9+CP9</f>
        <v>69372.0737875</v>
      </c>
      <c r="CR9" s="38">
        <f>CP$6*'2017B'!$F9</f>
        <v>3006.3544335</v>
      </c>
      <c r="CS9" s="38">
        <f>CP$6*'2017B'!$G9</f>
        <v>332.6267395</v>
      </c>
      <c r="CT9" s="55"/>
      <c r="CU9" s="38">
        <f>CV$6*'2017B'!$C9</f>
        <v>41181.072</v>
      </c>
      <c r="CV9" s="38">
        <f>CV$6*'2017B'!$D9</f>
        <v>2110.2151</v>
      </c>
      <c r="CW9" s="38">
        <f>CU9+CV9</f>
        <v>43291.2871</v>
      </c>
      <c r="CX9" s="38">
        <f>CV$6*'2017B'!$F9</f>
        <v>1876.100076</v>
      </c>
      <c r="CY9" s="38">
        <f>CV$6*'2017B'!$G9</f>
        <v>207.574012</v>
      </c>
      <c r="CZ9" s="55"/>
      <c r="DA9" s="38">
        <f>DB$6*'2017B'!$C9</f>
        <v>1301.46</v>
      </c>
      <c r="DB9" s="38">
        <f>DB$6*'2017B'!$D9</f>
        <v>66.689875</v>
      </c>
      <c r="DC9" s="38">
        <f>DA9+DB9</f>
        <v>1368.149875</v>
      </c>
      <c r="DD9" s="38">
        <f>DB$6*'2017B'!$F9</f>
        <v>59.29105500000001</v>
      </c>
      <c r="DE9" s="38">
        <f>DB$6*'2017B'!$G9</f>
        <v>6.560035</v>
      </c>
      <c r="DF9" s="55"/>
      <c r="DG9" s="38">
        <f>DH$6*'2017B'!$C9</f>
        <v>5637.4800000000005</v>
      </c>
      <c r="DH9" s="38">
        <f>DH$6*'2017B'!$D9</f>
        <v>288.87775</v>
      </c>
      <c r="DI9" s="38">
        <f>DG9+DH9</f>
        <v>5926.35775</v>
      </c>
      <c r="DJ9" s="38">
        <f>DH$6*'2017B'!$F9</f>
        <v>256.82859</v>
      </c>
      <c r="DK9" s="38">
        <f>DH$6*'2017B'!$G9</f>
        <v>28.41583</v>
      </c>
      <c r="DL9" s="55"/>
      <c r="DM9" s="38">
        <f>DN$6*'2017B'!$C9</f>
        <v>7464.102</v>
      </c>
      <c r="DN9" s="38">
        <f>DN$6*'2017B'!$D9</f>
        <v>382.4781625</v>
      </c>
      <c r="DO9" s="38">
        <f>DM9+DN9</f>
        <v>7846.5801624999995</v>
      </c>
      <c r="DP9" s="38">
        <f>DN$6*'2017B'!$F9</f>
        <v>340.0446285</v>
      </c>
      <c r="DQ9" s="38">
        <f>DN$6*'2017B'!$G9</f>
        <v>37.6229545</v>
      </c>
      <c r="DR9" s="55"/>
      <c r="DS9" s="38">
        <f>DT$6*'2017B'!$C9</f>
        <v>44678.01</v>
      </c>
      <c r="DT9" s="38">
        <f>DT$6*'2017B'!$D9</f>
        <v>2289.4064375</v>
      </c>
      <c r="DU9" s="38">
        <f>DS9+DT9</f>
        <v>46967.416437500004</v>
      </c>
      <c r="DV9" s="38">
        <f>DT$6*'2017B'!$F9</f>
        <v>2035.4112675</v>
      </c>
      <c r="DW9" s="38">
        <f>DT$6*'2017B'!$G9</f>
        <v>225.2003975</v>
      </c>
      <c r="DX9" s="55"/>
      <c r="DY9" s="38">
        <f>DZ$6*'2017B'!$C9</f>
        <v>11212.83</v>
      </c>
      <c r="DZ9" s="38">
        <f>DZ$6*'2017B'!$D9</f>
        <v>574.5718125000001</v>
      </c>
      <c r="EA9" s="38">
        <f>DY9+DZ9</f>
        <v>11787.4018125</v>
      </c>
      <c r="EB9" s="38">
        <f>DZ$6*'2017B'!$F9</f>
        <v>510.8267025</v>
      </c>
      <c r="EC9" s="38">
        <f>DZ$6*'2017B'!$G9</f>
        <v>56.5184925</v>
      </c>
      <c r="ED9" s="55"/>
      <c r="EE9" s="38">
        <f>EF$6*'2017B'!$C9</f>
        <v>29731.494</v>
      </c>
      <c r="EF9" s="38">
        <f>EF$6*'2017B'!$D9</f>
        <v>1523.5117625</v>
      </c>
      <c r="EG9" s="38">
        <f>EE9+EF9</f>
        <v>31255.005762499997</v>
      </c>
      <c r="EH9" s="38">
        <f>EF$6*'2017B'!$F9</f>
        <v>1354.4877645</v>
      </c>
      <c r="EI9" s="38">
        <f>EF$6*'2017B'!$G9</f>
        <v>149.8621865</v>
      </c>
      <c r="EJ9" s="55"/>
      <c r="EK9" s="38">
        <f>EL$6*'2017B'!$C9</f>
        <v>585.9839999999999</v>
      </c>
      <c r="EL9" s="38">
        <f>EL$6*'2017B'!$D9</f>
        <v>30.027199999999997</v>
      </c>
      <c r="EM9" s="38">
        <f>EK9+EL9</f>
        <v>616.0111999999999</v>
      </c>
      <c r="EN9" s="38">
        <f>EL$6*'2017B'!$F9</f>
        <v>26.695871999999998</v>
      </c>
      <c r="EO9" s="38">
        <f>EL$6*'2017B'!$G9</f>
        <v>2.953664</v>
      </c>
      <c r="EP9" s="55"/>
      <c r="EQ9" s="38">
        <f>ER$6*'2017B'!$C9</f>
        <v>17586.714</v>
      </c>
      <c r="ER9" s="38">
        <f>ER$6*'2017B'!$D9</f>
        <v>901.1846374999999</v>
      </c>
      <c r="ES9" s="38">
        <f>EQ9+ER9</f>
        <v>18487.8986375</v>
      </c>
      <c r="ET9" s="38">
        <f>ER$6*'2017B'!$F9</f>
        <v>801.2038994999999</v>
      </c>
      <c r="EU9" s="38">
        <f>ER$6*'2017B'!$G9</f>
        <v>88.6461815</v>
      </c>
      <c r="EV9" s="55"/>
      <c r="EW9" s="38">
        <f>EX$6*'2017B'!$C9</f>
        <v>47229.918</v>
      </c>
      <c r="EX9" s="38">
        <f>EX$6*'2017B'!$D9</f>
        <v>2420.1722125</v>
      </c>
      <c r="EY9" s="38">
        <f>EW9+EX9</f>
        <v>49650.0902125</v>
      </c>
      <c r="EZ9" s="38">
        <f>EX$6*'2017B'!$F9</f>
        <v>2151.6694065</v>
      </c>
      <c r="FA9" s="38">
        <f>EX$6*'2017B'!$G9</f>
        <v>238.0633405</v>
      </c>
      <c r="FB9" s="55"/>
      <c r="FC9" s="38">
        <f>FD$6*'2017B'!$C9</f>
        <v>18157.656</v>
      </c>
      <c r="FD9" s="38">
        <f>FD$6*'2017B'!$D9</f>
        <v>930.44105</v>
      </c>
      <c r="FE9" s="38">
        <f>FC9+FD9</f>
        <v>19088.09705</v>
      </c>
      <c r="FF9" s="38">
        <f>FD$6*'2017B'!$F9</f>
        <v>827.214498</v>
      </c>
      <c r="FG9" s="38">
        <f>FD$6*'2017B'!$G9</f>
        <v>91.524026</v>
      </c>
      <c r="FH9" s="55"/>
      <c r="FI9" s="38">
        <f>FJ$6*'2017B'!$C9</f>
        <v>128434.482</v>
      </c>
      <c r="FJ9" s="38">
        <f>FJ$6*'2017B'!$D9</f>
        <v>6581.2852875</v>
      </c>
      <c r="FK9" s="38">
        <f>FI9+FJ9</f>
        <v>135015.7672875</v>
      </c>
      <c r="FL9" s="38">
        <f>FJ$6*'2017B'!$F9</f>
        <v>5851.1332935</v>
      </c>
      <c r="FM9" s="38">
        <f>FJ$6*'2017B'!$G9</f>
        <v>647.3765595</v>
      </c>
      <c r="FN9" s="55"/>
      <c r="FO9" s="38">
        <f>FP$6*'2017B'!$C9</f>
        <v>43500.810000000005</v>
      </c>
      <c r="FP9" s="38">
        <f>FP$6*'2017B'!$D9</f>
        <v>2229.0839375</v>
      </c>
      <c r="FQ9" s="38">
        <f>FO9+FP9</f>
        <v>45729.893937500005</v>
      </c>
      <c r="FR9" s="38">
        <f>FP$6*'2017B'!$F9</f>
        <v>1981.7811675</v>
      </c>
      <c r="FS9" s="38">
        <f>FP$6*'2017B'!$G9</f>
        <v>219.26669750000002</v>
      </c>
      <c r="FT9" s="55"/>
      <c r="FU9" s="38">
        <f>FV$6*'2017B'!$C9</f>
        <v>9400.596</v>
      </c>
      <c r="FV9" s="38">
        <f>FV$6*'2017B'!$D9</f>
        <v>481.70867499999997</v>
      </c>
      <c r="FW9" s="38">
        <f>FU9+FV9</f>
        <v>9882.304675</v>
      </c>
      <c r="FX9" s="38">
        <f>FV$6*'2017B'!$F9</f>
        <v>428.266143</v>
      </c>
      <c r="FY9" s="38">
        <f>FV$6*'2017B'!$G9</f>
        <v>47.383891</v>
      </c>
      <c r="FZ9" s="55"/>
      <c r="GA9" s="38">
        <f>GB$6*'2017B'!$C9</f>
        <v>24790.523999999998</v>
      </c>
      <c r="GB9" s="38">
        <f>GB$6*'2017B'!$D9</f>
        <v>1270.324825</v>
      </c>
      <c r="GC9" s="38">
        <f>GA9+GB9</f>
        <v>26060.848824999997</v>
      </c>
      <c r="GD9" s="38">
        <f>GB$6*'2017B'!$F9</f>
        <v>1129.3903169999999</v>
      </c>
      <c r="GE9" s="38">
        <f>GB$6*'2017B'!$G9</f>
        <v>124.957129</v>
      </c>
      <c r="GF9" s="55"/>
      <c r="GG9" s="38">
        <f>GH$6*'2017B'!$C9</f>
        <v>135.378</v>
      </c>
      <c r="GH9" s="38">
        <f>GH$6*'2017B'!$D9</f>
        <v>6.9370875</v>
      </c>
      <c r="GI9" s="38">
        <f>GG9+GH9</f>
        <v>142.31508749999998</v>
      </c>
      <c r="GJ9" s="38">
        <f>GH$6*'2017B'!$F9</f>
        <v>6.1674615</v>
      </c>
      <c r="GK9" s="38">
        <f>GH$6*'2017B'!$G9</f>
        <v>0.6823754999999999</v>
      </c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</row>
    <row r="10" spans="1:211" s="57" customFormat="1" ht="12.75">
      <c r="A10" s="56">
        <v>44856</v>
      </c>
      <c r="B10" s="55"/>
      <c r="C10" s="38">
        <f t="shared" si="0"/>
        <v>0</v>
      </c>
      <c r="D10" s="38">
        <f t="shared" si="0"/>
        <v>30447.836787500008</v>
      </c>
      <c r="E10" s="38">
        <f>C10+D10</f>
        <v>30447.836787500008</v>
      </c>
      <c r="F10" s="38">
        <f t="shared" si="0"/>
        <v>52858.15429949999</v>
      </c>
      <c r="G10" s="38">
        <f t="shared" si="0"/>
        <v>5848.290981499999</v>
      </c>
      <c r="I10" s="38">
        <f>J$6*'2017B'!$C10</f>
        <v>0</v>
      </c>
      <c r="J10" s="38">
        <f>J$6*'2017B'!$D10</f>
        <v>1223.5661125</v>
      </c>
      <c r="K10" s="38">
        <f>I10+J10</f>
        <v>1223.5661125</v>
      </c>
      <c r="L10" s="38">
        <f>J$6*'2017B'!$F10</f>
        <v>2124.1392885</v>
      </c>
      <c r="M10" s="38">
        <f>J$6*'2017B'!$G10</f>
        <v>235.0173745</v>
      </c>
      <c r="O10" s="38">
        <f>P$6*'2017B'!$C10</f>
        <v>0</v>
      </c>
      <c r="P10" s="38">
        <f>P$6*'2017B'!$D10</f>
        <v>3962.5466499999998</v>
      </c>
      <c r="Q10" s="38">
        <f>O10+P10</f>
        <v>3962.5466499999998</v>
      </c>
      <c r="R10" s="38">
        <f>P$6*'2017B'!$F10</f>
        <v>6879.073337999999</v>
      </c>
      <c r="S10" s="38">
        <f>P$6*'2017B'!$G10</f>
        <v>761.109106</v>
      </c>
      <c r="T10" s="55"/>
      <c r="U10" s="38">
        <f>V$6*'2017B'!$C10</f>
        <v>0</v>
      </c>
      <c r="V10" s="38">
        <f>V$6*'2017B'!$D10</f>
        <v>226.6994625</v>
      </c>
      <c r="W10" s="38">
        <f>U10+V10</f>
        <v>226.6994625</v>
      </c>
      <c r="X10" s="38">
        <f>V$6*'2017B'!$F10</f>
        <v>393.55555050000004</v>
      </c>
      <c r="Y10" s="38">
        <f>V$6*'2017B'!$G10</f>
        <v>43.5434685</v>
      </c>
      <c r="Z10" s="55"/>
      <c r="AA10" s="38">
        <f>AB$6*'2017B'!$C10</f>
        <v>0</v>
      </c>
      <c r="AB10" s="38">
        <f>AB$6*'2017B'!$D10</f>
        <v>879.7669125</v>
      </c>
      <c r="AC10" s="38">
        <f>AA10+AB10</f>
        <v>879.7669125</v>
      </c>
      <c r="AD10" s="38">
        <f>AB$6*'2017B'!$F10</f>
        <v>1527.2958644999999</v>
      </c>
      <c r="AE10" s="38">
        <f>AB$6*'2017B'!$G10</f>
        <v>168.9818865</v>
      </c>
      <c r="AF10" s="55"/>
      <c r="AG10" s="38">
        <f>AH$6*'2017B'!$C10</f>
        <v>0</v>
      </c>
      <c r="AH10" s="38">
        <f>AH$6*'2017B'!$D10</f>
        <v>2279.8836625</v>
      </c>
      <c r="AI10" s="38">
        <f>AG10+AH10</f>
        <v>2279.8836625</v>
      </c>
      <c r="AJ10" s="38">
        <f>AH$6*'2017B'!$F10</f>
        <v>3957.9311745</v>
      </c>
      <c r="AK10" s="38">
        <f>AH$6*'2017B'!$G10</f>
        <v>437.9103565</v>
      </c>
      <c r="AL10" s="55"/>
      <c r="AM10" s="38">
        <f>AN$6*'2017B'!$C10</f>
        <v>0</v>
      </c>
      <c r="AN10" s="38">
        <f>AN$6*'2017B'!$D10</f>
        <v>521.0363375</v>
      </c>
      <c r="AO10" s="38">
        <f>AM10+AN10</f>
        <v>521.0363375</v>
      </c>
      <c r="AP10" s="38">
        <f>AN$6*'2017B'!$F10</f>
        <v>904.5312254999999</v>
      </c>
      <c r="AQ10" s="38">
        <f>AN$6*'2017B'!$G10</f>
        <v>100.07844349999999</v>
      </c>
      <c r="AR10" s="55"/>
      <c r="AS10" s="38">
        <f>AT$6*'2017B'!$C10</f>
        <v>0</v>
      </c>
      <c r="AT10" s="38">
        <f>AT$6*'2017B'!$D10</f>
        <v>6784.713825000001</v>
      </c>
      <c r="AU10" s="38">
        <f>AS10+AT10</f>
        <v>6784.713825000001</v>
      </c>
      <c r="AV10" s="38">
        <f>AT$6*'2017B'!$F10</f>
        <v>11778.421329</v>
      </c>
      <c r="AW10" s="38">
        <f>AT$6*'2017B'!$G10</f>
        <v>1303.178973</v>
      </c>
      <c r="AX10" s="55"/>
      <c r="AY10" s="38">
        <f>AZ$6*'2017B'!$C10</f>
        <v>0</v>
      </c>
      <c r="AZ10" s="38">
        <f>AZ$6*'2017B'!$D10</f>
        <v>210.61819999999997</v>
      </c>
      <c r="BA10" s="38">
        <f>AY10+AZ10</f>
        <v>210.61819999999997</v>
      </c>
      <c r="BB10" s="38">
        <f>AZ$6*'2017B'!$F10</f>
        <v>365.638104</v>
      </c>
      <c r="BC10" s="38">
        <f>AZ$6*'2017B'!$G10</f>
        <v>40.454648</v>
      </c>
      <c r="BD10" s="55"/>
      <c r="BE10" s="38">
        <f>BF$6*'2017B'!$C10</f>
        <v>0</v>
      </c>
      <c r="BF10" s="38">
        <f>BF$6*'2017B'!$D10</f>
        <v>273.5187625</v>
      </c>
      <c r="BG10" s="38">
        <f>BE10+BF10</f>
        <v>273.5187625</v>
      </c>
      <c r="BH10" s="38">
        <f>BF$6*'2017B'!$F10</f>
        <v>474.8349465</v>
      </c>
      <c r="BI10" s="38">
        <f>BF$6*'2017B'!$G10</f>
        <v>52.5363205</v>
      </c>
      <c r="BJ10" s="55"/>
      <c r="BK10" s="38">
        <f>BL$6*'2017B'!$C10</f>
        <v>0</v>
      </c>
      <c r="BL10" s="38">
        <f>BL$6*'2017B'!$D10</f>
        <v>9.4222125</v>
      </c>
      <c r="BM10" s="38">
        <f>BK10+BL10</f>
        <v>9.4222125</v>
      </c>
      <c r="BN10" s="38">
        <f>BL$6*'2017B'!$F10</f>
        <v>16.3571805</v>
      </c>
      <c r="BO10" s="38">
        <f>BL$6*'2017B'!$G10</f>
        <v>1.8097785</v>
      </c>
      <c r="BP10" s="55"/>
      <c r="BQ10" s="38">
        <f>BR$6*'2017B'!$C10</f>
        <v>0</v>
      </c>
      <c r="BR10" s="38">
        <f>BR$6*'2017B'!$D10</f>
        <v>10.3489875</v>
      </c>
      <c r="BS10" s="38">
        <f>BQ10+BR10</f>
        <v>10.3489875</v>
      </c>
      <c r="BT10" s="38">
        <f>BR$6*'2017B'!$F10</f>
        <v>17.9660835</v>
      </c>
      <c r="BU10" s="38">
        <f>BR$6*'2017B'!$G10</f>
        <v>1.9877895</v>
      </c>
      <c r="BV10" s="55"/>
      <c r="BW10" s="38">
        <f>BX$6*'2017B'!$C10</f>
        <v>0</v>
      </c>
      <c r="BX10" s="38">
        <f>BX$6*'2017B'!$D10</f>
        <v>872.88475</v>
      </c>
      <c r="BY10" s="38">
        <f>BW10+BX10</f>
        <v>872.88475</v>
      </c>
      <c r="BZ10" s="38">
        <f>BX$6*'2017B'!$F10</f>
        <v>1515.3482700000002</v>
      </c>
      <c r="CA10" s="38">
        <f>BX$6*'2017B'!$G10</f>
        <v>167.65999000000002</v>
      </c>
      <c r="CB10" s="55"/>
      <c r="CC10" s="38">
        <f>CD$6*'2017B'!$C10</f>
        <v>0</v>
      </c>
      <c r="CD10" s="38">
        <f>CD$6*'2017B'!$D10</f>
        <v>70.2461125</v>
      </c>
      <c r="CE10" s="38">
        <f>CC10+CD10</f>
        <v>70.2461125</v>
      </c>
      <c r="CF10" s="38">
        <f>CD$6*'2017B'!$F10</f>
        <v>121.9488885</v>
      </c>
      <c r="CG10" s="38">
        <f>CD$6*'2017B'!$G10</f>
        <v>13.4925745</v>
      </c>
      <c r="CH10" s="55"/>
      <c r="CI10" s="38">
        <f>CJ$6*'2017B'!$C10</f>
        <v>0</v>
      </c>
      <c r="CJ10" s="38">
        <f>CJ$6*'2017B'!$D10</f>
        <v>79.634</v>
      </c>
      <c r="CK10" s="38">
        <f>CI10+CJ10</f>
        <v>79.634</v>
      </c>
      <c r="CL10" s="38">
        <f>CJ$6*'2017B'!$F10</f>
        <v>138.24648</v>
      </c>
      <c r="CM10" s="38">
        <f>CJ$6*'2017B'!$G10</f>
        <v>15.29576</v>
      </c>
      <c r="CN10" s="55"/>
      <c r="CO10" s="38">
        <f>CP$6*'2017B'!$C10</f>
        <v>0</v>
      </c>
      <c r="CP10" s="38">
        <f>CP$6*'2017B'!$D10</f>
        <v>1731.7477375</v>
      </c>
      <c r="CQ10" s="38">
        <f>CO10+CP10</f>
        <v>1731.7477375</v>
      </c>
      <c r="CR10" s="38">
        <f>CP$6*'2017B'!$F10</f>
        <v>3006.3544335</v>
      </c>
      <c r="CS10" s="38">
        <f>CP$6*'2017B'!$G10</f>
        <v>332.6267395</v>
      </c>
      <c r="CT10" s="55"/>
      <c r="CU10" s="38">
        <f>CV$6*'2017B'!$C10</f>
        <v>0</v>
      </c>
      <c r="CV10" s="38">
        <f>CV$6*'2017B'!$D10</f>
        <v>1080.6883</v>
      </c>
      <c r="CW10" s="38">
        <f>CU10+CV10</f>
        <v>1080.6883</v>
      </c>
      <c r="CX10" s="38">
        <f>CV$6*'2017B'!$F10</f>
        <v>1876.100076</v>
      </c>
      <c r="CY10" s="38">
        <f>CV$6*'2017B'!$G10</f>
        <v>207.574012</v>
      </c>
      <c r="CZ10" s="55"/>
      <c r="DA10" s="38">
        <f>DB$6*'2017B'!$C10</f>
        <v>0</v>
      </c>
      <c r="DB10" s="38">
        <f>DB$6*'2017B'!$D10</f>
        <v>34.153375000000004</v>
      </c>
      <c r="DC10" s="38">
        <f>DA10+DB10</f>
        <v>34.153375000000004</v>
      </c>
      <c r="DD10" s="38">
        <f>DB$6*'2017B'!$F10</f>
        <v>59.29105500000001</v>
      </c>
      <c r="DE10" s="38">
        <f>DB$6*'2017B'!$G10</f>
        <v>6.560035</v>
      </c>
      <c r="DF10" s="55"/>
      <c r="DG10" s="38">
        <f>DH$6*'2017B'!$C10</f>
        <v>0</v>
      </c>
      <c r="DH10" s="38">
        <f>DH$6*'2017B'!$D10</f>
        <v>147.94075</v>
      </c>
      <c r="DI10" s="38">
        <f>DG10+DH10</f>
        <v>147.94075</v>
      </c>
      <c r="DJ10" s="38">
        <f>DH$6*'2017B'!$F10</f>
        <v>256.82859</v>
      </c>
      <c r="DK10" s="38">
        <f>DH$6*'2017B'!$G10</f>
        <v>28.41583</v>
      </c>
      <c r="DL10" s="55"/>
      <c r="DM10" s="38">
        <f>DN$6*'2017B'!$C10</f>
        <v>0</v>
      </c>
      <c r="DN10" s="38">
        <f>DN$6*'2017B'!$D10</f>
        <v>195.87561250000002</v>
      </c>
      <c r="DO10" s="38">
        <f>DM10+DN10</f>
        <v>195.87561250000002</v>
      </c>
      <c r="DP10" s="38">
        <f>DN$6*'2017B'!$F10</f>
        <v>340.0446285</v>
      </c>
      <c r="DQ10" s="38">
        <f>DN$6*'2017B'!$G10</f>
        <v>37.6229545</v>
      </c>
      <c r="DR10" s="55"/>
      <c r="DS10" s="38">
        <f>DT$6*'2017B'!$C10</f>
        <v>0</v>
      </c>
      <c r="DT10" s="38">
        <f>DT$6*'2017B'!$D10</f>
        <v>1172.4561875</v>
      </c>
      <c r="DU10" s="38">
        <f>DS10+DT10</f>
        <v>1172.4561875</v>
      </c>
      <c r="DV10" s="38">
        <f>DT$6*'2017B'!$F10</f>
        <v>2035.4112675</v>
      </c>
      <c r="DW10" s="38">
        <f>DT$6*'2017B'!$G10</f>
        <v>225.2003975</v>
      </c>
      <c r="DX10" s="55"/>
      <c r="DY10" s="38">
        <f>DZ$6*'2017B'!$C10</f>
        <v>0</v>
      </c>
      <c r="DZ10" s="38">
        <f>DZ$6*'2017B'!$D10</f>
        <v>294.2510625</v>
      </c>
      <c r="EA10" s="38">
        <f>DY10+DZ10</f>
        <v>294.2510625</v>
      </c>
      <c r="EB10" s="38">
        <f>DZ$6*'2017B'!$F10</f>
        <v>510.8267025</v>
      </c>
      <c r="EC10" s="38">
        <f>DZ$6*'2017B'!$G10</f>
        <v>56.5184925</v>
      </c>
      <c r="ED10" s="55"/>
      <c r="EE10" s="38">
        <f>EF$6*'2017B'!$C10</f>
        <v>0</v>
      </c>
      <c r="EF10" s="38">
        <f>EF$6*'2017B'!$D10</f>
        <v>780.2244125</v>
      </c>
      <c r="EG10" s="38">
        <f>EE10+EF10</f>
        <v>780.2244125</v>
      </c>
      <c r="EH10" s="38">
        <f>EF$6*'2017B'!$F10</f>
        <v>1354.4877645</v>
      </c>
      <c r="EI10" s="38">
        <f>EF$6*'2017B'!$G10</f>
        <v>149.8621865</v>
      </c>
      <c r="EJ10" s="55"/>
      <c r="EK10" s="38">
        <f>EL$6*'2017B'!$C10</f>
        <v>0</v>
      </c>
      <c r="EL10" s="38">
        <f>EL$6*'2017B'!$D10</f>
        <v>15.3776</v>
      </c>
      <c r="EM10" s="38">
        <f>EK10+EL10</f>
        <v>15.3776</v>
      </c>
      <c r="EN10" s="38">
        <f>EL$6*'2017B'!$F10</f>
        <v>26.695871999999998</v>
      </c>
      <c r="EO10" s="38">
        <f>EL$6*'2017B'!$G10</f>
        <v>2.953664</v>
      </c>
      <c r="EP10" s="55"/>
      <c r="EQ10" s="38">
        <f>ER$6*'2017B'!$C10</f>
        <v>0</v>
      </c>
      <c r="ER10" s="38">
        <f>ER$6*'2017B'!$D10</f>
        <v>461.51678749999996</v>
      </c>
      <c r="ES10" s="38">
        <f>EQ10+ER10</f>
        <v>461.51678749999996</v>
      </c>
      <c r="ET10" s="38">
        <f>ER$6*'2017B'!$F10</f>
        <v>801.2038994999999</v>
      </c>
      <c r="EU10" s="38">
        <f>ER$6*'2017B'!$G10</f>
        <v>88.6461815</v>
      </c>
      <c r="EV10" s="55"/>
      <c r="EW10" s="38">
        <f>EX$6*'2017B'!$C10</f>
        <v>0</v>
      </c>
      <c r="EX10" s="38">
        <f>EX$6*'2017B'!$D10</f>
        <v>1239.4242625</v>
      </c>
      <c r="EY10" s="38">
        <f>EW10+EX10</f>
        <v>1239.4242625</v>
      </c>
      <c r="EZ10" s="38">
        <f>EX$6*'2017B'!$F10</f>
        <v>2151.6694065</v>
      </c>
      <c r="FA10" s="38">
        <f>EX$6*'2017B'!$G10</f>
        <v>238.0633405</v>
      </c>
      <c r="FB10" s="55"/>
      <c r="FC10" s="38">
        <f>FD$6*'2017B'!$C10</f>
        <v>0</v>
      </c>
      <c r="FD10" s="38">
        <f>FD$6*'2017B'!$D10</f>
        <v>476.49965000000003</v>
      </c>
      <c r="FE10" s="38">
        <f>FC10+FD10</f>
        <v>476.49965000000003</v>
      </c>
      <c r="FF10" s="38">
        <f>FD$6*'2017B'!$F10</f>
        <v>827.214498</v>
      </c>
      <c r="FG10" s="38">
        <f>FD$6*'2017B'!$G10</f>
        <v>91.524026</v>
      </c>
      <c r="FH10" s="55"/>
      <c r="FI10" s="38">
        <f>FJ$6*'2017B'!$C10</f>
        <v>0</v>
      </c>
      <c r="FJ10" s="38">
        <f>FJ$6*'2017B'!$D10</f>
        <v>3370.4232375</v>
      </c>
      <c r="FK10" s="38">
        <f>FI10+FJ10</f>
        <v>3370.4232375</v>
      </c>
      <c r="FL10" s="38">
        <f>FJ$6*'2017B'!$F10</f>
        <v>5851.1332935</v>
      </c>
      <c r="FM10" s="38">
        <f>FJ$6*'2017B'!$G10</f>
        <v>647.3765595</v>
      </c>
      <c r="FN10" s="55"/>
      <c r="FO10" s="38">
        <f>FP$6*'2017B'!$C10</f>
        <v>0</v>
      </c>
      <c r="FP10" s="38">
        <f>FP$6*'2017B'!$D10</f>
        <v>1141.5636875</v>
      </c>
      <c r="FQ10" s="38">
        <f>FO10+FP10</f>
        <v>1141.5636875</v>
      </c>
      <c r="FR10" s="38">
        <f>FP$6*'2017B'!$F10</f>
        <v>1981.7811675</v>
      </c>
      <c r="FS10" s="38">
        <f>FP$6*'2017B'!$G10</f>
        <v>219.26669750000002</v>
      </c>
      <c r="FT10" s="55"/>
      <c r="FU10" s="38">
        <f>FV$6*'2017B'!$C10</f>
        <v>0</v>
      </c>
      <c r="FV10" s="38">
        <f>FV$6*'2017B'!$D10</f>
        <v>246.693775</v>
      </c>
      <c r="FW10" s="38">
        <f>FU10+FV10</f>
        <v>246.693775</v>
      </c>
      <c r="FX10" s="38">
        <f>FV$6*'2017B'!$F10</f>
        <v>428.266143</v>
      </c>
      <c r="FY10" s="38">
        <f>FV$6*'2017B'!$G10</f>
        <v>47.383891</v>
      </c>
      <c r="FZ10" s="55"/>
      <c r="GA10" s="38">
        <f>GB$6*'2017B'!$C10</f>
        <v>0</v>
      </c>
      <c r="GB10" s="38">
        <f>GB$6*'2017B'!$D10</f>
        <v>650.561725</v>
      </c>
      <c r="GC10" s="38">
        <f>GA10+GB10</f>
        <v>650.561725</v>
      </c>
      <c r="GD10" s="38">
        <f>GB$6*'2017B'!$F10</f>
        <v>1129.3903169999999</v>
      </c>
      <c r="GE10" s="38">
        <f>GB$6*'2017B'!$G10</f>
        <v>124.957129</v>
      </c>
      <c r="GF10" s="55"/>
      <c r="GG10" s="38">
        <f>GH$6*'2017B'!$C10</f>
        <v>0</v>
      </c>
      <c r="GH10" s="38">
        <f>GH$6*'2017B'!$D10</f>
        <v>3.5526375</v>
      </c>
      <c r="GI10" s="38">
        <f>GG10+GH10</f>
        <v>3.5526375</v>
      </c>
      <c r="GJ10" s="38">
        <f>GH$6*'2017B'!$F10</f>
        <v>6.1674615</v>
      </c>
      <c r="GK10" s="38">
        <f>GH$6*'2017B'!$G10</f>
        <v>0.6823754999999999</v>
      </c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</row>
    <row r="11" spans="1:211" s="57" customFormat="1" ht="12.75">
      <c r="A11" s="56">
        <v>45017</v>
      </c>
      <c r="B11" s="55"/>
      <c r="C11" s="38">
        <f t="shared" si="0"/>
        <v>1217913.4715000005</v>
      </c>
      <c r="D11" s="38">
        <f t="shared" si="0"/>
        <v>30447.836787500008</v>
      </c>
      <c r="E11" s="38">
        <f>C11+D11</f>
        <v>1248361.3082875004</v>
      </c>
      <c r="F11" s="38">
        <f t="shared" si="0"/>
        <v>52858.15429949999</v>
      </c>
      <c r="G11" s="38">
        <f t="shared" si="0"/>
        <v>5848.290981499999</v>
      </c>
      <c r="I11" s="38">
        <f>J$6*'2017B'!$C11</f>
        <v>48942.6445</v>
      </c>
      <c r="J11" s="38">
        <f>J$6*'2017B'!$D11</f>
        <v>1223.5661125</v>
      </c>
      <c r="K11" s="38">
        <f>I11+J11</f>
        <v>50166.2106125</v>
      </c>
      <c r="L11" s="38">
        <f>J$6*'2017B'!$F11</f>
        <v>2124.1392885</v>
      </c>
      <c r="M11" s="38">
        <f>J$6*'2017B'!$G11</f>
        <v>235.0173745</v>
      </c>
      <c r="O11" s="38">
        <f>P$6*'2017B'!$C11</f>
        <v>158501.86599999998</v>
      </c>
      <c r="P11" s="38">
        <f>P$6*'2017B'!$D11</f>
        <v>3962.5466499999998</v>
      </c>
      <c r="Q11" s="38">
        <f>O11+P11</f>
        <v>162464.41264999998</v>
      </c>
      <c r="R11" s="38">
        <f>P$6*'2017B'!$F11</f>
        <v>6879.073337999999</v>
      </c>
      <c r="S11" s="38">
        <f>P$6*'2017B'!$G11</f>
        <v>761.109106</v>
      </c>
      <c r="T11" s="55"/>
      <c r="U11" s="38">
        <f>V$6*'2017B'!$C11</f>
        <v>9067.978500000001</v>
      </c>
      <c r="V11" s="38">
        <f>V$6*'2017B'!$D11</f>
        <v>226.6994625</v>
      </c>
      <c r="W11" s="38">
        <f>U11+V11</f>
        <v>9294.677962500002</v>
      </c>
      <c r="X11" s="38">
        <f>V$6*'2017B'!$F11</f>
        <v>393.55555050000004</v>
      </c>
      <c r="Y11" s="38">
        <f>V$6*'2017B'!$G11</f>
        <v>43.5434685</v>
      </c>
      <c r="Z11" s="55"/>
      <c r="AA11" s="38">
        <f>AB$6*'2017B'!$C11</f>
        <v>35190.6765</v>
      </c>
      <c r="AB11" s="38">
        <f>AB$6*'2017B'!$D11</f>
        <v>879.7669125</v>
      </c>
      <c r="AC11" s="38">
        <f>AA11+AB11</f>
        <v>36070.443412500004</v>
      </c>
      <c r="AD11" s="38">
        <f>AB$6*'2017B'!$F11</f>
        <v>1527.2958644999999</v>
      </c>
      <c r="AE11" s="38">
        <f>AB$6*'2017B'!$G11</f>
        <v>168.9818865</v>
      </c>
      <c r="AF11" s="55"/>
      <c r="AG11" s="38">
        <f>AH$6*'2017B'!$C11</f>
        <v>91195.3465</v>
      </c>
      <c r="AH11" s="38">
        <f>AH$6*'2017B'!$D11</f>
        <v>2279.8836625</v>
      </c>
      <c r="AI11" s="38">
        <f>AG11+AH11</f>
        <v>93475.2301625</v>
      </c>
      <c r="AJ11" s="38">
        <f>AH$6*'2017B'!$F11</f>
        <v>3957.9311745</v>
      </c>
      <c r="AK11" s="38">
        <f>AH$6*'2017B'!$G11</f>
        <v>437.9103565</v>
      </c>
      <c r="AL11" s="55"/>
      <c r="AM11" s="38">
        <f>AN$6*'2017B'!$C11</f>
        <v>20841.4535</v>
      </c>
      <c r="AN11" s="38">
        <f>AN$6*'2017B'!$D11</f>
        <v>521.0363375</v>
      </c>
      <c r="AO11" s="38">
        <f>AM11+AN11</f>
        <v>21362.4898375</v>
      </c>
      <c r="AP11" s="38">
        <f>AN$6*'2017B'!$F11</f>
        <v>904.5312254999999</v>
      </c>
      <c r="AQ11" s="38">
        <f>AN$6*'2017B'!$G11</f>
        <v>100.07844349999999</v>
      </c>
      <c r="AR11" s="55"/>
      <c r="AS11" s="38">
        <f>AT$6*'2017B'!$C11</f>
        <v>271388.553</v>
      </c>
      <c r="AT11" s="38">
        <f>AT$6*'2017B'!$D11</f>
        <v>6784.713825000001</v>
      </c>
      <c r="AU11" s="38">
        <f>AS11+AT11</f>
        <v>278173.266825</v>
      </c>
      <c r="AV11" s="38">
        <f>AT$6*'2017B'!$F11</f>
        <v>11778.421329</v>
      </c>
      <c r="AW11" s="38">
        <f>AT$6*'2017B'!$G11</f>
        <v>1303.178973</v>
      </c>
      <c r="AX11" s="55"/>
      <c r="AY11" s="38">
        <f>AZ$6*'2017B'!$C11</f>
        <v>8424.728</v>
      </c>
      <c r="AZ11" s="38">
        <f>AZ$6*'2017B'!$D11</f>
        <v>210.61819999999997</v>
      </c>
      <c r="BA11" s="38">
        <f>AY11+AZ11</f>
        <v>8635.3462</v>
      </c>
      <c r="BB11" s="38">
        <f>AZ$6*'2017B'!$F11</f>
        <v>365.638104</v>
      </c>
      <c r="BC11" s="38">
        <f>AZ$6*'2017B'!$G11</f>
        <v>40.454648</v>
      </c>
      <c r="BD11" s="55"/>
      <c r="BE11" s="38">
        <f>BF$6*'2017B'!$C11</f>
        <v>10940.7505</v>
      </c>
      <c r="BF11" s="38">
        <f>BF$6*'2017B'!$D11</f>
        <v>273.5187625</v>
      </c>
      <c r="BG11" s="38">
        <f>BE11+BF11</f>
        <v>11214.2692625</v>
      </c>
      <c r="BH11" s="38">
        <f>BF$6*'2017B'!$F11</f>
        <v>474.8349465</v>
      </c>
      <c r="BI11" s="38">
        <f>BF$6*'2017B'!$G11</f>
        <v>52.5363205</v>
      </c>
      <c r="BJ11" s="55"/>
      <c r="BK11" s="38">
        <f>BL$6*'2017B'!$C11</f>
        <v>376.8885</v>
      </c>
      <c r="BL11" s="38">
        <f>BL$6*'2017B'!$D11</f>
        <v>9.4222125</v>
      </c>
      <c r="BM11" s="38">
        <f>BK11+BL11</f>
        <v>386.3107125</v>
      </c>
      <c r="BN11" s="38">
        <f>BL$6*'2017B'!$F11</f>
        <v>16.3571805</v>
      </c>
      <c r="BO11" s="38">
        <f>BL$6*'2017B'!$G11</f>
        <v>1.8097785</v>
      </c>
      <c r="BP11" s="55"/>
      <c r="BQ11" s="38">
        <f>BR$6*'2017B'!$C11</f>
        <v>413.9595</v>
      </c>
      <c r="BR11" s="38">
        <f>BR$6*'2017B'!$D11</f>
        <v>10.3489875</v>
      </c>
      <c r="BS11" s="38">
        <f>BQ11+BR11</f>
        <v>424.3084875</v>
      </c>
      <c r="BT11" s="38">
        <f>BR$6*'2017B'!$F11</f>
        <v>17.9660835</v>
      </c>
      <c r="BU11" s="38">
        <f>BR$6*'2017B'!$G11</f>
        <v>1.9877895</v>
      </c>
      <c r="BV11" s="55"/>
      <c r="BW11" s="38">
        <f>BX$6*'2017B'!$C11</f>
        <v>34915.39</v>
      </c>
      <c r="BX11" s="38">
        <f>BX$6*'2017B'!$D11</f>
        <v>872.88475</v>
      </c>
      <c r="BY11" s="38">
        <f>BW11+BX11</f>
        <v>35788.27475</v>
      </c>
      <c r="BZ11" s="38">
        <f>BX$6*'2017B'!$F11</f>
        <v>1515.3482700000002</v>
      </c>
      <c r="CA11" s="38">
        <f>BX$6*'2017B'!$G11</f>
        <v>167.65999000000002</v>
      </c>
      <c r="CB11" s="55"/>
      <c r="CC11" s="38">
        <f>CD$6*'2017B'!$C11</f>
        <v>2809.8444999999997</v>
      </c>
      <c r="CD11" s="38">
        <f>CD$6*'2017B'!$D11</f>
        <v>70.2461125</v>
      </c>
      <c r="CE11" s="38">
        <f>CC11+CD11</f>
        <v>2880.0906124999997</v>
      </c>
      <c r="CF11" s="38">
        <f>CD$6*'2017B'!$F11</f>
        <v>121.9488885</v>
      </c>
      <c r="CG11" s="38">
        <f>CD$6*'2017B'!$G11</f>
        <v>13.4925745</v>
      </c>
      <c r="CH11" s="55"/>
      <c r="CI11" s="38">
        <f>CJ$6*'2017B'!$C11</f>
        <v>3185.36</v>
      </c>
      <c r="CJ11" s="38">
        <f>CJ$6*'2017B'!$D11</f>
        <v>79.634</v>
      </c>
      <c r="CK11" s="38">
        <f>CI11+CJ11</f>
        <v>3264.994</v>
      </c>
      <c r="CL11" s="38">
        <f>CJ$6*'2017B'!$F11</f>
        <v>138.24648</v>
      </c>
      <c r="CM11" s="38">
        <f>CJ$6*'2017B'!$G11</f>
        <v>15.29576</v>
      </c>
      <c r="CN11" s="55"/>
      <c r="CO11" s="38">
        <f>CP$6*'2017B'!$C11</f>
        <v>69269.9095</v>
      </c>
      <c r="CP11" s="38">
        <f>CP$6*'2017B'!$D11</f>
        <v>1731.7477375</v>
      </c>
      <c r="CQ11" s="38">
        <f>CO11+CP11</f>
        <v>71001.6572375</v>
      </c>
      <c r="CR11" s="38">
        <f>CP$6*'2017B'!$F11</f>
        <v>3006.3544335</v>
      </c>
      <c r="CS11" s="38">
        <f>CP$6*'2017B'!$G11</f>
        <v>332.6267395</v>
      </c>
      <c r="CT11" s="55"/>
      <c r="CU11" s="38">
        <f>CV$6*'2017B'!$C11</f>
        <v>43227.532</v>
      </c>
      <c r="CV11" s="38">
        <f>CV$6*'2017B'!$D11</f>
        <v>1080.6883</v>
      </c>
      <c r="CW11" s="38">
        <f>CU11+CV11</f>
        <v>44308.2203</v>
      </c>
      <c r="CX11" s="38">
        <f>CV$6*'2017B'!$F11</f>
        <v>1876.100076</v>
      </c>
      <c r="CY11" s="38">
        <f>CV$6*'2017B'!$G11</f>
        <v>207.574012</v>
      </c>
      <c r="CZ11" s="55"/>
      <c r="DA11" s="38">
        <f>DB$6*'2017B'!$C11</f>
        <v>1366.135</v>
      </c>
      <c r="DB11" s="38">
        <f>DB$6*'2017B'!$D11</f>
        <v>34.153375000000004</v>
      </c>
      <c r="DC11" s="38">
        <f>DA11+DB11</f>
        <v>1400.288375</v>
      </c>
      <c r="DD11" s="38">
        <f>DB$6*'2017B'!$F11</f>
        <v>59.29105500000001</v>
      </c>
      <c r="DE11" s="38">
        <f>DB$6*'2017B'!$G11</f>
        <v>6.560035</v>
      </c>
      <c r="DF11" s="55"/>
      <c r="DG11" s="38">
        <f>DH$6*'2017B'!$C11</f>
        <v>5917.63</v>
      </c>
      <c r="DH11" s="38">
        <f>DH$6*'2017B'!$D11</f>
        <v>147.94075</v>
      </c>
      <c r="DI11" s="38">
        <f>DG11+DH11</f>
        <v>6065.57075</v>
      </c>
      <c r="DJ11" s="38">
        <f>DH$6*'2017B'!$F11</f>
        <v>256.82859</v>
      </c>
      <c r="DK11" s="38">
        <f>DH$6*'2017B'!$G11</f>
        <v>28.41583</v>
      </c>
      <c r="DL11" s="55"/>
      <c r="DM11" s="38">
        <f>DN$6*'2017B'!$C11</f>
        <v>7835.0245</v>
      </c>
      <c r="DN11" s="38">
        <f>DN$6*'2017B'!$D11</f>
        <v>195.87561250000002</v>
      </c>
      <c r="DO11" s="38">
        <f>DM11+DN11</f>
        <v>8030.9001125</v>
      </c>
      <c r="DP11" s="38">
        <f>DN$6*'2017B'!$F11</f>
        <v>340.0446285</v>
      </c>
      <c r="DQ11" s="38">
        <f>DN$6*'2017B'!$G11</f>
        <v>37.6229545</v>
      </c>
      <c r="DR11" s="55"/>
      <c r="DS11" s="38">
        <f>DT$6*'2017B'!$C11</f>
        <v>46898.2475</v>
      </c>
      <c r="DT11" s="38">
        <f>DT$6*'2017B'!$D11</f>
        <v>1172.4561875</v>
      </c>
      <c r="DU11" s="38">
        <f>DS11+DT11</f>
        <v>48070.7036875</v>
      </c>
      <c r="DV11" s="38">
        <f>DT$6*'2017B'!$F11</f>
        <v>2035.4112675</v>
      </c>
      <c r="DW11" s="38">
        <f>DT$6*'2017B'!$G11</f>
        <v>225.2003975</v>
      </c>
      <c r="DX11" s="55"/>
      <c r="DY11" s="38">
        <f>DZ$6*'2017B'!$C11</f>
        <v>11770.042500000001</v>
      </c>
      <c r="DZ11" s="38">
        <f>DZ$6*'2017B'!$D11</f>
        <v>294.2510625</v>
      </c>
      <c r="EA11" s="38">
        <f>DY11+DZ11</f>
        <v>12064.293562500001</v>
      </c>
      <c r="EB11" s="38">
        <f>DZ$6*'2017B'!$F11</f>
        <v>510.8267025</v>
      </c>
      <c r="EC11" s="38">
        <f>DZ$6*'2017B'!$G11</f>
        <v>56.5184925</v>
      </c>
      <c r="ED11" s="55"/>
      <c r="EE11" s="38">
        <f>EF$6*'2017B'!$C11</f>
        <v>31208.9765</v>
      </c>
      <c r="EF11" s="38">
        <f>EF$6*'2017B'!$D11</f>
        <v>780.2244125</v>
      </c>
      <c r="EG11" s="38">
        <f>EE11+EF11</f>
        <v>31989.2009125</v>
      </c>
      <c r="EH11" s="38">
        <f>EF$6*'2017B'!$F11</f>
        <v>1354.4877645</v>
      </c>
      <c r="EI11" s="38">
        <f>EF$6*'2017B'!$G11</f>
        <v>149.8621865</v>
      </c>
      <c r="EJ11" s="55"/>
      <c r="EK11" s="38">
        <f>EL$6*'2017B'!$C11</f>
        <v>615.1039999999999</v>
      </c>
      <c r="EL11" s="38">
        <f>EL$6*'2017B'!$D11</f>
        <v>15.3776</v>
      </c>
      <c r="EM11" s="38">
        <f>EK11+EL11</f>
        <v>630.4816</v>
      </c>
      <c r="EN11" s="38">
        <f>EL$6*'2017B'!$F11</f>
        <v>26.695871999999998</v>
      </c>
      <c r="EO11" s="38">
        <f>EL$6*'2017B'!$G11</f>
        <v>2.953664</v>
      </c>
      <c r="EP11" s="55"/>
      <c r="EQ11" s="38">
        <f>ER$6*'2017B'!$C11</f>
        <v>18460.6715</v>
      </c>
      <c r="ER11" s="38">
        <f>ER$6*'2017B'!$D11</f>
        <v>461.51678749999996</v>
      </c>
      <c r="ES11" s="38">
        <f>EQ11+ER11</f>
        <v>18922.1882875</v>
      </c>
      <c r="ET11" s="38">
        <f>ER$6*'2017B'!$F11</f>
        <v>801.2038994999999</v>
      </c>
      <c r="EU11" s="38">
        <f>ER$6*'2017B'!$G11</f>
        <v>88.6461815</v>
      </c>
      <c r="EV11" s="55"/>
      <c r="EW11" s="38">
        <f>EX$6*'2017B'!$C11</f>
        <v>49576.9705</v>
      </c>
      <c r="EX11" s="38">
        <f>EX$6*'2017B'!$D11</f>
        <v>1239.4242625</v>
      </c>
      <c r="EY11" s="38">
        <f>EW11+EX11</f>
        <v>50816.3947625</v>
      </c>
      <c r="EZ11" s="38">
        <f>EX$6*'2017B'!$F11</f>
        <v>2151.6694065</v>
      </c>
      <c r="FA11" s="38">
        <f>EX$6*'2017B'!$G11</f>
        <v>238.0633405</v>
      </c>
      <c r="FB11" s="55"/>
      <c r="FC11" s="38">
        <f>FD$6*'2017B'!$C11</f>
        <v>19059.986</v>
      </c>
      <c r="FD11" s="38">
        <f>FD$6*'2017B'!$D11</f>
        <v>476.49965000000003</v>
      </c>
      <c r="FE11" s="38">
        <f>FC11+FD11</f>
        <v>19536.485650000002</v>
      </c>
      <c r="FF11" s="38">
        <f>FD$6*'2017B'!$F11</f>
        <v>827.214498</v>
      </c>
      <c r="FG11" s="38">
        <f>FD$6*'2017B'!$G11</f>
        <v>91.524026</v>
      </c>
      <c r="FH11" s="55"/>
      <c r="FI11" s="38">
        <f>FJ$6*'2017B'!$C11</f>
        <v>134816.9295</v>
      </c>
      <c r="FJ11" s="38">
        <f>FJ$6*'2017B'!$D11</f>
        <v>3370.4232375</v>
      </c>
      <c r="FK11" s="38">
        <f>FI11+FJ11</f>
        <v>138187.3527375</v>
      </c>
      <c r="FL11" s="38">
        <f>FJ$6*'2017B'!$F11</f>
        <v>5851.1332935</v>
      </c>
      <c r="FM11" s="38">
        <f>FJ$6*'2017B'!$G11</f>
        <v>647.3765595</v>
      </c>
      <c r="FN11" s="55"/>
      <c r="FO11" s="38">
        <f>FP$6*'2017B'!$C11</f>
        <v>45662.5475</v>
      </c>
      <c r="FP11" s="38">
        <f>FP$6*'2017B'!$D11</f>
        <v>1141.5636875</v>
      </c>
      <c r="FQ11" s="38">
        <f>FO11+FP11</f>
        <v>46804.1111875</v>
      </c>
      <c r="FR11" s="38">
        <f>FP$6*'2017B'!$F11</f>
        <v>1981.7811675</v>
      </c>
      <c r="FS11" s="38">
        <f>FP$6*'2017B'!$G11</f>
        <v>219.26669750000002</v>
      </c>
      <c r="FT11" s="55"/>
      <c r="FU11" s="38">
        <f>FV$6*'2017B'!$C11</f>
        <v>9867.751</v>
      </c>
      <c r="FV11" s="38">
        <f>FV$6*'2017B'!$D11</f>
        <v>246.693775</v>
      </c>
      <c r="FW11" s="38">
        <f>FU11+FV11</f>
        <v>10114.444775</v>
      </c>
      <c r="FX11" s="38">
        <f>FV$6*'2017B'!$F11</f>
        <v>428.266143</v>
      </c>
      <c r="FY11" s="38">
        <f>FV$6*'2017B'!$G11</f>
        <v>47.383891</v>
      </c>
      <c r="FZ11" s="55"/>
      <c r="GA11" s="38">
        <f>GB$6*'2017B'!$C11</f>
        <v>26022.468999999997</v>
      </c>
      <c r="GB11" s="38">
        <f>GB$6*'2017B'!$D11</f>
        <v>650.561725</v>
      </c>
      <c r="GC11" s="38">
        <f>GA11+GB11</f>
        <v>26673.030724999997</v>
      </c>
      <c r="GD11" s="38">
        <f>GB$6*'2017B'!$F11</f>
        <v>1129.3903169999999</v>
      </c>
      <c r="GE11" s="38">
        <f>GB$6*'2017B'!$G11</f>
        <v>124.957129</v>
      </c>
      <c r="GF11" s="55"/>
      <c r="GG11" s="38">
        <f>GH$6*'2017B'!$C11</f>
        <v>142.10549999999998</v>
      </c>
      <c r="GH11" s="38">
        <f>GH$6*'2017B'!$D11</f>
        <v>3.5526375</v>
      </c>
      <c r="GI11" s="38">
        <f>GG11+GH11</f>
        <v>145.65813749999998</v>
      </c>
      <c r="GJ11" s="38">
        <f>GH$6*'2017B'!$F11</f>
        <v>6.1674615</v>
      </c>
      <c r="GK11" s="38">
        <f>GH$6*'2017B'!$G11</f>
        <v>0.6823754999999999</v>
      </c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</row>
    <row r="12" spans="15:211" ht="12.75">
      <c r="O12" s="55"/>
      <c r="P12" s="55"/>
      <c r="Q12" s="55"/>
      <c r="R12" s="55"/>
      <c r="S12" s="55"/>
      <c r="T12" s="38"/>
      <c r="U12" s="55"/>
      <c r="V12" s="55"/>
      <c r="W12" s="55"/>
      <c r="X12" s="55"/>
      <c r="Y12" s="55"/>
      <c r="Z12" s="38"/>
      <c r="AA12" s="55"/>
      <c r="AB12" s="38"/>
      <c r="AC12" s="55"/>
      <c r="AD12" s="55"/>
      <c r="AE12" s="55"/>
      <c r="AF12" s="38"/>
      <c r="AG12" s="55"/>
      <c r="AH12" s="55"/>
      <c r="AI12" s="55"/>
      <c r="AJ12" s="55"/>
      <c r="AK12" s="55"/>
      <c r="AL12" s="38"/>
      <c r="AM12" s="38"/>
      <c r="AN12" s="38"/>
      <c r="AO12" s="38"/>
      <c r="AP12" s="38"/>
      <c r="AQ12" s="38"/>
      <c r="AR12" s="38"/>
      <c r="AS12" s="55"/>
      <c r="AT12" s="55"/>
      <c r="AU12" s="55"/>
      <c r="AV12" s="55"/>
      <c r="AW12" s="55"/>
      <c r="AX12" s="38"/>
      <c r="AY12" s="38"/>
      <c r="AZ12" s="38"/>
      <c r="BA12" s="55"/>
      <c r="BB12" s="55"/>
      <c r="BC12" s="55"/>
      <c r="BD12" s="38"/>
      <c r="BE12" s="38"/>
      <c r="BF12" s="38"/>
      <c r="BG12" s="38"/>
      <c r="BH12" s="38"/>
      <c r="BI12" s="38"/>
      <c r="BJ12" s="38"/>
      <c r="BK12" s="55"/>
      <c r="BL12" s="55"/>
      <c r="BM12" s="55"/>
      <c r="BN12" s="55"/>
      <c r="BO12" s="55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55"/>
      <c r="DN12" s="55"/>
      <c r="DO12" s="55"/>
      <c r="DP12" s="55"/>
      <c r="DQ12" s="55"/>
      <c r="DR12" s="55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55"/>
      <c r="EF12" s="38"/>
      <c r="EG12" s="55"/>
      <c r="EH12" s="55"/>
      <c r="EI12" s="55"/>
      <c r="EJ12" s="38"/>
      <c r="EK12" s="38"/>
      <c r="EL12" s="38"/>
      <c r="EM12" s="38"/>
      <c r="EN12" s="38"/>
      <c r="EO12" s="38"/>
      <c r="EP12" s="38"/>
      <c r="EQ12" s="55"/>
      <c r="ER12" s="55"/>
      <c r="ES12" s="55"/>
      <c r="ET12" s="55"/>
      <c r="EU12" s="55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</row>
    <row r="13" spans="1:211" ht="13.5" thickBot="1">
      <c r="A13" s="36" t="s">
        <v>4</v>
      </c>
      <c r="C13" s="54">
        <f>SUM(C8:C12)</f>
        <v>2378168.9855000004</v>
      </c>
      <c r="D13" s="54">
        <f>SUM(D8:D12)</f>
        <v>179804.12285000004</v>
      </c>
      <c r="E13" s="54">
        <f>SUM(E8:E12)</f>
        <v>2557973.1083500003</v>
      </c>
      <c r="F13" s="54">
        <f>SUM(F8:F12)</f>
        <v>211432.61719799996</v>
      </c>
      <c r="G13" s="54">
        <f>SUM(G8:G12)</f>
        <v>23393.163925999997</v>
      </c>
      <c r="H13" s="54">
        <f>SUM(H8:H12)</f>
        <v>0</v>
      </c>
      <c r="I13" s="54">
        <f>SUM(I8:I12)</f>
        <v>95568.2665</v>
      </c>
      <c r="J13" s="54">
        <f>SUM(J8:J12)</f>
        <v>7225.545549999999</v>
      </c>
      <c r="K13" s="54">
        <f>SUM(K8:K12)</f>
        <v>102793.81205</v>
      </c>
      <c r="L13" s="54">
        <f>SUM(L8:L12)</f>
        <v>8496.557154</v>
      </c>
      <c r="M13" s="54">
        <f>SUM(M8:M12)</f>
        <v>940.069498</v>
      </c>
      <c r="N13" s="54">
        <f>SUM(N8:N12)</f>
        <v>0</v>
      </c>
      <c r="O13" s="54">
        <f>SUM(O8:O12)</f>
        <v>309500.002</v>
      </c>
      <c r="P13" s="54">
        <f>SUM(P8:P12)</f>
        <v>23400.093399999998</v>
      </c>
      <c r="Q13" s="54">
        <f>SUM(Q8:Q12)</f>
        <v>332900.0954</v>
      </c>
      <c r="R13" s="54">
        <f>SUM(R8:R12)</f>
        <v>27516.293351999997</v>
      </c>
      <c r="S13" s="54">
        <f>SUM(S8:S12)</f>
        <v>3044.436424</v>
      </c>
      <c r="T13" s="54">
        <f>SUM(T8:T12)</f>
        <v>0</v>
      </c>
      <c r="U13" s="54">
        <f>SUM(U8:U12)</f>
        <v>17706.6645</v>
      </c>
      <c r="V13" s="54">
        <f>SUM(V8:V12)</f>
        <v>1338.73215</v>
      </c>
      <c r="W13" s="54">
        <f>SUM(W8:W12)</f>
        <v>19045.396650000002</v>
      </c>
      <c r="X13" s="54">
        <f>SUM(X8:X12)</f>
        <v>1574.2222020000002</v>
      </c>
      <c r="Y13" s="54">
        <f>SUM(Y8:Y12)</f>
        <v>174.173874</v>
      </c>
      <c r="Z13" s="54">
        <f>SUM(Z8:Z12)</f>
        <v>0</v>
      </c>
      <c r="AA13" s="54">
        <f>SUM(AA8:AA12)</f>
        <v>68715.37049999999</v>
      </c>
      <c r="AB13" s="54">
        <f>SUM(AB8:AB12)</f>
        <v>5195.30235</v>
      </c>
      <c r="AC13" s="54">
        <f>SUM(AC8:AC12)</f>
        <v>73910.67285</v>
      </c>
      <c r="AD13" s="54">
        <f>SUM(AD8:AD12)</f>
        <v>6109.1834579999995</v>
      </c>
      <c r="AE13" s="54">
        <f>SUM(AE8:AE12)</f>
        <v>675.927546</v>
      </c>
      <c r="AF13" s="54">
        <f>SUM(AF8:AF12)</f>
        <v>0</v>
      </c>
      <c r="AG13" s="54">
        <f>SUM(AG8:AG12)</f>
        <v>178073.3605</v>
      </c>
      <c r="AH13" s="54">
        <f>SUM(AH8:AH12)</f>
        <v>13463.435350000002</v>
      </c>
      <c r="AI13" s="54">
        <f>SUM(AI8:AI12)</f>
        <v>191536.79585</v>
      </c>
      <c r="AJ13" s="54">
        <f>SUM(AJ8:AJ12)</f>
        <v>15831.724698</v>
      </c>
      <c r="AK13" s="54">
        <f>SUM(AK8:AK12)</f>
        <v>1751.641426</v>
      </c>
      <c r="AL13" s="54">
        <f>SUM(AL8:AL12)</f>
        <v>0</v>
      </c>
      <c r="AM13" s="54">
        <f>SUM(AM8:AM12)</f>
        <v>40696.239499999996</v>
      </c>
      <c r="AN13" s="54">
        <f>SUM(AN8:AN12)</f>
        <v>3076.88465</v>
      </c>
      <c r="AO13" s="54">
        <f>SUM(AO8:AO12)</f>
        <v>43773.12415</v>
      </c>
      <c r="AP13" s="54">
        <f>SUM(AP8:AP12)</f>
        <v>3618.1249019999996</v>
      </c>
      <c r="AQ13" s="54">
        <f>SUM(AQ8:AQ12)</f>
        <v>400.31377399999997</v>
      </c>
      <c r="AR13" s="54">
        <f>SUM(AR8:AR12)</f>
        <v>0</v>
      </c>
      <c r="AS13" s="54">
        <f>SUM(AS8:AS12)</f>
        <v>529929.1410000001</v>
      </c>
      <c r="AT13" s="54">
        <f>SUM(AT8:AT12)</f>
        <v>40065.8847</v>
      </c>
      <c r="AU13" s="54">
        <f>SUM(AU8:AU12)</f>
        <v>569995.0257</v>
      </c>
      <c r="AV13" s="54">
        <f>SUM(AV8:AV12)</f>
        <v>47113.685316</v>
      </c>
      <c r="AW13" s="54">
        <f>SUM(AW8:AW12)</f>
        <v>5212.715892</v>
      </c>
      <c r="AX13" s="54">
        <f>SUM(AX8:AX12)</f>
        <v>0</v>
      </c>
      <c r="AY13" s="54">
        <f>SUM(AY8:AY12)</f>
        <v>16450.615999999998</v>
      </c>
      <c r="AZ13" s="54">
        <f>SUM(AZ8:AZ12)</f>
        <v>1243.7671999999998</v>
      </c>
      <c r="BA13" s="54">
        <f>SUM(BA8:BA12)</f>
        <v>17694.3832</v>
      </c>
      <c r="BB13" s="54">
        <f>SUM(BB8:BB12)</f>
        <v>1462.552416</v>
      </c>
      <c r="BC13" s="54">
        <f>SUM(BC8:BC12)</f>
        <v>161.818592</v>
      </c>
      <c r="BD13" s="54">
        <f>SUM(BD8:BD12)</f>
        <v>0</v>
      </c>
      <c r="BE13" s="54">
        <f>SUM(BE8:BE12)</f>
        <v>21363.5485</v>
      </c>
      <c r="BF13" s="54">
        <f>SUM(BF8:BF12)</f>
        <v>1615.21495</v>
      </c>
      <c r="BG13" s="54">
        <f>SUM(BG8:BG12)</f>
        <v>22978.763450000002</v>
      </c>
      <c r="BH13" s="54">
        <f>SUM(BH8:BH12)</f>
        <v>1899.339786</v>
      </c>
      <c r="BI13" s="54">
        <f>SUM(BI8:BI12)</f>
        <v>210.145282</v>
      </c>
      <c r="BJ13" s="54">
        <f>SUM(BJ8:BJ12)</f>
        <v>0</v>
      </c>
      <c r="BK13" s="54">
        <f>SUM(BK8:BK12)</f>
        <v>735.9345000000001</v>
      </c>
      <c r="BL13" s="54">
        <f>SUM(BL8:BL12)</f>
        <v>55.64115</v>
      </c>
      <c r="BM13" s="54">
        <f>SUM(BM8:BM12)</f>
        <v>791.57565</v>
      </c>
      <c r="BN13" s="54">
        <f>SUM(BN8:BN12)</f>
        <v>65.428722</v>
      </c>
      <c r="BO13" s="54">
        <f>SUM(BO8:BO12)</f>
        <v>7.239114</v>
      </c>
      <c r="BP13" s="54">
        <f>SUM(BP8:BP12)</f>
        <v>0</v>
      </c>
      <c r="BQ13" s="54">
        <f>SUM(BQ8:BQ12)</f>
        <v>808.3215</v>
      </c>
      <c r="BR13" s="54">
        <f>SUM(BR8:BR12)</f>
        <v>61.11405</v>
      </c>
      <c r="BS13" s="54">
        <f>SUM(BS8:BS12)</f>
        <v>869.43555</v>
      </c>
      <c r="BT13" s="54">
        <f>SUM(BT8:BT12)</f>
        <v>71.864334</v>
      </c>
      <c r="BU13" s="54">
        <f>SUM(BU8:BU12)</f>
        <v>7.951158</v>
      </c>
      <c r="BV13" s="54">
        <f>SUM(BV8:BV12)</f>
        <v>0</v>
      </c>
      <c r="BW13" s="54">
        <f>SUM(BW8:BW12)</f>
        <v>68177.83</v>
      </c>
      <c r="BX13" s="54">
        <f>SUM(BX8:BX12)</f>
        <v>5154.661</v>
      </c>
      <c r="BY13" s="54">
        <f>SUM(BY8:BY12)</f>
        <v>73332.491</v>
      </c>
      <c r="BZ13" s="54">
        <f>SUM(BZ8:BZ12)</f>
        <v>6061.393080000001</v>
      </c>
      <c r="CA13" s="54">
        <f>SUM(CA8:CA12)</f>
        <v>670.6399600000001</v>
      </c>
      <c r="CB13" s="54">
        <f>SUM(CB8:CB12)</f>
        <v>0</v>
      </c>
      <c r="CC13" s="54">
        <f>SUM(CC8:CC12)</f>
        <v>5486.666499999999</v>
      </c>
      <c r="CD13" s="54">
        <f>SUM(CD8:CD12)</f>
        <v>414.82554999999996</v>
      </c>
      <c r="CE13" s="54">
        <f>SUM(CE8:CE12)</f>
        <v>5901.492049999999</v>
      </c>
      <c r="CF13" s="54">
        <f>SUM(CF8:CF12)</f>
        <v>487.795554</v>
      </c>
      <c r="CG13" s="54">
        <f>SUM(CG8:CG12)</f>
        <v>53.970298</v>
      </c>
      <c r="CH13" s="54">
        <f>SUM(CH8:CH12)</f>
        <v>0</v>
      </c>
      <c r="CI13" s="54">
        <f>SUM(CI8:CI12)</f>
        <v>6219.92</v>
      </c>
      <c r="CJ13" s="54">
        <f>SUM(CJ8:CJ12)</f>
        <v>470.264</v>
      </c>
      <c r="CK13" s="54">
        <f>SUM(CK8:CK12)</f>
        <v>6690.184</v>
      </c>
      <c r="CL13" s="54">
        <f>SUM(CL8:CL12)</f>
        <v>552.98592</v>
      </c>
      <c r="CM13" s="54">
        <f>SUM(CM8:CM12)</f>
        <v>61.18304</v>
      </c>
      <c r="CN13" s="54">
        <f>SUM(CN8:CN12)</f>
        <v>0</v>
      </c>
      <c r="CO13" s="54">
        <f>SUM(CO8:CO12)</f>
        <v>135260.47149999999</v>
      </c>
      <c r="CP13" s="54">
        <f>SUM(CP8:CP12)</f>
        <v>10226.51905</v>
      </c>
      <c r="CQ13" s="54">
        <f>SUM(CQ8:CQ12)</f>
        <v>145486.99055</v>
      </c>
      <c r="CR13" s="54">
        <f>SUM(CR8:CR12)</f>
        <v>12025.417734</v>
      </c>
      <c r="CS13" s="54">
        <f>SUM(CS8:CS12)</f>
        <v>1330.506958</v>
      </c>
      <c r="CT13" s="54">
        <f>SUM(CT8:CT12)</f>
        <v>0</v>
      </c>
      <c r="CU13" s="54">
        <f>SUM(CU8:CU12)</f>
        <v>84408.60399999999</v>
      </c>
      <c r="CV13" s="54">
        <f>SUM(CV8:CV12)</f>
        <v>6381.806799999999</v>
      </c>
      <c r="CW13" s="54">
        <f>SUM(CW8:CW12)</f>
        <v>90790.41080000001</v>
      </c>
      <c r="CX13" s="54">
        <f>SUM(CX8:CX12)</f>
        <v>7504.400304</v>
      </c>
      <c r="CY13" s="54">
        <f>SUM(CY8:CY12)</f>
        <v>830.296048</v>
      </c>
      <c r="CZ13" s="54">
        <f>SUM(CZ8:CZ12)</f>
        <v>0</v>
      </c>
      <c r="DA13" s="54">
        <f>SUM(DA8:DA12)</f>
        <v>2667.5950000000003</v>
      </c>
      <c r="DB13" s="54">
        <f>SUM(DB8:DB12)</f>
        <v>201.68650000000002</v>
      </c>
      <c r="DC13" s="54">
        <f>SUM(DC8:DC12)</f>
        <v>2869.2815</v>
      </c>
      <c r="DD13" s="54">
        <f>SUM(DD8:DD12)</f>
        <v>237.16422000000003</v>
      </c>
      <c r="DE13" s="54">
        <f>SUM(DE8:DE12)</f>
        <v>26.24014</v>
      </c>
      <c r="DF13" s="54">
        <f>SUM(DF8:DF12)</f>
        <v>0</v>
      </c>
      <c r="DG13" s="54">
        <f>SUM(DG8:DG12)</f>
        <v>11555.11</v>
      </c>
      <c r="DH13" s="54">
        <f>SUM(DH8:DH12)</f>
        <v>873.637</v>
      </c>
      <c r="DI13" s="54">
        <f>SUM(DI8:DI12)</f>
        <v>12428.747</v>
      </c>
      <c r="DJ13" s="54">
        <f>SUM(DJ8:DJ12)</f>
        <v>1027.31436</v>
      </c>
      <c r="DK13" s="54">
        <f>SUM(DK8:DK12)</f>
        <v>113.66332</v>
      </c>
      <c r="DL13" s="54">
        <f>SUM(DL8:DL12)</f>
        <v>0</v>
      </c>
      <c r="DM13" s="54">
        <f>SUM(DM8:DM12)</f>
        <v>15299.1265</v>
      </c>
      <c r="DN13" s="54">
        <f>SUM(DN8:DN12)</f>
        <v>1156.70755</v>
      </c>
      <c r="DO13" s="54">
        <f>SUM(DO8:DO12)</f>
        <v>16455.83405</v>
      </c>
      <c r="DP13" s="54">
        <f>SUM(DP8:DP12)</f>
        <v>1360.178514</v>
      </c>
      <c r="DQ13" s="54">
        <f>SUM(DQ8:DQ12)</f>
        <v>150.491818</v>
      </c>
      <c r="DR13" s="54">
        <f>SUM(DR8:DR12)</f>
        <v>0</v>
      </c>
      <c r="DS13" s="54">
        <f>SUM(DS8:DS12)</f>
        <v>91576.2575</v>
      </c>
      <c r="DT13" s="54">
        <f>SUM(DT8:DT12)</f>
        <v>6923.7252499999995</v>
      </c>
      <c r="DU13" s="54">
        <f>SUM(DU8:DU12)</f>
        <v>98499.98275</v>
      </c>
      <c r="DV13" s="54">
        <f>SUM(DV8:DV12)</f>
        <v>8141.64507</v>
      </c>
      <c r="DW13" s="54">
        <f>SUM(DW8:DW12)</f>
        <v>900.80159</v>
      </c>
      <c r="DX13" s="54">
        <f>SUM(DX8:DX12)</f>
        <v>0</v>
      </c>
      <c r="DY13" s="54">
        <f>SUM(DY8:DY12)</f>
        <v>22982.8725</v>
      </c>
      <c r="DZ13" s="54">
        <f>SUM(DZ8:DZ12)</f>
        <v>1737.6457500000001</v>
      </c>
      <c r="EA13" s="54">
        <f>SUM(EA8:EA12)</f>
        <v>24720.51825</v>
      </c>
      <c r="EB13" s="54">
        <f>SUM(EB8:EB12)</f>
        <v>2043.30681</v>
      </c>
      <c r="EC13" s="54">
        <f>SUM(EC8:EC12)</f>
        <v>226.07397</v>
      </c>
      <c r="ED13" s="54">
        <f>SUM(ED8:ED12)</f>
        <v>0</v>
      </c>
      <c r="EE13" s="54">
        <f>SUM(EE8:EE12)</f>
        <v>60940.470499999996</v>
      </c>
      <c r="EF13" s="54">
        <f>SUM(EF8:EF12)</f>
        <v>4607.47235</v>
      </c>
      <c r="EG13" s="54">
        <f>SUM(EG8:EG12)</f>
        <v>65547.94284999999</v>
      </c>
      <c r="EH13" s="54">
        <f>SUM(EH8:EH12)</f>
        <v>5417.951058</v>
      </c>
      <c r="EI13" s="54">
        <f>SUM(EI8:EI12)</f>
        <v>599.448746</v>
      </c>
      <c r="EJ13" s="54">
        <f>SUM(EJ8:EJ12)</f>
        <v>0</v>
      </c>
      <c r="EK13" s="54">
        <f>SUM(EK8:EK12)</f>
        <v>1201.0879999999997</v>
      </c>
      <c r="EL13" s="54">
        <f>SUM(EL8:EL12)</f>
        <v>90.80959999999999</v>
      </c>
      <c r="EM13" s="54">
        <f>SUM(EM8:EM12)</f>
        <v>1291.8975999999998</v>
      </c>
      <c r="EN13" s="54">
        <f>SUM(EN8:EN12)</f>
        <v>106.78348799999999</v>
      </c>
      <c r="EO13" s="54">
        <f>SUM(EO8:EO12)</f>
        <v>11.814656</v>
      </c>
      <c r="EP13" s="54">
        <f>SUM(EP8:EP12)</f>
        <v>0</v>
      </c>
      <c r="EQ13" s="54">
        <f>SUM(EQ8:EQ12)</f>
        <v>36047.385500000004</v>
      </c>
      <c r="ER13" s="54">
        <f>SUM(ER8:ER12)</f>
        <v>2725.4028499999995</v>
      </c>
      <c r="ES13" s="54">
        <f>SUM(ES8:ES12)</f>
        <v>38772.78835</v>
      </c>
      <c r="ET13" s="54">
        <f>SUM(ET8:ET12)</f>
        <v>3204.8155979999997</v>
      </c>
      <c r="EU13" s="54">
        <f>SUM(EU8:EU12)</f>
        <v>354.584726</v>
      </c>
      <c r="EV13" s="54">
        <f>SUM(EV8:EV12)</f>
        <v>0</v>
      </c>
      <c r="EW13" s="54">
        <f>SUM(EW8:EW12)</f>
        <v>96806.8885</v>
      </c>
      <c r="EX13" s="54">
        <f>SUM(EX8:EX12)</f>
        <v>7319.19295</v>
      </c>
      <c r="EY13" s="54">
        <f>SUM(EY8:EY12)</f>
        <v>104126.08145</v>
      </c>
      <c r="EZ13" s="54">
        <f>SUM(EZ8:EZ12)</f>
        <v>8606.677626</v>
      </c>
      <c r="FA13" s="54">
        <f>SUM(FA8:FA12)</f>
        <v>952.253362</v>
      </c>
      <c r="FB13" s="54">
        <f>SUM(FB8:FB12)</f>
        <v>0</v>
      </c>
      <c r="FC13" s="54">
        <f>SUM(FC8:FC12)</f>
        <v>37217.642</v>
      </c>
      <c r="FD13" s="54">
        <f>SUM(FD8:FD12)</f>
        <v>2813.8814</v>
      </c>
      <c r="FE13" s="54">
        <f>SUM(FE8:FE12)</f>
        <v>40031.523400000005</v>
      </c>
      <c r="FF13" s="54">
        <f>SUM(FF8:FF12)</f>
        <v>3308.857992</v>
      </c>
      <c r="FG13" s="54">
        <f>SUM(FG8:FG12)</f>
        <v>366.096104</v>
      </c>
      <c r="FH13" s="54">
        <f>SUM(FH8:FH12)</f>
        <v>0</v>
      </c>
      <c r="FI13" s="54">
        <f>SUM(FI8:FI12)</f>
        <v>263251.4115</v>
      </c>
      <c r="FJ13" s="54">
        <f>SUM(FJ8:FJ12)</f>
        <v>19903.41705</v>
      </c>
      <c r="FK13" s="54">
        <f>SUM(FK8:FK12)</f>
        <v>283154.82855000003</v>
      </c>
      <c r="FL13" s="54">
        <f>SUM(FL8:FL12)</f>
        <v>23404.533174</v>
      </c>
      <c r="FM13" s="54">
        <f>SUM(FM8:FM12)</f>
        <v>2589.506238</v>
      </c>
      <c r="FN13" s="54">
        <f>SUM(FN8:FN12)</f>
        <v>0</v>
      </c>
      <c r="FO13" s="54">
        <f>SUM(FO8:FO12)</f>
        <v>89163.35750000001</v>
      </c>
      <c r="FP13" s="54">
        <f>SUM(FP8:FP12)</f>
        <v>6741.29525</v>
      </c>
      <c r="FQ13" s="54">
        <f>SUM(FQ8:FQ12)</f>
        <v>95904.65275000001</v>
      </c>
      <c r="FR13" s="54">
        <f>SUM(FR8:FR12)</f>
        <v>7927.12467</v>
      </c>
      <c r="FS13" s="54">
        <f>SUM(FS8:FS12)</f>
        <v>877.0667900000001</v>
      </c>
      <c r="FT13" s="54">
        <f>SUM(FT8:FT12)</f>
        <v>0</v>
      </c>
      <c r="FU13" s="54">
        <f>SUM(FU8:FU12)</f>
        <v>19268.347</v>
      </c>
      <c r="FV13" s="54">
        <f>SUM(FV8:FV12)</f>
        <v>1456.8048999999999</v>
      </c>
      <c r="FW13" s="54">
        <f>SUM(FW8:FW12)</f>
        <v>20725.151899999997</v>
      </c>
      <c r="FX13" s="54">
        <f>SUM(FX8:FX12)</f>
        <v>1713.064572</v>
      </c>
      <c r="FY13" s="54">
        <f>SUM(FY8:FY12)</f>
        <v>189.535564</v>
      </c>
      <c r="FZ13" s="54">
        <f>SUM(FZ8:FZ12)</f>
        <v>0</v>
      </c>
      <c r="GA13" s="54">
        <f>SUM(GA8:GA12)</f>
        <v>50812.992999999995</v>
      </c>
      <c r="GB13" s="54">
        <f>SUM(GB8:GB12)</f>
        <v>3841.7731</v>
      </c>
      <c r="GC13" s="54">
        <f>SUM(GC8:GC12)</f>
        <v>54654.76609999999</v>
      </c>
      <c r="GD13" s="54">
        <f>SUM(GD8:GD12)</f>
        <v>4517.5612679999995</v>
      </c>
      <c r="GE13" s="54">
        <f>SUM(GE8:GE12)</f>
        <v>499.828516</v>
      </c>
      <c r="GF13" s="54">
        <f>SUM(GF8:GF12)</f>
        <v>0</v>
      </c>
      <c r="GG13" s="54">
        <f>SUM(GG8:GG12)</f>
        <v>277.48349999999994</v>
      </c>
      <c r="GH13" s="54">
        <f>SUM(GH8:GH12)</f>
        <v>20.97945</v>
      </c>
      <c r="GI13" s="54">
        <f>SUM(GI8:GI12)</f>
        <v>298.46295</v>
      </c>
      <c r="GJ13" s="54">
        <f>SUM(GJ8:GJ12)</f>
        <v>24.669846</v>
      </c>
      <c r="GK13" s="54">
        <f>SUM(GK8:GK12)</f>
        <v>2.7295019999999997</v>
      </c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</row>
    <row r="14" ht="13.5" thickTop="1"/>
  </sheetData>
  <sheetProtection/>
  <printOptions/>
  <pageMargins left="0.75" right="0.75" top="1" bottom="1" header="0.3" footer="0.3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2"/>
  <sheetViews>
    <sheetView zoomScalePageLayoutView="0" workbookViewId="0" topLeftCell="J1">
      <pane ySplit="5" topLeftCell="A45" activePane="bottomLeft" state="frozen"/>
      <selection pane="topLeft" activeCell="A1" sqref="A1"/>
      <selection pane="bottomLeft" activeCell="R67" sqref="R67"/>
    </sheetView>
  </sheetViews>
  <sheetFormatPr defaultColWidth="8.710937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6" customWidth="1"/>
    <col min="5" max="5" width="13.7109375" style="6" customWidth="1"/>
    <col min="6" max="7" width="14.7109375" style="6" customWidth="1"/>
    <col min="8" max="16" width="13.7109375" style="6" customWidth="1"/>
    <col min="17" max="17" width="13.7109375" style="6" hidden="1" customWidth="1"/>
    <col min="18" max="18" width="13.7109375" style="6" customWidth="1"/>
    <col min="19" max="19" width="13.7109375" style="13" customWidth="1"/>
    <col min="20" max="20" width="10.28125" style="0" bestFit="1" customWidth="1"/>
  </cols>
  <sheetData>
    <row r="1" ht="12.75">
      <c r="A1" s="21" t="s">
        <v>83</v>
      </c>
    </row>
    <row r="3" spans="1:19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0</v>
      </c>
    </row>
    <row r="4" spans="1:19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17</v>
      </c>
      <c r="G4" s="4" t="s">
        <v>22</v>
      </c>
      <c r="H4" s="4" t="s">
        <v>6</v>
      </c>
      <c r="I4" s="4" t="s">
        <v>58</v>
      </c>
      <c r="J4" s="5" t="s">
        <v>7</v>
      </c>
      <c r="K4" s="5" t="s">
        <v>18</v>
      </c>
      <c r="L4" s="5" t="s">
        <v>25</v>
      </c>
      <c r="M4" s="5" t="s">
        <v>8</v>
      </c>
      <c r="N4" s="5" t="s">
        <v>39</v>
      </c>
      <c r="O4" s="5" t="s">
        <v>19</v>
      </c>
      <c r="P4" s="4" t="s">
        <v>26</v>
      </c>
      <c r="Q4" s="4" t="s">
        <v>27</v>
      </c>
      <c r="R4" s="4" t="s">
        <v>94</v>
      </c>
      <c r="S4" s="17" t="s">
        <v>9</v>
      </c>
    </row>
    <row r="5" spans="1:19" s="12" customFormat="1" ht="13.5" thickBot="1">
      <c r="A5" s="9"/>
      <c r="B5" s="9"/>
      <c r="C5" s="9" t="s">
        <v>10</v>
      </c>
      <c r="D5" s="10">
        <f>SUM(D7:D70)</f>
        <v>102684413.51</v>
      </c>
      <c r="E5" s="10">
        <f aca="true" t="shared" si="0" ref="E5:R5">SUM(E7:E70)</f>
        <v>31607146.830000002</v>
      </c>
      <c r="F5" s="10">
        <f t="shared" si="0"/>
        <v>21036927.539999995</v>
      </c>
      <c r="G5" s="10">
        <f t="shared" si="0"/>
        <v>4580682.96</v>
      </c>
      <c r="H5" s="10">
        <f t="shared" si="0"/>
        <v>5393212.04</v>
      </c>
      <c r="I5" s="10">
        <f t="shared" si="0"/>
        <v>6216522.4</v>
      </c>
      <c r="J5" s="10">
        <f t="shared" si="0"/>
        <v>205703.8</v>
      </c>
      <c r="K5" s="10">
        <f t="shared" si="0"/>
        <v>877542.46</v>
      </c>
      <c r="L5" s="10">
        <f t="shared" si="0"/>
        <v>4311102.5</v>
      </c>
      <c r="M5" s="10">
        <f t="shared" si="0"/>
        <v>276126.24</v>
      </c>
      <c r="N5" s="10">
        <f t="shared" si="0"/>
        <v>1026650.74</v>
      </c>
      <c r="O5" s="10">
        <f t="shared" si="0"/>
        <v>26576339.12</v>
      </c>
      <c r="P5" s="10">
        <f t="shared" si="0"/>
        <v>574331.88</v>
      </c>
      <c r="Q5" s="10">
        <f t="shared" si="0"/>
        <v>0</v>
      </c>
      <c r="R5" s="10">
        <f t="shared" si="0"/>
        <v>2125</v>
      </c>
      <c r="S5" s="18"/>
    </row>
    <row r="6" spans="1:19" ht="13.5" thickTop="1">
      <c r="A6" s="7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9"/>
    </row>
    <row r="7" spans="1:19" ht="12.75">
      <c r="A7" s="33" t="s">
        <v>5</v>
      </c>
      <c r="B7" s="33" t="s">
        <v>98</v>
      </c>
      <c r="C7" t="s">
        <v>34</v>
      </c>
      <c r="D7" s="6">
        <f>SUM(E7:R7)</f>
        <v>732067.65</v>
      </c>
      <c r="E7" s="6">
        <f>81211.67+650855.98</f>
        <v>732067.65</v>
      </c>
      <c r="S7" s="13">
        <f>D7/D5</f>
        <v>0.007129296696316107</v>
      </c>
    </row>
    <row r="8" spans="1:19" ht="12.75">
      <c r="A8" s="33" t="s">
        <v>5</v>
      </c>
      <c r="B8" s="33" t="s">
        <v>141</v>
      </c>
      <c r="C8" t="s">
        <v>110</v>
      </c>
      <c r="D8" s="6">
        <f>SUM(E8:R8)</f>
        <v>0</v>
      </c>
      <c r="E8" s="6">
        <f>1807398.65-1807398.65</f>
        <v>0</v>
      </c>
      <c r="S8" s="13">
        <f>D8/D5</f>
        <v>0</v>
      </c>
    </row>
    <row r="9" spans="1:19" ht="12.75">
      <c r="A9" s="33" t="s">
        <v>5</v>
      </c>
      <c r="B9" s="33" t="s">
        <v>142</v>
      </c>
      <c r="C9" t="s">
        <v>106</v>
      </c>
      <c r="D9" s="6">
        <f>SUM(E9:R9)</f>
        <v>0</v>
      </c>
      <c r="E9" s="6">
        <f>11000-11000</f>
        <v>0</v>
      </c>
      <c r="S9" s="13">
        <f>D9/D5</f>
        <v>0</v>
      </c>
    </row>
    <row r="10" spans="1:19" ht="12.75">
      <c r="A10" t="s">
        <v>5</v>
      </c>
      <c r="B10" t="s">
        <v>143</v>
      </c>
      <c r="C10" t="s">
        <v>35</v>
      </c>
      <c r="D10" s="6">
        <f aca="true" t="shared" si="1" ref="D10:D70">SUM(E10:R10)</f>
        <v>2370810.03</v>
      </c>
      <c r="E10" s="6">
        <f>1550000+350000+474728.38-3918.35</f>
        <v>2370810.03</v>
      </c>
      <c r="S10" s="13">
        <f>D10/D5</f>
        <v>0.023088314467210904</v>
      </c>
    </row>
    <row r="11" spans="1:19" ht="12.75">
      <c r="A11" t="s">
        <v>5</v>
      </c>
      <c r="B11" t="s">
        <v>33</v>
      </c>
      <c r="C11" t="s">
        <v>99</v>
      </c>
      <c r="D11" s="6">
        <f t="shared" si="1"/>
        <v>135632</v>
      </c>
      <c r="E11" s="6">
        <f>135632</f>
        <v>135632</v>
      </c>
      <c r="S11" s="13">
        <f>D11/D5</f>
        <v>0.001320862586285224</v>
      </c>
    </row>
    <row r="12" spans="1:19" ht="12.75">
      <c r="A12" t="s">
        <v>5</v>
      </c>
      <c r="B12" s="33" t="s">
        <v>102</v>
      </c>
      <c r="C12" t="s">
        <v>11</v>
      </c>
      <c r="D12" s="6">
        <f t="shared" si="1"/>
        <v>526371.15</v>
      </c>
      <c r="E12" s="6">
        <f>3774+522597.15</f>
        <v>526371.15</v>
      </c>
      <c r="S12" s="13">
        <f>D12/D5</f>
        <v>0.005126105627985487</v>
      </c>
    </row>
    <row r="13" spans="1:19" ht="12.75">
      <c r="A13" t="s">
        <v>17</v>
      </c>
      <c r="B13" s="33" t="s">
        <v>87</v>
      </c>
      <c r="C13" t="s">
        <v>89</v>
      </c>
      <c r="D13" s="6">
        <f t="shared" si="1"/>
        <v>1364067.46</v>
      </c>
      <c r="F13" s="6">
        <f>1364067.46</f>
        <v>1364067.46</v>
      </c>
      <c r="S13" s="13">
        <f>D13/D5</f>
        <v>0.013284075093511238</v>
      </c>
    </row>
    <row r="14" spans="1:19" ht="12.75">
      <c r="A14" t="s">
        <v>17</v>
      </c>
      <c r="B14" s="33" t="s">
        <v>31</v>
      </c>
      <c r="C14" t="s">
        <v>32</v>
      </c>
      <c r="D14" s="6">
        <f t="shared" si="1"/>
        <v>311738.98</v>
      </c>
      <c r="F14" s="6">
        <f>311738.98</f>
        <v>311738.98</v>
      </c>
      <c r="S14" s="13">
        <f>D14/D5</f>
        <v>0.003035893855201705</v>
      </c>
    </row>
    <row r="15" spans="1:19" ht="12.75">
      <c r="A15" s="33" t="s">
        <v>17</v>
      </c>
      <c r="B15" s="33" t="s">
        <v>111</v>
      </c>
      <c r="C15" t="s">
        <v>11</v>
      </c>
      <c r="D15" s="6">
        <f t="shared" si="1"/>
        <v>4059336.6099999994</v>
      </c>
      <c r="F15" s="6">
        <f>1544027.56+1360111.24+574576.56+51054.73+84321.26+516500.36-71255.1</f>
        <v>4059336.6099999994</v>
      </c>
      <c r="S15" s="13">
        <f>D15/D5</f>
        <v>0.03953215947038231</v>
      </c>
    </row>
    <row r="16" spans="1:19" ht="12.75">
      <c r="A16" t="s">
        <v>17</v>
      </c>
      <c r="B16" s="33" t="s">
        <v>28</v>
      </c>
      <c r="C16" t="s">
        <v>29</v>
      </c>
      <c r="D16" s="6">
        <f t="shared" si="1"/>
        <v>126011.65</v>
      </c>
      <c r="F16" s="6">
        <f>126011.65</f>
        <v>126011.65</v>
      </c>
      <c r="S16" s="13">
        <f>D16/D5</f>
        <v>0.0012271740733828921</v>
      </c>
    </row>
    <row r="17" spans="1:19" ht="12.75">
      <c r="A17" t="s">
        <v>17</v>
      </c>
      <c r="B17" s="33" t="s">
        <v>40</v>
      </c>
      <c r="C17" t="s">
        <v>107</v>
      </c>
      <c r="D17" s="6">
        <f t="shared" si="1"/>
        <v>163651.47999999998</v>
      </c>
      <c r="F17" s="6">
        <f>18738.68+144912.8</f>
        <v>163651.47999999998</v>
      </c>
      <c r="S17" s="13">
        <f>D17/D5</f>
        <v>0.0015937324313009067</v>
      </c>
    </row>
    <row r="18" spans="1:19" ht="12.75">
      <c r="A18" t="s">
        <v>17</v>
      </c>
      <c r="B18" s="33" t="s">
        <v>40</v>
      </c>
      <c r="C18" t="s">
        <v>105</v>
      </c>
      <c r="D18" s="6">
        <f t="shared" si="1"/>
        <v>5633</v>
      </c>
      <c r="F18" s="6">
        <f>50969.4-45336.4</f>
        <v>5633</v>
      </c>
      <c r="S18" s="13">
        <f>D18/D5</f>
        <v>5.485740052896563E-05</v>
      </c>
    </row>
    <row r="19" spans="1:19" ht="12.75">
      <c r="A19" t="s">
        <v>22</v>
      </c>
      <c r="B19" s="33" t="s">
        <v>87</v>
      </c>
      <c r="C19" t="s">
        <v>93</v>
      </c>
      <c r="D19" s="6">
        <f t="shared" si="1"/>
        <v>6187.03</v>
      </c>
      <c r="G19" s="6">
        <f>6187.03</f>
        <v>6187.03</v>
      </c>
      <c r="S19" s="13">
        <f>D19/D5</f>
        <v>6.0252863979180935E-05</v>
      </c>
    </row>
    <row r="20" spans="1:19" ht="12.75">
      <c r="A20" t="s">
        <v>22</v>
      </c>
      <c r="B20" s="33" t="s">
        <v>31</v>
      </c>
      <c r="C20" t="s">
        <v>96</v>
      </c>
      <c r="D20" s="6">
        <f t="shared" si="1"/>
        <v>522256.41</v>
      </c>
      <c r="G20" s="6">
        <f>522256.41</f>
        <v>522256.41</v>
      </c>
      <c r="S20" s="13">
        <f>D20/D5</f>
        <v>0.005086033918372038</v>
      </c>
    </row>
    <row r="21" spans="1:19" ht="12.75">
      <c r="A21" t="s">
        <v>22</v>
      </c>
      <c r="B21" s="33" t="s">
        <v>40</v>
      </c>
      <c r="C21" t="s">
        <v>11</v>
      </c>
      <c r="D21" s="6">
        <f t="shared" si="1"/>
        <v>42032.08</v>
      </c>
      <c r="G21" s="6">
        <f>29240+12792.08</f>
        <v>42032.08</v>
      </c>
      <c r="S21" s="13">
        <f>D21/D5</f>
        <v>0.0004093326198518597</v>
      </c>
    </row>
    <row r="22" spans="1:19" ht="12.75">
      <c r="A22" t="s">
        <v>22</v>
      </c>
      <c r="B22" s="33" t="s">
        <v>33</v>
      </c>
      <c r="C22" t="s">
        <v>100</v>
      </c>
      <c r="D22" s="6">
        <f t="shared" si="1"/>
        <v>47644</v>
      </c>
      <c r="G22" s="6">
        <f>47644</f>
        <v>47644</v>
      </c>
      <c r="S22" s="13">
        <f>D22/D5</f>
        <v>0.00046398473119155665</v>
      </c>
    </row>
    <row r="23" spans="1:19" ht="12.75">
      <c r="A23" t="s">
        <v>6</v>
      </c>
      <c r="B23" s="33" t="s">
        <v>87</v>
      </c>
      <c r="C23" t="s">
        <v>90</v>
      </c>
      <c r="D23" s="6">
        <f t="shared" si="1"/>
        <v>1036117.46</v>
      </c>
      <c r="H23" s="6">
        <f>1036117.46</f>
        <v>1036117.46</v>
      </c>
      <c r="S23" s="13">
        <f>D23/D5</f>
        <v>0.01009030898247373</v>
      </c>
    </row>
    <row r="24" spans="1:19" ht="12.75">
      <c r="A24" t="s">
        <v>6</v>
      </c>
      <c r="B24" s="33" t="s">
        <v>87</v>
      </c>
      <c r="C24" t="s">
        <v>11</v>
      </c>
      <c r="D24" s="6">
        <f t="shared" si="1"/>
        <v>646583.42</v>
      </c>
      <c r="H24" s="6">
        <f>646583.42</f>
        <v>646583.42</v>
      </c>
      <c r="S24" s="13">
        <f>D24/D5</f>
        <v>0.006296801996507795</v>
      </c>
    </row>
    <row r="25" spans="1:19" ht="12.75">
      <c r="A25" t="s">
        <v>6</v>
      </c>
      <c r="B25" s="33" t="s">
        <v>38</v>
      </c>
      <c r="C25" t="s">
        <v>101</v>
      </c>
      <c r="D25" s="6">
        <f t="shared" si="1"/>
        <v>20439.32</v>
      </c>
      <c r="H25" s="6">
        <f>12332.83+8106.49</f>
        <v>20439.32</v>
      </c>
      <c r="S25" s="13">
        <f>D25/D5</f>
        <v>0.0001990498781785368</v>
      </c>
    </row>
    <row r="26" spans="1:19" ht="12.75">
      <c r="A26" t="s">
        <v>91</v>
      </c>
      <c r="B26" s="33" t="s">
        <v>87</v>
      </c>
      <c r="C26" t="s">
        <v>92</v>
      </c>
      <c r="D26" s="6">
        <f t="shared" si="1"/>
        <v>88511.9</v>
      </c>
      <c r="J26" s="6">
        <f>88511.9</f>
        <v>88511.9</v>
      </c>
      <c r="S26" s="13">
        <f>D26/D5</f>
        <v>0.0008619798952387277</v>
      </c>
    </row>
    <row r="27" spans="1:19" ht="12.75">
      <c r="A27" t="s">
        <v>91</v>
      </c>
      <c r="B27" t="s">
        <v>97</v>
      </c>
      <c r="C27" t="s">
        <v>11</v>
      </c>
      <c r="D27" s="6">
        <f t="shared" si="1"/>
        <v>117191.90000000001</v>
      </c>
      <c r="J27" s="6">
        <f>14229.35+102962.55</f>
        <v>117191.90000000001</v>
      </c>
      <c r="S27" s="13">
        <f>D27/D5</f>
        <v>0.0011412822646991812</v>
      </c>
    </row>
    <row r="28" spans="1:19" ht="12.75">
      <c r="A28" t="s">
        <v>18</v>
      </c>
      <c r="B28" s="33" t="s">
        <v>112</v>
      </c>
      <c r="C28" s="33" t="s">
        <v>11</v>
      </c>
      <c r="D28" s="6">
        <f t="shared" si="1"/>
        <v>701489.96</v>
      </c>
      <c r="K28" s="6">
        <f>147612.71+233660.71+95973.8+224242.74</f>
        <v>701489.96</v>
      </c>
      <c r="S28" s="13">
        <f>D28/D5</f>
        <v>0.006831513527919063</v>
      </c>
    </row>
    <row r="29" spans="1:19" ht="12.75">
      <c r="A29" t="s">
        <v>18</v>
      </c>
      <c r="B29" s="33" t="s">
        <v>31</v>
      </c>
      <c r="C29" s="33" t="s">
        <v>41</v>
      </c>
      <c r="D29" s="6">
        <f t="shared" si="1"/>
        <v>176052.5</v>
      </c>
      <c r="K29" s="6">
        <f>176052.5</f>
        <v>176052.5</v>
      </c>
      <c r="S29" s="13">
        <f>D29/D5</f>
        <v>0.0017145007112774227</v>
      </c>
    </row>
    <row r="30" spans="1:19" ht="12.75">
      <c r="A30" s="33" t="s">
        <v>25</v>
      </c>
      <c r="B30" s="33" t="s">
        <v>104</v>
      </c>
      <c r="C30" t="s">
        <v>11</v>
      </c>
      <c r="D30" s="6">
        <f t="shared" si="1"/>
        <v>466816.54</v>
      </c>
      <c r="L30" s="6">
        <f>243988.01+217559.34+5269.19</f>
        <v>466816.54</v>
      </c>
      <c r="S30" s="13">
        <f>D30/D5</f>
        <v>0.004546128512040814</v>
      </c>
    </row>
    <row r="31" spans="1:19" ht="12.75">
      <c r="A31" s="33" t="s">
        <v>25</v>
      </c>
      <c r="B31" s="33" t="s">
        <v>33</v>
      </c>
      <c r="C31" t="s">
        <v>37</v>
      </c>
      <c r="D31" s="6">
        <f t="shared" si="1"/>
        <v>9203.04</v>
      </c>
      <c r="L31" s="6">
        <f>9203.04</f>
        <v>9203.04</v>
      </c>
      <c r="S31" s="13">
        <f>D31/D5</f>
        <v>8.962450760946066E-05</v>
      </c>
    </row>
    <row r="32" spans="1:19" ht="12.75">
      <c r="A32" s="33" t="s">
        <v>8</v>
      </c>
      <c r="B32" s="33" t="s">
        <v>97</v>
      </c>
      <c r="C32" t="s">
        <v>11</v>
      </c>
      <c r="D32" s="6">
        <f t="shared" si="1"/>
        <v>276126.24</v>
      </c>
      <c r="M32" s="6">
        <f>196914.45+79211.79</f>
        <v>276126.24</v>
      </c>
      <c r="S32" s="13">
        <f>D32/D5</f>
        <v>0.002689076467998809</v>
      </c>
    </row>
    <row r="33" spans="1:19" ht="12.75">
      <c r="A33" s="33" t="s">
        <v>39</v>
      </c>
      <c r="B33" s="33" t="s">
        <v>88</v>
      </c>
      <c r="C33" t="s">
        <v>11</v>
      </c>
      <c r="D33" s="6">
        <f t="shared" si="1"/>
        <v>741560.54</v>
      </c>
      <c r="N33" s="6">
        <f>471000+270560.54</f>
        <v>741560.54</v>
      </c>
      <c r="S33" s="13">
        <f>D33/D5</f>
        <v>0.007221743930278012</v>
      </c>
    </row>
    <row r="34" spans="1:19" ht="12.75">
      <c r="A34" s="33" t="s">
        <v>39</v>
      </c>
      <c r="B34" s="33" t="s">
        <v>109</v>
      </c>
      <c r="C34" t="s">
        <v>42</v>
      </c>
      <c r="D34" s="6">
        <f t="shared" si="1"/>
        <v>285090.19999999995</v>
      </c>
      <c r="N34" s="6">
        <f>162594.45+108602.15+13893.6</f>
        <v>285090.19999999995</v>
      </c>
      <c r="S34" s="13">
        <f>D34/D5</f>
        <v>0.002776372676776658</v>
      </c>
    </row>
    <row r="35" spans="1:19" ht="12.75">
      <c r="A35" s="33" t="s">
        <v>19</v>
      </c>
      <c r="B35" s="33" t="s">
        <v>103</v>
      </c>
      <c r="C35" t="s">
        <v>11</v>
      </c>
      <c r="D35" s="6">
        <f t="shared" si="1"/>
        <v>2016547.31</v>
      </c>
      <c r="O35" s="6">
        <f>784818+650989.48+252190.59+328549.24</f>
        <v>2016547.31</v>
      </c>
      <c r="S35" s="13">
        <f>D35/D5</f>
        <v>0.019638299923713513</v>
      </c>
    </row>
    <row r="36" spans="1:19" ht="12.75">
      <c r="A36" s="33" t="s">
        <v>19</v>
      </c>
      <c r="B36" s="33" t="s">
        <v>33</v>
      </c>
      <c r="C36" t="s">
        <v>36</v>
      </c>
      <c r="D36" s="6">
        <f t="shared" si="1"/>
        <v>683001.43</v>
      </c>
      <c r="O36" s="6">
        <f>683001.43</f>
        <v>683001.43</v>
      </c>
      <c r="S36" s="13">
        <f>D36/D5</f>
        <v>0.006651461567080825</v>
      </c>
    </row>
    <row r="37" spans="1:19" ht="12.75">
      <c r="A37" s="33" t="s">
        <v>19</v>
      </c>
      <c r="B37" s="33" t="s">
        <v>23</v>
      </c>
      <c r="C37" t="s">
        <v>43</v>
      </c>
      <c r="D37" s="6">
        <f t="shared" si="1"/>
        <v>147600</v>
      </c>
      <c r="O37" s="6">
        <f>147600</f>
        <v>147600</v>
      </c>
      <c r="S37" s="13">
        <f>D37/D5</f>
        <v>0.0014374138679345513</v>
      </c>
    </row>
    <row r="38" spans="1:20" ht="12.75">
      <c r="A38" s="33" t="s">
        <v>26</v>
      </c>
      <c r="B38" s="33" t="s">
        <v>108</v>
      </c>
      <c r="C38" t="s">
        <v>11</v>
      </c>
      <c r="D38" s="6">
        <f t="shared" si="1"/>
        <v>389238.95</v>
      </c>
      <c r="P38" s="6">
        <f>291192.92+13212.88+39691.19+45141.96</f>
        <v>389238.95</v>
      </c>
      <c r="S38" s="13">
        <f>D38/D5</f>
        <v>0.003790633229473465</v>
      </c>
      <c r="T38" s="13"/>
    </row>
    <row r="39" spans="1:20" ht="12.75">
      <c r="A39" s="33" t="s">
        <v>94</v>
      </c>
      <c r="B39" s="33" t="s">
        <v>87</v>
      </c>
      <c r="C39" t="s">
        <v>95</v>
      </c>
      <c r="D39" s="6">
        <f t="shared" si="1"/>
        <v>2125</v>
      </c>
      <c r="R39" s="6">
        <f>2125</f>
        <v>2125</v>
      </c>
      <c r="S39" s="13">
        <f>D39/D5</f>
        <v>2.069447472466749E-05</v>
      </c>
      <c r="T39" s="13">
        <f>SUM(S7:S39)</f>
        <v>0.17740896224942565</v>
      </c>
    </row>
    <row r="40" spans="1:20" ht="12.75">
      <c r="A40" s="33" t="s">
        <v>5</v>
      </c>
      <c r="B40" s="33" t="s">
        <v>46</v>
      </c>
      <c r="C40" t="s">
        <v>45</v>
      </c>
      <c r="D40" s="6">
        <f t="shared" si="1"/>
        <v>17826.5</v>
      </c>
      <c r="E40" s="6">
        <f>17826.5</f>
        <v>17826.5</v>
      </c>
      <c r="S40" s="13">
        <f>D40/D5</f>
        <v>0.00017360473114319295</v>
      </c>
      <c r="T40" s="13"/>
    </row>
    <row r="41" spans="1:20" ht="12.75">
      <c r="A41" s="33" t="s">
        <v>5</v>
      </c>
      <c r="B41" s="33" t="s">
        <v>44</v>
      </c>
      <c r="C41" t="s">
        <v>45</v>
      </c>
      <c r="D41" s="6">
        <f t="shared" si="1"/>
        <v>2308599.25</v>
      </c>
      <c r="E41" s="6">
        <f>2308599.25</f>
        <v>2308599.25</v>
      </c>
      <c r="S41" s="13">
        <f>D41/D5</f>
        <v>0.022482470036946506</v>
      </c>
      <c r="T41" s="13"/>
    </row>
    <row r="42" spans="1:19" ht="12.75">
      <c r="A42" s="33" t="s">
        <v>5</v>
      </c>
      <c r="B42" s="33" t="s">
        <v>125</v>
      </c>
      <c r="C42" t="s">
        <v>47</v>
      </c>
      <c r="D42" s="6">
        <f t="shared" si="1"/>
        <v>14268891.59</v>
      </c>
      <c r="E42" s="6">
        <f>3746283.11+8522608.48+2000000</f>
        <v>14268891.59</v>
      </c>
      <c r="S42" s="13">
        <f>D42/D5</f>
        <v>0.13895869005095318</v>
      </c>
    </row>
    <row r="43" spans="1:19" ht="12.75">
      <c r="A43" s="33" t="s">
        <v>5</v>
      </c>
      <c r="B43" s="33" t="s">
        <v>30</v>
      </c>
      <c r="C43" t="s">
        <v>48</v>
      </c>
      <c r="D43" s="6">
        <f t="shared" si="1"/>
        <v>144661.94</v>
      </c>
      <c r="E43" s="6">
        <f>144661.94</f>
        <v>144661.94</v>
      </c>
      <c r="S43" s="13">
        <f>D43/D5</f>
        <v>0.0014088013463300542</v>
      </c>
    </row>
    <row r="44" spans="1:19" ht="12.75">
      <c r="A44" s="33" t="s">
        <v>5</v>
      </c>
      <c r="B44" s="33" t="s">
        <v>113</v>
      </c>
      <c r="C44" t="s">
        <v>49</v>
      </c>
      <c r="D44" s="6">
        <f t="shared" si="1"/>
        <v>4030636.77</v>
      </c>
      <c r="E44" s="6">
        <f>4030636.77</f>
        <v>4030636.77</v>
      </c>
      <c r="S44" s="13">
        <f>D44/D5</f>
        <v>0.03925266388756725</v>
      </c>
    </row>
    <row r="45" spans="1:19" ht="12.75">
      <c r="A45" s="33" t="s">
        <v>5</v>
      </c>
      <c r="B45" s="33" t="s">
        <v>113</v>
      </c>
      <c r="C45" t="s">
        <v>114</v>
      </c>
      <c r="D45" s="6">
        <f t="shared" si="1"/>
        <v>283871.46</v>
      </c>
      <c r="E45" s="6">
        <f>283871.46</f>
        <v>283871.46</v>
      </c>
      <c r="S45" s="13">
        <f>D45/D5</f>
        <v>0.002764503884246804</v>
      </c>
    </row>
    <row r="46" spans="1:19" ht="12.75">
      <c r="A46" t="s">
        <v>5</v>
      </c>
      <c r="B46" t="s">
        <v>30</v>
      </c>
      <c r="C46" s="33" t="s">
        <v>50</v>
      </c>
      <c r="D46" s="6">
        <f t="shared" si="1"/>
        <v>6562257.9</v>
      </c>
      <c r="E46" s="6">
        <f>6562257.9</f>
        <v>6562257.9</v>
      </c>
      <c r="S46" s="13">
        <f>D46/D5</f>
        <v>0.06390704952861156</v>
      </c>
    </row>
    <row r="47" spans="1:19" ht="12.75">
      <c r="A47" s="33" t="s">
        <v>5</v>
      </c>
      <c r="B47" s="33" t="s">
        <v>127</v>
      </c>
      <c r="C47" s="33" t="s">
        <v>128</v>
      </c>
      <c r="D47" s="6">
        <f t="shared" si="1"/>
        <v>225520.59</v>
      </c>
      <c r="E47" s="6">
        <f>225520.59</f>
        <v>225520.59</v>
      </c>
      <c r="S47" s="13">
        <f>D47/D5</f>
        <v>0.0021962494821868702</v>
      </c>
    </row>
    <row r="48" spans="1:19" ht="12.75">
      <c r="A48" t="s">
        <v>17</v>
      </c>
      <c r="B48" t="s">
        <v>113</v>
      </c>
      <c r="C48" t="s">
        <v>115</v>
      </c>
      <c r="D48" s="6">
        <f t="shared" si="1"/>
        <v>243144.6</v>
      </c>
      <c r="F48" s="6">
        <f>243144.6</f>
        <v>243144.6</v>
      </c>
      <c r="S48" s="13">
        <f>D48/D5</f>
        <v>0.0023678822490067705</v>
      </c>
    </row>
    <row r="49" spans="1:19" ht="12.75">
      <c r="A49" t="s">
        <v>17</v>
      </c>
      <c r="B49" t="s">
        <v>44</v>
      </c>
      <c r="C49" t="s">
        <v>52</v>
      </c>
      <c r="D49" s="6">
        <f t="shared" si="1"/>
        <v>14271425.52</v>
      </c>
      <c r="F49" s="6">
        <f>14271425.52</f>
        <v>14271425.52</v>
      </c>
      <c r="S49" s="13">
        <f>D49/D5</f>
        <v>0.13898336692170096</v>
      </c>
    </row>
    <row r="50" spans="1:19" ht="12.75">
      <c r="A50" t="s">
        <v>17</v>
      </c>
      <c r="B50" t="s">
        <v>44</v>
      </c>
      <c r="C50" t="s">
        <v>51</v>
      </c>
      <c r="D50" s="6">
        <f t="shared" si="1"/>
        <v>64227</v>
      </c>
      <c r="F50" s="6">
        <f>64227</f>
        <v>64227</v>
      </c>
      <c r="S50" s="13">
        <f>D50/D5</f>
        <v>0.0006254795426546912</v>
      </c>
    </row>
    <row r="51" spans="1:19" ht="12.75">
      <c r="A51" t="s">
        <v>17</v>
      </c>
      <c r="B51" t="s">
        <v>30</v>
      </c>
      <c r="C51" t="s">
        <v>126</v>
      </c>
      <c r="D51" s="6">
        <f t="shared" si="1"/>
        <v>195756.74</v>
      </c>
      <c r="F51" s="6">
        <f>195756.74</f>
        <v>195756.74</v>
      </c>
      <c r="S51" s="13">
        <f>D51/D5</f>
        <v>0.0019063919567592024</v>
      </c>
    </row>
    <row r="52" spans="1:19" ht="12.75">
      <c r="A52" t="s">
        <v>17</v>
      </c>
      <c r="B52" t="s">
        <v>127</v>
      </c>
      <c r="C52" t="s">
        <v>129</v>
      </c>
      <c r="D52" s="6">
        <f t="shared" si="1"/>
        <v>231934.5</v>
      </c>
      <c r="F52" s="6">
        <f>231934.5</f>
        <v>231934.5</v>
      </c>
      <c r="S52" s="13">
        <f>D52/D5</f>
        <v>0.0022587118343663022</v>
      </c>
    </row>
    <row r="53" spans="1:19" ht="12.75">
      <c r="A53" t="s">
        <v>22</v>
      </c>
      <c r="B53" t="s">
        <v>44</v>
      </c>
      <c r="C53" t="s">
        <v>53</v>
      </c>
      <c r="D53" s="6">
        <f t="shared" si="1"/>
        <v>2766852.44</v>
      </c>
      <c r="G53" s="6">
        <f>2766852.44</f>
        <v>2766852.44</v>
      </c>
      <c r="S53" s="13">
        <f>D53/D5</f>
        <v>0.026945203711277444</v>
      </c>
    </row>
    <row r="54" spans="1:19" ht="12.75">
      <c r="A54" t="s">
        <v>22</v>
      </c>
      <c r="B54" t="s">
        <v>30</v>
      </c>
      <c r="C54" s="33" t="s">
        <v>54</v>
      </c>
      <c r="D54" s="6">
        <f t="shared" si="1"/>
        <v>250722.8</v>
      </c>
      <c r="G54" s="6">
        <f>250722.8</f>
        <v>250722.8</v>
      </c>
      <c r="S54" s="13">
        <f>D54/D5</f>
        <v>0.002441683128234288</v>
      </c>
    </row>
    <row r="55" spans="1:19" ht="12.75">
      <c r="A55" t="s">
        <v>22</v>
      </c>
      <c r="B55" s="21" t="s">
        <v>56</v>
      </c>
      <c r="C55" t="s">
        <v>55</v>
      </c>
      <c r="D55" s="6">
        <f t="shared" si="1"/>
        <v>944988.2</v>
      </c>
      <c r="G55" s="6">
        <f>911339.62+33648.58</f>
        <v>944988.2</v>
      </c>
      <c r="S55" s="13">
        <f>D55/D5</f>
        <v>0.00920283972706307</v>
      </c>
    </row>
    <row r="56" spans="1:19" ht="12.75">
      <c r="A56" t="s">
        <v>6</v>
      </c>
      <c r="B56" s="33" t="s">
        <v>113</v>
      </c>
      <c r="C56" t="s">
        <v>116</v>
      </c>
      <c r="D56" s="6">
        <f t="shared" si="1"/>
        <v>2200000</v>
      </c>
      <c r="H56" s="6">
        <f>2200000</f>
        <v>2200000</v>
      </c>
      <c r="S56" s="13">
        <f>D56/D5</f>
        <v>0.021424867950243988</v>
      </c>
    </row>
    <row r="57" spans="1:19" ht="12.75">
      <c r="A57" t="s">
        <v>6</v>
      </c>
      <c r="B57" s="33" t="s">
        <v>113</v>
      </c>
      <c r="C57" t="s">
        <v>117</v>
      </c>
      <c r="D57" s="6">
        <f t="shared" si="1"/>
        <v>1068799.84</v>
      </c>
      <c r="H57" s="6">
        <f>1068799.84</f>
        <v>1068799.84</v>
      </c>
      <c r="S57" s="13">
        <f>D57/D5</f>
        <v>0.010408588835109957</v>
      </c>
    </row>
    <row r="58" spans="1:19" ht="12.75">
      <c r="A58" t="s">
        <v>6</v>
      </c>
      <c r="B58" s="33" t="s">
        <v>46</v>
      </c>
      <c r="C58" t="s">
        <v>123</v>
      </c>
      <c r="D58" s="6">
        <f t="shared" si="1"/>
        <v>184031</v>
      </c>
      <c r="H58" s="6">
        <f>184031</f>
        <v>184031</v>
      </c>
      <c r="S58" s="13">
        <f>D58/D5</f>
        <v>0.0017921999426142507</v>
      </c>
    </row>
    <row r="59" spans="1:19" ht="12.75">
      <c r="A59" t="s">
        <v>6</v>
      </c>
      <c r="B59" s="33" t="s">
        <v>30</v>
      </c>
      <c r="C59" t="s">
        <v>57</v>
      </c>
      <c r="D59" s="6">
        <f t="shared" si="1"/>
        <v>237241</v>
      </c>
      <c r="H59" s="6">
        <f>237241</f>
        <v>237241</v>
      </c>
      <c r="S59" s="13">
        <f>D59/D5</f>
        <v>0.0023103895897199247</v>
      </c>
    </row>
    <row r="60" spans="1:19" ht="12.75">
      <c r="A60" t="s">
        <v>58</v>
      </c>
      <c r="B60" t="s">
        <v>119</v>
      </c>
      <c r="C60" t="s">
        <v>59</v>
      </c>
      <c r="D60" s="6">
        <f t="shared" si="1"/>
        <v>6216522.4</v>
      </c>
      <c r="I60" s="6">
        <f>5598358.28+618164.12</f>
        <v>6216522.4</v>
      </c>
      <c r="S60" s="13">
        <f>D60/D5</f>
        <v>0.060540077968060844</v>
      </c>
    </row>
    <row r="61" spans="1:19" ht="12.75">
      <c r="A61" t="s">
        <v>25</v>
      </c>
      <c r="B61" s="33" t="s">
        <v>30</v>
      </c>
      <c r="C61" t="s">
        <v>54</v>
      </c>
      <c r="D61" s="6">
        <f t="shared" si="1"/>
        <v>1560055.75</v>
      </c>
      <c r="L61" s="6">
        <f>1560055.75</f>
        <v>1560055.75</v>
      </c>
      <c r="S61" s="13">
        <f>D61/D5</f>
        <v>0.015192722017622205</v>
      </c>
    </row>
    <row r="62" spans="1:19" ht="12.75">
      <c r="A62" t="s">
        <v>25</v>
      </c>
      <c r="B62" t="s">
        <v>44</v>
      </c>
      <c r="C62" t="s">
        <v>120</v>
      </c>
      <c r="D62" s="6">
        <f t="shared" si="1"/>
        <v>2275027.17</v>
      </c>
      <c r="L62" s="6">
        <f>2275027.17</f>
        <v>2275027.17</v>
      </c>
      <c r="S62" s="13">
        <f>D62/D5</f>
        <v>0.022155525772939673</v>
      </c>
    </row>
    <row r="63" spans="1:19" ht="12.75">
      <c r="A63" t="s">
        <v>19</v>
      </c>
      <c r="B63" t="s">
        <v>124</v>
      </c>
      <c r="C63" t="s">
        <v>118</v>
      </c>
      <c r="D63" s="6">
        <f t="shared" si="1"/>
        <v>1497358.93</v>
      </c>
      <c r="O63" s="6">
        <f>750000+713267+34091.93</f>
        <v>1497358.93</v>
      </c>
      <c r="S63" s="13">
        <f>D63/D5</f>
        <v>0.014582144249713014</v>
      </c>
    </row>
    <row r="64" spans="1:19" ht="12.75">
      <c r="A64" t="s">
        <v>19</v>
      </c>
      <c r="B64" s="33" t="s">
        <v>44</v>
      </c>
      <c r="C64" t="s">
        <v>60</v>
      </c>
      <c r="D64" s="6">
        <f t="shared" si="1"/>
        <v>700</v>
      </c>
      <c r="O64" s="6">
        <f>700</f>
        <v>700</v>
      </c>
      <c r="S64" s="13">
        <f>D64/D5</f>
        <v>6.817003438713996E-06</v>
      </c>
    </row>
    <row r="65" spans="1:19" ht="12.75">
      <c r="A65" t="s">
        <v>19</v>
      </c>
      <c r="B65" t="s">
        <v>122</v>
      </c>
      <c r="C65" t="s">
        <v>61</v>
      </c>
      <c r="D65" s="6">
        <f t="shared" si="1"/>
        <v>1863828.58</v>
      </c>
      <c r="O65" s="6">
        <f>1663828.58+200000</f>
        <v>1863828.58</v>
      </c>
      <c r="S65" s="13">
        <f>D65/D5</f>
        <v>0.018151036912904893</v>
      </c>
    </row>
    <row r="66" spans="1:19" ht="12.75">
      <c r="A66" t="s">
        <v>19</v>
      </c>
      <c r="B66" s="33" t="s">
        <v>44</v>
      </c>
      <c r="C66" t="s">
        <v>62</v>
      </c>
      <c r="D66" s="6">
        <f t="shared" si="1"/>
        <v>2183855.1</v>
      </c>
      <c r="O66" s="6">
        <f>2183855.1</f>
        <v>2183855.1</v>
      </c>
      <c r="S66" s="13">
        <f>D66/D5</f>
        <v>0.021267639609075857</v>
      </c>
    </row>
    <row r="67" spans="1:19" ht="12.75">
      <c r="A67" t="s">
        <v>19</v>
      </c>
      <c r="B67" s="33" t="s">
        <v>130</v>
      </c>
      <c r="C67" t="s">
        <v>121</v>
      </c>
      <c r="D67" s="6">
        <f t="shared" si="1"/>
        <v>6966253.47</v>
      </c>
      <c r="O67" s="6">
        <f>6749999.97+216253.5</f>
        <v>6966253.47</v>
      </c>
      <c r="S67" s="13">
        <f>D67/D5</f>
        <v>0.06784139122849044</v>
      </c>
    </row>
    <row r="68" spans="1:19" ht="12.75">
      <c r="A68" t="s">
        <v>19</v>
      </c>
      <c r="B68" t="s">
        <v>46</v>
      </c>
      <c r="C68" t="s">
        <v>63</v>
      </c>
      <c r="D68" s="6">
        <f t="shared" si="1"/>
        <v>11183676.77</v>
      </c>
      <c r="O68" s="6">
        <f>11183676.77</f>
        <v>11183676.77</v>
      </c>
      <c r="S68" s="13">
        <f>D68/D5</f>
        <v>0.10891308999793692</v>
      </c>
    </row>
    <row r="69" spans="1:19" ht="12.75">
      <c r="A69" t="s">
        <v>19</v>
      </c>
      <c r="B69" t="s">
        <v>20</v>
      </c>
      <c r="C69" t="s">
        <v>21</v>
      </c>
      <c r="D69" s="6">
        <f t="shared" si="1"/>
        <v>33517.53</v>
      </c>
      <c r="O69" s="6">
        <f>33517.53</f>
        <v>33517.53</v>
      </c>
      <c r="S69" s="13">
        <f>D69/D5</f>
        <v>0.0003264130246674279</v>
      </c>
    </row>
    <row r="70" spans="1:19" ht="12.75">
      <c r="A70" t="s">
        <v>26</v>
      </c>
      <c r="B70" t="s">
        <v>44</v>
      </c>
      <c r="C70" t="s">
        <v>120</v>
      </c>
      <c r="D70" s="6">
        <f t="shared" si="1"/>
        <v>185092.93</v>
      </c>
      <c r="P70" s="6">
        <f>185092.93</f>
        <v>185092.93</v>
      </c>
      <c r="S70" s="13">
        <f>D70/D5</f>
        <v>0.00180254162898807</v>
      </c>
    </row>
    <row r="71" spans="4:19" ht="12.75"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20"/>
    </row>
    <row r="72" spans="2:19" s="13" customFormat="1" ht="13.5" thickBot="1">
      <c r="B72" s="60"/>
      <c r="C72" s="14" t="s">
        <v>12</v>
      </c>
      <c r="D72" s="15">
        <f>SUM(E72:R72)</f>
        <v>0.9999999999999999</v>
      </c>
      <c r="E72" s="15">
        <f>E5/D5</f>
        <v>0.30780861232578316</v>
      </c>
      <c r="F72" s="15">
        <f>F5/D5</f>
        <v>0.20486972482879592</v>
      </c>
      <c r="G72" s="15">
        <f>G5/D5</f>
        <v>0.04460933069996944</v>
      </c>
      <c r="H72" s="15">
        <f>H5/D5</f>
        <v>0.052522207174848186</v>
      </c>
      <c r="I72" s="15">
        <f>I5/D5</f>
        <v>0.060540077968060844</v>
      </c>
      <c r="J72" s="15">
        <f>J5/D5</f>
        <v>0.002003262159937909</v>
      </c>
      <c r="K72" s="15">
        <f>K5/D5</f>
        <v>0.008546014239196485</v>
      </c>
      <c r="L72" s="15">
        <f>L5/D5</f>
        <v>0.041984000810212155</v>
      </c>
      <c r="M72" s="15">
        <f>M5/D5</f>
        <v>0.002689076467998809</v>
      </c>
      <c r="N72" s="15">
        <f>N5/D5</f>
        <v>0.00999811660705467</v>
      </c>
      <c r="O72" s="15">
        <f>O5/D5</f>
        <v>0.2588157073849562</v>
      </c>
      <c r="P72" s="15">
        <f>P5/D5</f>
        <v>0.005593174858461535</v>
      </c>
      <c r="Q72" s="15">
        <f>Q5/D5</f>
        <v>0</v>
      </c>
      <c r="R72" s="15">
        <f>R5/D5</f>
        <v>2.069447472466749E-05</v>
      </c>
      <c r="S72" s="15">
        <f>SUM(S7:S71)</f>
        <v>1</v>
      </c>
    </row>
    <row r="73" spans="1:19" s="13" customFormat="1" ht="13.5" thickTop="1">
      <c r="A73" s="39"/>
      <c r="C73" s="1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13" customFormat="1" ht="12.75">
      <c r="A74" s="39" t="s">
        <v>144</v>
      </c>
      <c r="C74" s="1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ht="12.75">
      <c r="A75" s="40"/>
    </row>
    <row r="76" spans="1:19" s="57" customFormat="1" ht="12.75">
      <c r="A76" s="39"/>
      <c r="B76" s="7"/>
      <c r="C76" s="7"/>
      <c r="D76" s="19"/>
      <c r="E76" s="32"/>
      <c r="F76" s="32"/>
      <c r="G76" s="3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31"/>
    </row>
    <row r="77" spans="1:19" s="57" customFormat="1" ht="12.75">
      <c r="A77" s="7"/>
      <c r="B77" s="7"/>
      <c r="C77" s="7"/>
      <c r="D77" s="19"/>
      <c r="E77" s="32"/>
      <c r="F77" s="32"/>
      <c r="G77" s="3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31"/>
    </row>
    <row r="78" spans="4:7" ht="12.75">
      <c r="D78" s="13"/>
      <c r="G78" s="40"/>
    </row>
    <row r="79" spans="4:7" ht="12.75">
      <c r="D79" s="13"/>
      <c r="G79" s="40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spans="3:4" ht="12.75">
      <c r="C89" s="21"/>
      <c r="D89" s="13"/>
    </row>
    <row r="90" ht="12.75">
      <c r="D90" s="13"/>
    </row>
    <row r="91" ht="12.75">
      <c r="D91" s="13"/>
    </row>
    <row r="92" ht="12.75">
      <c r="D92" s="13"/>
    </row>
  </sheetData>
  <sheetProtection/>
  <printOptions/>
  <pageMargins left="1" right="0" top="0" bottom="0" header="0.5" footer="0"/>
  <pageSetup horizontalDpi="300" verticalDpi="300" orientation="landscape" paperSize="5" scale="60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2022-02-03T21:24:01Z</cp:lastPrinted>
  <dcterms:created xsi:type="dcterms:W3CDTF">1998-02-23T20:58:01Z</dcterms:created>
  <dcterms:modified xsi:type="dcterms:W3CDTF">2022-02-03T21:24:16Z</dcterms:modified>
  <cp:category/>
  <cp:version/>
  <cp:contentType/>
  <cp:contentStatus/>
</cp:coreProperties>
</file>