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68" activeTab="0"/>
  </bookViews>
  <sheets>
    <sheet name="2012A" sheetId="1" r:id="rId1"/>
    <sheet name="2012A Academic" sheetId="2" r:id="rId2"/>
    <sheet name="2012D" sheetId="3" r:id="rId3"/>
    <sheet name="2012D Academic" sheetId="4" r:id="rId4"/>
  </sheets>
  <definedNames>
    <definedName name="_xlnm.Print_Titles" localSheetId="0">'2012A'!$A:$A</definedName>
    <definedName name="_xlnm.Print_Titles" localSheetId="1">'2012A Academic'!$A:$A</definedName>
    <definedName name="_xlnm.Print_Titles" localSheetId="2">'2012D'!$A:$A</definedName>
    <definedName name="_xlnm.Print_Titles" localSheetId="3">'2012D Academic'!$A:$A</definedName>
  </definedNames>
  <calcPr fullCalcOnLoad="1"/>
</workbook>
</file>

<file path=xl/sharedStrings.xml><?xml version="1.0" encoding="utf-8"?>
<sst xmlns="http://schemas.openxmlformats.org/spreadsheetml/2006/main" count="816" uniqueCount="61">
  <si>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</si>
  <si>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</si>
  <si>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</si>
  <si>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</si>
  <si>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</si>
  <si>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</si>
  <si>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</si>
  <si>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</si>
  <si>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</si>
  <si>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</si>
  <si>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UMBC Equip Information Tech Bldg (Academic)</t>
  </si>
  <si>
    <t xml:space="preserve">     UMCP Health Center Addition (Auxiliary)</t>
  </si>
  <si>
    <t>UMCP South Campus Parking Garage (Auxiliary)</t>
  </si>
  <si>
    <t xml:space="preserve">   UMCP Queen Anne's Hall Renov (Auxiliary)</t>
  </si>
  <si>
    <t xml:space="preserve">        UMES Facilities Renewal (Academic)</t>
  </si>
  <si>
    <t xml:space="preserve">        BSU Facilities Renewal (Academic)</t>
  </si>
  <si>
    <t xml:space="preserve">        CSU Facilities Renewal (Academic)</t>
  </si>
  <si>
    <t xml:space="preserve">        FSU Facilities Renewal (Academic)</t>
  </si>
  <si>
    <t xml:space="preserve">        SU Facilities Renewal (Academic)</t>
  </si>
  <si>
    <t xml:space="preserve">         TU Fine Arts Center (Academic)</t>
  </si>
  <si>
    <t xml:space="preserve">          TU New Child Care Center (Auxiliary)</t>
  </si>
  <si>
    <t xml:space="preserve">        UB New Student Center (Auxiliary)</t>
  </si>
  <si>
    <t xml:space="preserve">           Total Academic Projects - 2005A</t>
  </si>
  <si>
    <t xml:space="preserve">           Total Auxiliary Projects - 2005A</t>
  </si>
  <si>
    <t xml:space="preserve">   UMCP Emergency Fund Projects (Academic)</t>
  </si>
  <si>
    <t xml:space="preserve">           UMB Facilities Renewal (Academic)</t>
  </si>
  <si>
    <t xml:space="preserve">          UMB New Dental School (Academic)</t>
  </si>
  <si>
    <t xml:space="preserve"> UMES Social Sci/Education Health (Academic)</t>
  </si>
  <si>
    <t xml:space="preserve">      UMBC Facilities Renewal (Academic)</t>
  </si>
  <si>
    <t xml:space="preserve">   UMBC Emergency Fund Projects (Academic)</t>
  </si>
  <si>
    <t xml:space="preserve">      CEES Facilities Renewal (Academic)</t>
  </si>
  <si>
    <t xml:space="preserve">    USM Emergency Fund Projects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</si>
  <si>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</si>
  <si>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</si>
  <si>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</si>
  <si>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UMB Pine Street Annex  (Auxiliary)</t>
  </si>
  <si>
    <t xml:space="preserve">     UMES Murphy Hall Renovation  (Auxiliary)</t>
  </si>
  <si>
    <t xml:space="preserve">        UMES New Residence Hall  (Auxiliary)</t>
  </si>
  <si>
    <t xml:space="preserve"> UMES New Student Services Center 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</si>
  <si>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</si>
  <si>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</si>
  <si>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</si>
  <si>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</si>
  <si>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</si>
  <si>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BSU Holmes Hall/Tubman Hall Renov (Auxiliary)</t>
  </si>
  <si>
    <t xml:space="preserve">        TU 7800 York Road Garage (Auxiliary)</t>
  </si>
  <si>
    <t xml:space="preserve">         TU Towsontown Garage (Auxiliary)</t>
  </si>
  <si>
    <t xml:space="preserve">      TU Towson Center Arena (Auxiliary)</t>
  </si>
  <si>
    <t xml:space="preserve">     CEES Aquaculture Building (Academic)</t>
  </si>
  <si>
    <t>Amort of</t>
  </si>
  <si>
    <t>Premium</t>
  </si>
  <si>
    <t>Loss on refunding</t>
  </si>
  <si>
    <t>Revised 2005A debt after 2011B</t>
  </si>
  <si>
    <t>2005A Refinanced on 2011B</t>
  </si>
  <si>
    <t>Revised 2005A debt after 2012A</t>
  </si>
  <si>
    <t>2005 Series A Bond Funded Projects after 2012A</t>
  </si>
  <si>
    <t>2005A Refinanced on 2012A</t>
  </si>
  <si>
    <t>Gain on refunding</t>
  </si>
  <si>
    <t>Revised 2005A debt after 2012D</t>
  </si>
  <si>
    <t>2005 Series A Bond Funded Projects after 2012D</t>
  </si>
  <si>
    <t>2005A Refinanced on 2012D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</si>
</sst>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_(* #,##0.00000_);_(* \(#,##0.00000\);_(* &quot;-&quot;???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41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38" fontId="0" fillId="33" borderId="11" xfId="0" applyNumberFormat="1" applyFill="1" applyBorder="1" applyAlignment="1">
      <alignment horizontal="left"/>
    </xf>
    <xf numFmtId="38" fontId="41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Z57"/>
  <sheetViews>
    <sheetView tabSelected="1" zoomScale="150" zoomScaleNormal="150" zoomScalePageLayoutView="0" workbookViewId="0" topLeftCell="A1">
      <selection activeCell="D12" sqref="D12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55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2012A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2012A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2012A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2012A</v>
      </c>
      <c r="CL3"/>
      <c r="CM3"/>
      <c r="CN3"/>
      <c r="CO3"/>
      <c r="CW3" s="24"/>
      <c r="DC3" s="24" t="str">
        <f>CK3</f>
        <v>2005 Series A Bond Funded Projects after 2012A</v>
      </c>
      <c r="DO3" s="24"/>
      <c r="DU3" s="24" t="str">
        <f>DC3</f>
        <v>2005 Series A Bond Funded Projects after 2012A</v>
      </c>
      <c r="EG3" s="24"/>
      <c r="EI3" s="41"/>
      <c r="EJ3" s="3"/>
      <c r="EK3" s="3"/>
      <c r="EL3" s="24" t="str">
        <f>DU3</f>
        <v>2005 Series A Bond Funded Projects after 2012A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2012A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2012A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7" t="s">
        <v>54</v>
      </c>
      <c r="D5" s="17"/>
      <c r="E5" s="18"/>
      <c r="F5" s="20"/>
      <c r="G5" s="20"/>
      <c r="I5" s="16" t="s">
        <v>22</v>
      </c>
      <c r="J5" s="17"/>
      <c r="K5" s="18"/>
      <c r="L5" s="20"/>
      <c r="M5" s="20"/>
      <c r="O5" s="16" t="s">
        <v>23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34</v>
      </c>
      <c r="AN5" s="6"/>
      <c r="AO5" s="7"/>
      <c r="AP5" s="20"/>
      <c r="AQ5" s="20"/>
      <c r="AS5" s="5" t="s">
        <v>35</v>
      </c>
      <c r="AT5" s="6"/>
      <c r="AU5" s="7"/>
      <c r="AV5" s="20"/>
      <c r="AW5" s="20"/>
      <c r="AY5" s="5" t="s">
        <v>36</v>
      </c>
      <c r="AZ5" s="6"/>
      <c r="BA5" s="7"/>
      <c r="BB5" s="20"/>
      <c r="BC5" s="20"/>
      <c r="BE5" s="5" t="s">
        <v>37</v>
      </c>
      <c r="BF5" s="6"/>
      <c r="BG5" s="7"/>
      <c r="BH5" s="20"/>
      <c r="BI5" s="20"/>
      <c r="BK5" s="5" t="s">
        <v>38</v>
      </c>
      <c r="BL5" s="6"/>
      <c r="BM5" s="7"/>
      <c r="BN5" s="20"/>
      <c r="BO5" s="20"/>
      <c r="BQ5" s="5" t="s">
        <v>39</v>
      </c>
      <c r="BR5" s="6"/>
      <c r="BS5" s="7"/>
      <c r="BT5" s="20"/>
      <c r="BU5" s="20"/>
      <c r="BW5" s="5" t="s">
        <v>40</v>
      </c>
      <c r="BX5" s="6"/>
      <c r="BY5" s="7"/>
      <c r="BZ5" s="20"/>
      <c r="CA5" s="20"/>
      <c r="CC5" s="33" t="s">
        <v>41</v>
      </c>
      <c r="CD5" s="6"/>
      <c r="CE5" s="7"/>
      <c r="CF5" s="20"/>
      <c r="CG5" s="20"/>
      <c r="CI5" s="5" t="s">
        <v>42</v>
      </c>
      <c r="CJ5" s="6"/>
      <c r="CK5" s="7"/>
      <c r="CL5" s="20"/>
      <c r="CM5" s="20"/>
      <c r="CO5" s="5" t="s">
        <v>43</v>
      </c>
      <c r="CP5" s="6"/>
      <c r="CQ5" s="7"/>
      <c r="CR5" s="20"/>
      <c r="CS5" s="20"/>
      <c r="CU5" s="33" t="s">
        <v>44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46</v>
      </c>
      <c r="DH5" s="6"/>
      <c r="DI5" s="7"/>
      <c r="DJ5" s="20"/>
      <c r="DK5" s="20"/>
      <c r="DL5" s="39"/>
      <c r="DM5" s="5" t="s">
        <v>47</v>
      </c>
      <c r="DN5" s="6"/>
      <c r="DO5" s="7"/>
      <c r="DP5" s="20"/>
      <c r="DQ5" s="20"/>
      <c r="DS5" s="5" t="s">
        <v>45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3" t="s">
        <v>7</v>
      </c>
      <c r="EF5" s="6"/>
      <c r="EG5" s="7"/>
      <c r="EH5" s="20"/>
    </row>
    <row r="6" spans="1:138" s="1" customFormat="1" ht="12.75">
      <c r="A6" s="25" t="s">
        <v>2</v>
      </c>
      <c r="C6" s="35" t="s">
        <v>56</v>
      </c>
      <c r="D6" s="34"/>
      <c r="E6" s="18"/>
      <c r="F6" s="20" t="s">
        <v>49</v>
      </c>
      <c r="G6" s="20" t="s">
        <v>49</v>
      </c>
      <c r="H6" s="14"/>
      <c r="I6" s="19"/>
      <c r="J6" s="38">
        <v>0.5605926</v>
      </c>
      <c r="K6" s="18"/>
      <c r="L6" s="20" t="s">
        <v>49</v>
      </c>
      <c r="M6" s="20" t="s">
        <v>49</v>
      </c>
      <c r="N6" s="14"/>
      <c r="O6" s="19"/>
      <c r="P6" s="32">
        <f>V6+AB6+AH6+AN6+AT6+AZ6+BF6+BL6+BR6+BX6+CD6+CJ6+CP6+CV6+DB6+DH6+DN6+EF6+DT6+DZ6</f>
        <v>0.4394074</v>
      </c>
      <c r="Q6" s="18"/>
      <c r="R6" s="20" t="s">
        <v>49</v>
      </c>
      <c r="S6" s="20" t="s">
        <v>49</v>
      </c>
      <c r="T6" s="14"/>
      <c r="U6" s="26"/>
      <c r="V6" s="13">
        <v>0.0074748</v>
      </c>
      <c r="W6" s="27"/>
      <c r="X6" s="20" t="s">
        <v>49</v>
      </c>
      <c r="Y6" s="20" t="s">
        <v>49</v>
      </c>
      <c r="AA6" s="26"/>
      <c r="AB6" s="13">
        <v>0.0034282</v>
      </c>
      <c r="AC6" s="27"/>
      <c r="AD6" s="20" t="s">
        <v>49</v>
      </c>
      <c r="AE6" s="20" t="s">
        <v>49</v>
      </c>
      <c r="AG6" s="26"/>
      <c r="AH6" s="13">
        <v>0.0007099</v>
      </c>
      <c r="AI6" s="27"/>
      <c r="AJ6" s="20" t="s">
        <v>49</v>
      </c>
      <c r="AK6" s="20" t="s">
        <v>49</v>
      </c>
      <c r="AM6" s="26"/>
      <c r="AN6" s="13">
        <v>0.0758946</v>
      </c>
      <c r="AO6" s="27"/>
      <c r="AP6" s="20" t="s">
        <v>49</v>
      </c>
      <c r="AQ6" s="20" t="s">
        <v>49</v>
      </c>
      <c r="AS6" s="26"/>
      <c r="AT6" s="13">
        <v>0.0004174</v>
      </c>
      <c r="AU6" s="27"/>
      <c r="AV6" s="20" t="s">
        <v>49</v>
      </c>
      <c r="AW6" s="20" t="s">
        <v>49</v>
      </c>
      <c r="AY6" s="26"/>
      <c r="AZ6" s="13">
        <v>0.0004407</v>
      </c>
      <c r="BA6" s="27"/>
      <c r="BB6" s="20" t="s">
        <v>49</v>
      </c>
      <c r="BC6" s="20" t="s">
        <v>49</v>
      </c>
      <c r="BE6" s="26"/>
      <c r="BF6" s="13">
        <v>0.0001236</v>
      </c>
      <c r="BG6" s="27"/>
      <c r="BH6" s="20" t="s">
        <v>49</v>
      </c>
      <c r="BI6" s="20" t="s">
        <v>49</v>
      </c>
      <c r="BK6" s="26"/>
      <c r="BL6" s="13">
        <v>0.0022776</v>
      </c>
      <c r="BM6" s="27"/>
      <c r="BN6" s="20" t="s">
        <v>49</v>
      </c>
      <c r="BO6" s="20" t="s">
        <v>49</v>
      </c>
      <c r="BQ6" s="26"/>
      <c r="BR6" s="13">
        <v>0.003395</v>
      </c>
      <c r="BS6" s="27"/>
      <c r="BT6" s="20" t="s">
        <v>49</v>
      </c>
      <c r="BU6" s="20" t="s">
        <v>49</v>
      </c>
      <c r="BW6" s="26"/>
      <c r="BX6" s="13">
        <v>0.04</v>
      </c>
      <c r="BY6" s="27"/>
      <c r="BZ6" s="20" t="s">
        <v>49</v>
      </c>
      <c r="CA6" s="20" t="s">
        <v>49</v>
      </c>
      <c r="CC6" s="26"/>
      <c r="CD6" s="13">
        <v>0.0019842</v>
      </c>
      <c r="CE6" s="27"/>
      <c r="CF6" s="20" t="s">
        <v>49</v>
      </c>
      <c r="CG6" s="20" t="s">
        <v>49</v>
      </c>
      <c r="CI6" s="26"/>
      <c r="CJ6" s="13">
        <v>0.0158629</v>
      </c>
      <c r="CK6" s="27"/>
      <c r="CL6" s="20" t="s">
        <v>49</v>
      </c>
      <c r="CM6" s="20" t="s">
        <v>49</v>
      </c>
      <c r="CO6" s="26"/>
      <c r="CP6" s="13">
        <v>0.0086838</v>
      </c>
      <c r="CQ6" s="27"/>
      <c r="CR6" s="20" t="s">
        <v>49</v>
      </c>
      <c r="CS6" s="20" t="s">
        <v>49</v>
      </c>
      <c r="CU6" s="26"/>
      <c r="CV6" s="13">
        <v>0.0008615</v>
      </c>
      <c r="CW6" s="27"/>
      <c r="CX6" s="20" t="s">
        <v>49</v>
      </c>
      <c r="CY6" s="20" t="s">
        <v>49</v>
      </c>
      <c r="DA6" s="26"/>
      <c r="DB6" s="13">
        <v>0.061203</v>
      </c>
      <c r="DC6" s="27"/>
      <c r="DD6" s="20" t="s">
        <v>49</v>
      </c>
      <c r="DE6" s="20" t="s">
        <v>49</v>
      </c>
      <c r="DG6" s="26"/>
      <c r="DH6" s="13">
        <v>0.0144306</v>
      </c>
      <c r="DI6" s="27"/>
      <c r="DJ6" s="20" t="s">
        <v>49</v>
      </c>
      <c r="DK6" s="20" t="s">
        <v>49</v>
      </c>
      <c r="DL6" s="10"/>
      <c r="DM6" s="26"/>
      <c r="DN6" s="13">
        <v>0.0024027</v>
      </c>
      <c r="DO6" s="27"/>
      <c r="DP6" s="20" t="s">
        <v>49</v>
      </c>
      <c r="DQ6" s="20" t="s">
        <v>49</v>
      </c>
      <c r="DS6" s="26"/>
      <c r="DT6" s="13">
        <v>0.0025862</v>
      </c>
      <c r="DU6" s="27"/>
      <c r="DV6" s="20" t="s">
        <v>49</v>
      </c>
      <c r="DW6" s="20" t="s">
        <v>49</v>
      </c>
      <c r="DY6" s="26"/>
      <c r="DZ6" s="13">
        <v>0.1972307</v>
      </c>
      <c r="EA6" s="27"/>
      <c r="EB6" s="20" t="s">
        <v>49</v>
      </c>
      <c r="EC6" s="20" t="s">
        <v>49</v>
      </c>
      <c r="EE6" s="26"/>
      <c r="EF6" s="13"/>
      <c r="EG6" s="27"/>
      <c r="EH6" s="20" t="s">
        <v>49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50</v>
      </c>
      <c r="G7" s="48" t="s">
        <v>57</v>
      </c>
      <c r="I7" s="20" t="s">
        <v>3</v>
      </c>
      <c r="J7" s="20" t="s">
        <v>4</v>
      </c>
      <c r="K7" s="20" t="s">
        <v>0</v>
      </c>
      <c r="L7" s="20" t="s">
        <v>50</v>
      </c>
      <c r="M7" s="48" t="s">
        <v>57</v>
      </c>
      <c r="O7" s="20" t="s">
        <v>3</v>
      </c>
      <c r="P7" s="20" t="s">
        <v>4</v>
      </c>
      <c r="Q7" s="20" t="s">
        <v>0</v>
      </c>
      <c r="R7" s="20" t="s">
        <v>50</v>
      </c>
      <c r="S7" s="48" t="s">
        <v>57</v>
      </c>
      <c r="U7" s="9" t="s">
        <v>3</v>
      </c>
      <c r="V7" s="9" t="s">
        <v>4</v>
      </c>
      <c r="W7" s="9" t="s">
        <v>0</v>
      </c>
      <c r="X7" s="20" t="s">
        <v>50</v>
      </c>
      <c r="Y7" s="48" t="s">
        <v>57</v>
      </c>
      <c r="AA7" s="9" t="s">
        <v>3</v>
      </c>
      <c r="AB7" s="9" t="s">
        <v>4</v>
      </c>
      <c r="AC7" s="9" t="s">
        <v>0</v>
      </c>
      <c r="AD7" s="20" t="s">
        <v>50</v>
      </c>
      <c r="AE7" s="48" t="s">
        <v>57</v>
      </c>
      <c r="AG7" s="9" t="s">
        <v>3</v>
      </c>
      <c r="AH7" s="9" t="s">
        <v>4</v>
      </c>
      <c r="AI7" s="9" t="s">
        <v>0</v>
      </c>
      <c r="AJ7" s="20" t="s">
        <v>50</v>
      </c>
      <c r="AK7" s="48" t="s">
        <v>57</v>
      </c>
      <c r="AM7" s="9" t="s">
        <v>3</v>
      </c>
      <c r="AN7" s="9" t="s">
        <v>4</v>
      </c>
      <c r="AO7" s="9" t="s">
        <v>0</v>
      </c>
      <c r="AP7" s="20" t="s">
        <v>50</v>
      </c>
      <c r="AQ7" s="48" t="s">
        <v>57</v>
      </c>
      <c r="AS7" s="9" t="s">
        <v>3</v>
      </c>
      <c r="AT7" s="9" t="s">
        <v>4</v>
      </c>
      <c r="AU7" s="9" t="s">
        <v>0</v>
      </c>
      <c r="AV7" s="20" t="s">
        <v>50</v>
      </c>
      <c r="AW7" s="48" t="s">
        <v>57</v>
      </c>
      <c r="AY7" s="9" t="s">
        <v>3</v>
      </c>
      <c r="AZ7" s="9" t="s">
        <v>4</v>
      </c>
      <c r="BA7" s="9" t="s">
        <v>0</v>
      </c>
      <c r="BB7" s="20" t="s">
        <v>50</v>
      </c>
      <c r="BC7" s="48" t="s">
        <v>57</v>
      </c>
      <c r="BE7" s="9" t="s">
        <v>3</v>
      </c>
      <c r="BF7" s="9" t="s">
        <v>4</v>
      </c>
      <c r="BG7" s="9" t="s">
        <v>0</v>
      </c>
      <c r="BH7" s="20" t="s">
        <v>50</v>
      </c>
      <c r="BI7" s="48" t="s">
        <v>57</v>
      </c>
      <c r="BK7" s="9" t="s">
        <v>3</v>
      </c>
      <c r="BL7" s="9" t="s">
        <v>4</v>
      </c>
      <c r="BM7" s="9" t="s">
        <v>0</v>
      </c>
      <c r="BN7" s="20" t="s">
        <v>50</v>
      </c>
      <c r="BO7" s="48" t="s">
        <v>57</v>
      </c>
      <c r="BQ7" s="9" t="s">
        <v>3</v>
      </c>
      <c r="BR7" s="9" t="s">
        <v>4</v>
      </c>
      <c r="BS7" s="9" t="s">
        <v>0</v>
      </c>
      <c r="BT7" s="20" t="s">
        <v>50</v>
      </c>
      <c r="BU7" s="48" t="s">
        <v>57</v>
      </c>
      <c r="BW7" s="9" t="s">
        <v>3</v>
      </c>
      <c r="BX7" s="9" t="s">
        <v>4</v>
      </c>
      <c r="BY7" s="9" t="s">
        <v>0</v>
      </c>
      <c r="BZ7" s="20" t="s">
        <v>50</v>
      </c>
      <c r="CA7" s="48" t="s">
        <v>57</v>
      </c>
      <c r="CC7" s="9" t="s">
        <v>3</v>
      </c>
      <c r="CD7" s="9" t="s">
        <v>4</v>
      </c>
      <c r="CE7" s="9" t="s">
        <v>0</v>
      </c>
      <c r="CF7" s="20" t="s">
        <v>50</v>
      </c>
      <c r="CG7" s="48" t="s">
        <v>57</v>
      </c>
      <c r="CI7" s="9" t="s">
        <v>3</v>
      </c>
      <c r="CJ7" s="9" t="s">
        <v>4</v>
      </c>
      <c r="CK7" s="9" t="s">
        <v>0</v>
      </c>
      <c r="CL7" s="20" t="s">
        <v>50</v>
      </c>
      <c r="CM7" s="48" t="s">
        <v>57</v>
      </c>
      <c r="CO7" s="9" t="s">
        <v>3</v>
      </c>
      <c r="CP7" s="9" t="s">
        <v>4</v>
      </c>
      <c r="CQ7" s="9" t="s">
        <v>0</v>
      </c>
      <c r="CR7" s="20" t="s">
        <v>50</v>
      </c>
      <c r="CS7" s="48" t="s">
        <v>57</v>
      </c>
      <c r="CU7" s="9" t="s">
        <v>3</v>
      </c>
      <c r="CV7" s="9" t="s">
        <v>4</v>
      </c>
      <c r="CW7" s="9" t="s">
        <v>0</v>
      </c>
      <c r="CX7" s="20" t="s">
        <v>50</v>
      </c>
      <c r="CY7" s="48" t="s">
        <v>57</v>
      </c>
      <c r="DA7" s="9" t="s">
        <v>3</v>
      </c>
      <c r="DB7" s="9" t="s">
        <v>4</v>
      </c>
      <c r="DC7" s="9" t="s">
        <v>0</v>
      </c>
      <c r="DD7" s="20" t="s">
        <v>50</v>
      </c>
      <c r="DE7" s="48" t="s">
        <v>57</v>
      </c>
      <c r="DG7" s="9" t="s">
        <v>3</v>
      </c>
      <c r="DH7" s="9" t="s">
        <v>4</v>
      </c>
      <c r="DI7" s="9" t="s">
        <v>0</v>
      </c>
      <c r="DJ7" s="20" t="s">
        <v>50</v>
      </c>
      <c r="DK7" s="48" t="s">
        <v>57</v>
      </c>
      <c r="DL7" s="40"/>
      <c r="DM7" s="9" t="s">
        <v>3</v>
      </c>
      <c r="DN7" s="9" t="s">
        <v>4</v>
      </c>
      <c r="DO7" s="9" t="s">
        <v>0</v>
      </c>
      <c r="DP7" s="20" t="s">
        <v>50</v>
      </c>
      <c r="DQ7" s="48" t="s">
        <v>57</v>
      </c>
      <c r="DS7" s="9" t="s">
        <v>3</v>
      </c>
      <c r="DT7" s="9" t="s">
        <v>4</v>
      </c>
      <c r="DU7" s="9" t="s">
        <v>0</v>
      </c>
      <c r="DV7" s="20" t="s">
        <v>50</v>
      </c>
      <c r="DW7" s="48" t="s">
        <v>57</v>
      </c>
      <c r="DY7" s="9" t="s">
        <v>3</v>
      </c>
      <c r="DZ7" s="9" t="s">
        <v>4</v>
      </c>
      <c r="EA7" s="9" t="s">
        <v>0</v>
      </c>
      <c r="EB7" s="20" t="s">
        <v>50</v>
      </c>
      <c r="EC7" s="48" t="s">
        <v>57</v>
      </c>
      <c r="EE7" s="9" t="s">
        <v>3</v>
      </c>
      <c r="EF7" s="9" t="s">
        <v>4</v>
      </c>
      <c r="EG7" s="9" t="s">
        <v>0</v>
      </c>
      <c r="EH7" s="20" t="s">
        <v>50</v>
      </c>
    </row>
    <row r="8" spans="1:139" s="31" customFormat="1" ht="12.75">
      <c r="A8" s="30">
        <v>44470</v>
      </c>
      <c r="C8" s="21"/>
      <c r="D8" s="21">
        <v>57200</v>
      </c>
      <c r="E8" s="42">
        <f aca="true" t="shared" si="0" ref="E8:E15">C8+D8</f>
        <v>57200</v>
      </c>
      <c r="F8" s="42">
        <v>34071</v>
      </c>
      <c r="G8" s="42">
        <v>54497</v>
      </c>
      <c r="H8" s="44"/>
      <c r="I8" s="44">
        <f>'2012A Academic'!I8</f>
        <v>0</v>
      </c>
      <c r="J8" s="44">
        <f>'2012A Academic'!J8</f>
        <v>32065.89672</v>
      </c>
      <c r="K8" s="44">
        <f aca="true" t="shared" si="1" ref="K8:K15">I8+J8</f>
        <v>32065.89672</v>
      </c>
      <c r="L8" s="44">
        <f>'2012A Academic'!L8</f>
        <v>19099.9504746</v>
      </c>
      <c r="M8" s="44">
        <f>'2012A Academic'!M8</f>
        <v>30550.614922200006</v>
      </c>
      <c r="N8" s="44"/>
      <c r="O8" s="43"/>
      <c r="P8" s="45">
        <f aca="true" t="shared" si="2" ref="P8:P15">V8+AB8+AH8+AN8+AT8+AZ8+BF8+BL8+BR8+BX8+CD8+CJ8+CP8+CV8+DB8+DH8+DN8+EF8+DT8+DZ8</f>
        <v>25134.103280000003</v>
      </c>
      <c r="Q8" s="43">
        <f aca="true" t="shared" si="3" ref="Q8:Q15">O8+P8</f>
        <v>25134.103280000003</v>
      </c>
      <c r="R8" s="43">
        <f aca="true" t="shared" si="4" ref="R8:R15">X8+AD8+AJ8+AP8+AV8+BB8+BH8+BN8+BT8+BZ8+CF8+CL8+CR8+CX8+DD8+DJ8+DP8+DV8+EB8+EH8</f>
        <v>14971.049525399998</v>
      </c>
      <c r="S8" s="45">
        <f aca="true" t="shared" si="5" ref="S8:S15">Y8+AE8+AK8+AQ8+AW8+BC8+BI8+BO8+BU8+CA8+CG8+CM8+CS8+CY8+DE8+DK8+DQ8+EI8+DW8+EC8</f>
        <v>23946.385077800005</v>
      </c>
      <c r="T8" s="44"/>
      <c r="U8" s="44"/>
      <c r="V8" s="45">
        <f aca="true" t="shared" si="6" ref="V8:V15">D8*0.74748/100</f>
        <v>427.55856</v>
      </c>
      <c r="W8" s="44">
        <f aca="true" t="shared" si="7" ref="W8:W15">U8+V8</f>
        <v>427.55856</v>
      </c>
      <c r="X8" s="44">
        <f aca="true" t="shared" si="8" ref="X8:X15">V$6*$F8</f>
        <v>254.67391080000002</v>
      </c>
      <c r="Y8" s="44">
        <f aca="true" t="shared" si="9" ref="Y8:Y15">V$6*$G8</f>
        <v>407.3541756</v>
      </c>
      <c r="Z8" s="44"/>
      <c r="AA8" s="44"/>
      <c r="AB8" s="44">
        <f aca="true" t="shared" si="10" ref="AB8:AB15">D8*0.34282/100</f>
        <v>196.09304</v>
      </c>
      <c r="AC8" s="43">
        <f aca="true" t="shared" si="11" ref="AC8:AC15">AA8+AB8</f>
        <v>196.09304</v>
      </c>
      <c r="AD8" s="44">
        <f aca="true" t="shared" si="12" ref="AD8:AD15">AB$6*$F8</f>
        <v>116.80220220000001</v>
      </c>
      <c r="AE8" s="44">
        <f aca="true" t="shared" si="13" ref="AE8:AE15">AB$6*$G8</f>
        <v>186.8266154</v>
      </c>
      <c r="AF8" s="44"/>
      <c r="AG8" s="44"/>
      <c r="AH8" s="44">
        <f aca="true" t="shared" si="14" ref="AH8:AH15">D8*0.07099/100</f>
        <v>40.60628</v>
      </c>
      <c r="AI8" s="43">
        <f aca="true" t="shared" si="15" ref="AI8:AI15">AG8+AH8</f>
        <v>40.60628</v>
      </c>
      <c r="AJ8" s="44">
        <f aca="true" t="shared" si="16" ref="AJ8:AJ15">AH$6*$F8</f>
        <v>24.1870029</v>
      </c>
      <c r="AK8" s="44">
        <f aca="true" t="shared" si="17" ref="AK8:AK15">AH$6*$G8</f>
        <v>38.6874203</v>
      </c>
      <c r="AL8" s="44"/>
      <c r="AM8" s="44"/>
      <c r="AN8" s="44">
        <f aca="true" t="shared" si="18" ref="AN8:AN15">D8*7.58946/100</f>
        <v>4341.17112</v>
      </c>
      <c r="AO8" s="43">
        <f aca="true" t="shared" si="19" ref="AO8:AO15">AM8+AN8</f>
        <v>4341.17112</v>
      </c>
      <c r="AP8" s="44">
        <f aca="true" t="shared" si="20" ref="AP8:AP15">AN$6*$F8</f>
        <v>2585.8049166</v>
      </c>
      <c r="AQ8" s="44">
        <f aca="true" t="shared" si="21" ref="AQ8:AQ15">AN$6*$G8</f>
        <v>4136.0280162</v>
      </c>
      <c r="AR8" s="44"/>
      <c r="AS8" s="44"/>
      <c r="AT8" s="44">
        <f aca="true" t="shared" si="22" ref="AT8:AT15">D8*0.04174/100</f>
        <v>23.875279999999997</v>
      </c>
      <c r="AU8" s="43">
        <f aca="true" t="shared" si="23" ref="AU8:AU15">AS8+AT8</f>
        <v>23.875279999999997</v>
      </c>
      <c r="AV8" s="44">
        <f aca="true" t="shared" si="24" ref="AV8:AV15">AT$6*$F8</f>
        <v>14.2212354</v>
      </c>
      <c r="AW8" s="44">
        <f aca="true" t="shared" si="25" ref="AW8:AW15">AT$6*$G8</f>
        <v>22.7470478</v>
      </c>
      <c r="AX8" s="44"/>
      <c r="AY8" s="44"/>
      <c r="AZ8" s="44">
        <f aca="true" t="shared" si="26" ref="AZ8:AZ15">D8*0.04407/100</f>
        <v>25.20804</v>
      </c>
      <c r="BA8" s="43">
        <f aca="true" t="shared" si="27" ref="BA8:BA15">AY8+AZ8</f>
        <v>25.20804</v>
      </c>
      <c r="BB8" s="44">
        <f aca="true" t="shared" si="28" ref="BB8:BB15">AZ$6*$F8</f>
        <v>15.015089699999999</v>
      </c>
      <c r="BC8" s="44">
        <f aca="true" t="shared" si="29" ref="BC8:BC15">AZ$6*$G8</f>
        <v>24.0168279</v>
      </c>
      <c r="BD8" s="44"/>
      <c r="BE8" s="44"/>
      <c r="BF8" s="44">
        <f aca="true" t="shared" si="30" ref="BF8:BF15">D8*0.01236/100</f>
        <v>7.06992</v>
      </c>
      <c r="BG8" s="43">
        <f aca="true" t="shared" si="31" ref="BG8:BG15">BE8+BF8</f>
        <v>7.06992</v>
      </c>
      <c r="BH8" s="44">
        <f aca="true" t="shared" si="32" ref="BH8:BH15">BF$6*$F8</f>
        <v>4.2111756</v>
      </c>
      <c r="BI8" s="44">
        <f aca="true" t="shared" si="33" ref="BI8:BI15">BF$6*$G8</f>
        <v>6.7358291999999995</v>
      </c>
      <c r="BJ8" s="44"/>
      <c r="BK8" s="44"/>
      <c r="BL8" s="44">
        <f aca="true" t="shared" si="34" ref="BL8:BL15">D8*0.22776/100</f>
        <v>130.27872</v>
      </c>
      <c r="BM8" s="43">
        <f aca="true" t="shared" si="35" ref="BM8:BM15">BK8+BL8</f>
        <v>130.27872</v>
      </c>
      <c r="BN8" s="44">
        <f aca="true" t="shared" si="36" ref="BN8:BN15">BL$6*$F8</f>
        <v>77.6001096</v>
      </c>
      <c r="BO8" s="44">
        <f aca="true" t="shared" si="37" ref="BO8:BO15">BL$6*$G8</f>
        <v>124.12236719999999</v>
      </c>
      <c r="BP8" s="44"/>
      <c r="BQ8" s="44"/>
      <c r="BR8" s="44">
        <f aca="true" t="shared" si="38" ref="BR8:BR15">D8*0.3395/100</f>
        <v>194.19400000000002</v>
      </c>
      <c r="BS8" s="43">
        <f aca="true" t="shared" si="39" ref="BS8:BS15">BQ8+BR8</f>
        <v>194.19400000000002</v>
      </c>
      <c r="BT8" s="44">
        <f aca="true" t="shared" si="40" ref="BT8:BT15">BR$6*$F8</f>
        <v>115.671045</v>
      </c>
      <c r="BU8" s="44">
        <f aca="true" t="shared" si="41" ref="BU8:BU15">BR$6*$G8</f>
        <v>185.017315</v>
      </c>
      <c r="BV8" s="44"/>
      <c r="BW8" s="44"/>
      <c r="BX8" s="44">
        <f aca="true" t="shared" si="42" ref="BX8:BX15">D8*4/100</f>
        <v>2288</v>
      </c>
      <c r="BY8" s="43">
        <f aca="true" t="shared" si="43" ref="BY8:BY15">BW8+BX8</f>
        <v>2288</v>
      </c>
      <c r="BZ8" s="44">
        <f aca="true" t="shared" si="44" ref="BZ8:BZ15">BX$6*$F8</f>
        <v>1362.84</v>
      </c>
      <c r="CA8" s="44">
        <f aca="true" t="shared" si="45" ref="CA8:CA15">BX$6*$G8</f>
        <v>2179.88</v>
      </c>
      <c r="CB8" s="44"/>
      <c r="CC8" s="44"/>
      <c r="CD8" s="44">
        <f aca="true" t="shared" si="46" ref="CD8:CD15">D8*0.19842/100</f>
        <v>113.49624000000001</v>
      </c>
      <c r="CE8" s="43">
        <f aca="true" t="shared" si="47" ref="CE8:CE15">CC8+CD8</f>
        <v>113.49624000000001</v>
      </c>
      <c r="CF8" s="44">
        <f aca="true" t="shared" si="48" ref="CF8:CF15">CD$6*$F8</f>
        <v>67.6036782</v>
      </c>
      <c r="CG8" s="44">
        <f aca="true" t="shared" si="49" ref="CG8:CG15">CD$6*$G8</f>
        <v>108.1329474</v>
      </c>
      <c r="CH8" s="44"/>
      <c r="CI8" s="44"/>
      <c r="CJ8" s="44">
        <f aca="true" t="shared" si="50" ref="CJ8:CJ15">D8*1.58629/100</f>
        <v>907.35788</v>
      </c>
      <c r="CK8" s="43">
        <f aca="true" t="shared" si="51" ref="CK8:CK15">CI8+CJ8</f>
        <v>907.35788</v>
      </c>
      <c r="CL8" s="44">
        <f aca="true" t="shared" si="52" ref="CL8:CL15">CJ$6*$F8</f>
        <v>540.4648659</v>
      </c>
      <c r="CM8" s="44">
        <f aca="true" t="shared" si="53" ref="CM8:CM15">CJ$6*$G8</f>
        <v>864.4804613</v>
      </c>
      <c r="CN8" s="44"/>
      <c r="CO8" s="44"/>
      <c r="CP8" s="44">
        <f aca="true" t="shared" si="54" ref="CP8:CP15">D8*0.86838/100</f>
        <v>496.71336</v>
      </c>
      <c r="CQ8" s="43">
        <f aca="true" t="shared" si="55" ref="CQ8:CQ15">CO8+CP8</f>
        <v>496.71336</v>
      </c>
      <c r="CR8" s="44">
        <f aca="true" t="shared" si="56" ref="CR8:CR15">CP$6*$F8</f>
        <v>295.8657498</v>
      </c>
      <c r="CS8" s="44">
        <f aca="true" t="shared" si="57" ref="CS8:CS15">CP$6*$G8</f>
        <v>473.2410486</v>
      </c>
      <c r="CT8" s="44"/>
      <c r="CU8" s="44"/>
      <c r="CV8" s="44">
        <f aca="true" t="shared" si="58" ref="CV8:CV15">D8*0.08615/100</f>
        <v>49.277800000000006</v>
      </c>
      <c r="CW8" s="43">
        <f aca="true" t="shared" si="59" ref="CW8:CW15">CU8+CV8</f>
        <v>49.277800000000006</v>
      </c>
      <c r="CX8" s="44">
        <f aca="true" t="shared" si="60" ref="CX8:CX15">CV$6*$F8</f>
        <v>29.3521665</v>
      </c>
      <c r="CY8" s="44">
        <f aca="true" t="shared" si="61" ref="CY8:CY15">CV$6*$G8</f>
        <v>46.9491655</v>
      </c>
      <c r="CZ8" s="44"/>
      <c r="DA8" s="44"/>
      <c r="DB8" s="44">
        <f aca="true" t="shared" si="62" ref="DB8:DB15">D8*6.1203/100</f>
        <v>3500.8116000000005</v>
      </c>
      <c r="DC8" s="43">
        <f aca="true" t="shared" si="63" ref="DC8:DC15">DA8+DB8</f>
        <v>3500.8116000000005</v>
      </c>
      <c r="DD8" s="44">
        <f aca="true" t="shared" si="64" ref="DD8:DD15">DB$6*$F8</f>
        <v>2085.247413</v>
      </c>
      <c r="DE8" s="44">
        <f aca="true" t="shared" si="65" ref="DE8:DE15">DB$6*$G8</f>
        <v>3335.379891</v>
      </c>
      <c r="DF8" s="44"/>
      <c r="DG8" s="44"/>
      <c r="DH8" s="44">
        <f aca="true" t="shared" si="66" ref="DH8:DH15">D8*1.44306/100</f>
        <v>825.43032</v>
      </c>
      <c r="DI8" s="43">
        <f aca="true" t="shared" si="67" ref="DI8:DI15">DG8+DH8</f>
        <v>825.43032</v>
      </c>
      <c r="DJ8" s="44">
        <f aca="true" t="shared" si="68" ref="DJ8:DJ15">DH$6*$F8</f>
        <v>491.6649726</v>
      </c>
      <c r="DK8" s="44">
        <f aca="true" t="shared" si="69" ref="DK8:DK15">DH$6*$G8</f>
        <v>786.4244082</v>
      </c>
      <c r="DL8" s="43"/>
      <c r="DM8" s="43"/>
      <c r="DN8" s="43">
        <f aca="true" t="shared" si="70" ref="DN8:DN15">D8*0.24027/100</f>
        <v>137.43444000000002</v>
      </c>
      <c r="DO8" s="43">
        <f aca="true" t="shared" si="71" ref="DO8:DO15">DM8+DN8</f>
        <v>137.43444000000002</v>
      </c>
      <c r="DP8" s="44">
        <f aca="true" t="shared" si="72" ref="DP8:DP15">DN$6*$F8</f>
        <v>81.86239169999999</v>
      </c>
      <c r="DQ8" s="44">
        <f aca="true" t="shared" si="73" ref="DQ8:DQ15">DN$6*$G8</f>
        <v>130.93994189999998</v>
      </c>
      <c r="DR8" s="44"/>
      <c r="DS8" s="44"/>
      <c r="DT8" s="44">
        <f aca="true" t="shared" si="74" ref="DT8:DT15">D8*0.25862/100</f>
        <v>147.93064</v>
      </c>
      <c r="DU8" s="43">
        <f aca="true" t="shared" si="75" ref="DU8:DU15">DS8+DT8</f>
        <v>147.93064</v>
      </c>
      <c r="DV8" s="44">
        <f aca="true" t="shared" si="76" ref="DV8:DV15">DT$6*$F8</f>
        <v>88.1144202</v>
      </c>
      <c r="DW8" s="44">
        <f aca="true" t="shared" si="77" ref="DW8:DW15">DT$6*$G8</f>
        <v>140.9401414</v>
      </c>
      <c r="DX8" s="44"/>
      <c r="DY8" s="44"/>
      <c r="DZ8" s="44">
        <f aca="true" t="shared" si="78" ref="DZ8:DZ15">D8*19.72307/100</f>
        <v>11281.59604</v>
      </c>
      <c r="EA8" s="43">
        <f aca="true" t="shared" si="79" ref="EA8:EA15">DY8+DZ8</f>
        <v>11281.59604</v>
      </c>
      <c r="EB8" s="44">
        <f aca="true" t="shared" si="80" ref="EB8:EB15">DZ$6*$F8</f>
        <v>6719.8471797</v>
      </c>
      <c r="EC8" s="44">
        <f aca="true" t="shared" si="81" ref="EC8:EC15">DZ$6*$G8</f>
        <v>10748.481457900001</v>
      </c>
      <c r="ED8" s="44"/>
      <c r="EE8" s="43"/>
      <c r="EF8" s="43"/>
      <c r="EG8" s="43">
        <f aca="true" t="shared" si="82" ref="EG8:EG15">EE8+EF8</f>
        <v>0</v>
      </c>
      <c r="EH8" s="43"/>
      <c r="EI8" s="44"/>
    </row>
    <row r="9" spans="1:139" s="31" customFormat="1" ht="12.75">
      <c r="A9" s="30">
        <v>44652</v>
      </c>
      <c r="C9" s="21">
        <v>2830000</v>
      </c>
      <c r="D9" s="21">
        <v>57200</v>
      </c>
      <c r="E9" s="42">
        <f t="shared" si="0"/>
        <v>2887200</v>
      </c>
      <c r="F9" s="42">
        <v>34071</v>
      </c>
      <c r="G9" s="42">
        <v>54497</v>
      </c>
      <c r="H9" s="44"/>
      <c r="I9" s="44">
        <f>'2012A Academic'!I9</f>
        <v>1586477.0580000004</v>
      </c>
      <c r="J9" s="44">
        <f>'2012A Academic'!J9</f>
        <v>32065.89672</v>
      </c>
      <c r="K9" s="44">
        <f t="shared" si="1"/>
        <v>1618542.9547200005</v>
      </c>
      <c r="L9" s="44">
        <f>'2012A Academic'!L9</f>
        <v>19099.9504746</v>
      </c>
      <c r="M9" s="44">
        <f>'2012A Academic'!M9</f>
        <v>30550.614922200006</v>
      </c>
      <c r="N9" s="44"/>
      <c r="O9" s="43">
        <f aca="true" t="shared" si="83" ref="O9:O15">U9+AA9+AG9+AM9+AS9+AY9+BE9+BK9+BQ9+BW9+CC9+CI9+CO9+CU9+DA9+DG9+DM9+EE9+DS9+DY9</f>
        <v>1243522.9419999998</v>
      </c>
      <c r="P9" s="45">
        <f t="shared" si="2"/>
        <v>25134.103280000003</v>
      </c>
      <c r="Q9" s="43">
        <f t="shared" si="3"/>
        <v>1268657.0452799997</v>
      </c>
      <c r="R9" s="43">
        <f t="shared" si="4"/>
        <v>14971.049525399998</v>
      </c>
      <c r="S9" s="45">
        <f t="shared" si="5"/>
        <v>23946.385077800005</v>
      </c>
      <c r="T9" s="44"/>
      <c r="U9" s="44">
        <f aca="true" t="shared" si="84" ref="U9:U15">C9*0.74748/100</f>
        <v>21153.683999999997</v>
      </c>
      <c r="V9" s="45">
        <f t="shared" si="6"/>
        <v>427.55856</v>
      </c>
      <c r="W9" s="44">
        <f t="shared" si="7"/>
        <v>21581.24256</v>
      </c>
      <c r="X9" s="44">
        <f t="shared" si="8"/>
        <v>254.67391080000002</v>
      </c>
      <c r="Y9" s="44">
        <f t="shared" si="9"/>
        <v>407.3541756</v>
      </c>
      <c r="Z9" s="44"/>
      <c r="AA9" s="44">
        <f aca="true" t="shared" si="85" ref="AA9:AA15">C9*0.34282/100</f>
        <v>9701.806</v>
      </c>
      <c r="AB9" s="44">
        <f t="shared" si="10"/>
        <v>196.09304</v>
      </c>
      <c r="AC9" s="43">
        <f t="shared" si="11"/>
        <v>9897.89904</v>
      </c>
      <c r="AD9" s="44">
        <f t="shared" si="12"/>
        <v>116.80220220000001</v>
      </c>
      <c r="AE9" s="44">
        <f t="shared" si="13"/>
        <v>186.8266154</v>
      </c>
      <c r="AF9" s="44"/>
      <c r="AG9" s="44">
        <f aca="true" t="shared" si="86" ref="AG9:AG15">C9*0.07099/100</f>
        <v>2009.0169999999998</v>
      </c>
      <c r="AH9" s="44">
        <f t="shared" si="14"/>
        <v>40.60628</v>
      </c>
      <c r="AI9" s="43">
        <f t="shared" si="15"/>
        <v>2049.62328</v>
      </c>
      <c r="AJ9" s="44">
        <f t="shared" si="16"/>
        <v>24.1870029</v>
      </c>
      <c r="AK9" s="44">
        <f t="shared" si="17"/>
        <v>38.6874203</v>
      </c>
      <c r="AL9" s="44"/>
      <c r="AM9" s="44">
        <f aca="true" t="shared" si="87" ref="AM9:AM15">C9*7.58946/100</f>
        <v>214781.718</v>
      </c>
      <c r="AN9" s="44">
        <f t="shared" si="18"/>
        <v>4341.17112</v>
      </c>
      <c r="AO9" s="43">
        <f t="shared" si="19"/>
        <v>219122.88912</v>
      </c>
      <c r="AP9" s="44">
        <f t="shared" si="20"/>
        <v>2585.8049166</v>
      </c>
      <c r="AQ9" s="44">
        <f t="shared" si="21"/>
        <v>4136.0280162</v>
      </c>
      <c r="AR9" s="44"/>
      <c r="AS9" s="44">
        <f aca="true" t="shared" si="88" ref="AS9:AS15">C9*0.04174/100</f>
        <v>1181.242</v>
      </c>
      <c r="AT9" s="44">
        <f t="shared" si="22"/>
        <v>23.875279999999997</v>
      </c>
      <c r="AU9" s="43">
        <f t="shared" si="23"/>
        <v>1205.11728</v>
      </c>
      <c r="AV9" s="44">
        <f t="shared" si="24"/>
        <v>14.2212354</v>
      </c>
      <c r="AW9" s="44">
        <f t="shared" si="25"/>
        <v>22.7470478</v>
      </c>
      <c r="AX9" s="44"/>
      <c r="AY9" s="44">
        <f aca="true" t="shared" si="89" ref="AY9:AY15">C9*0.04407/100</f>
        <v>1247.1809999999998</v>
      </c>
      <c r="AZ9" s="44">
        <f t="shared" si="26"/>
        <v>25.20804</v>
      </c>
      <c r="BA9" s="43">
        <f t="shared" si="27"/>
        <v>1272.3890399999998</v>
      </c>
      <c r="BB9" s="44">
        <f t="shared" si="28"/>
        <v>15.015089699999999</v>
      </c>
      <c r="BC9" s="44">
        <f t="shared" si="29"/>
        <v>24.0168279</v>
      </c>
      <c r="BD9" s="44"/>
      <c r="BE9" s="44">
        <f aca="true" t="shared" si="90" ref="BE9:BE15">C9*0.01236/100</f>
        <v>349.78799999999995</v>
      </c>
      <c r="BF9" s="44">
        <f t="shared" si="30"/>
        <v>7.06992</v>
      </c>
      <c r="BG9" s="43">
        <f t="shared" si="31"/>
        <v>356.85792</v>
      </c>
      <c r="BH9" s="44">
        <f t="shared" si="32"/>
        <v>4.2111756</v>
      </c>
      <c r="BI9" s="44">
        <f t="shared" si="33"/>
        <v>6.7358291999999995</v>
      </c>
      <c r="BJ9" s="44"/>
      <c r="BK9" s="44">
        <f aca="true" t="shared" si="91" ref="BK9:BK15">C9*0.22776/100</f>
        <v>6445.607999999999</v>
      </c>
      <c r="BL9" s="44">
        <f t="shared" si="34"/>
        <v>130.27872</v>
      </c>
      <c r="BM9" s="43">
        <f t="shared" si="35"/>
        <v>6575.8867199999995</v>
      </c>
      <c r="BN9" s="44">
        <f t="shared" si="36"/>
        <v>77.6001096</v>
      </c>
      <c r="BO9" s="44">
        <f t="shared" si="37"/>
        <v>124.12236719999999</v>
      </c>
      <c r="BP9" s="44"/>
      <c r="BQ9" s="44">
        <f aca="true" t="shared" si="92" ref="BQ9:BQ15">C9*0.3395/100</f>
        <v>9607.85</v>
      </c>
      <c r="BR9" s="44">
        <f t="shared" si="38"/>
        <v>194.19400000000002</v>
      </c>
      <c r="BS9" s="43">
        <f t="shared" si="39"/>
        <v>9802.044</v>
      </c>
      <c r="BT9" s="44">
        <f t="shared" si="40"/>
        <v>115.671045</v>
      </c>
      <c r="BU9" s="44">
        <f t="shared" si="41"/>
        <v>185.017315</v>
      </c>
      <c r="BV9" s="44"/>
      <c r="BW9" s="44">
        <f aca="true" t="shared" si="93" ref="BW9:BW15">C9*4/100</f>
        <v>113200</v>
      </c>
      <c r="BX9" s="44">
        <f t="shared" si="42"/>
        <v>2288</v>
      </c>
      <c r="BY9" s="43">
        <f t="shared" si="43"/>
        <v>115488</v>
      </c>
      <c r="BZ9" s="44">
        <f t="shared" si="44"/>
        <v>1362.84</v>
      </c>
      <c r="CA9" s="44">
        <f t="shared" si="45"/>
        <v>2179.88</v>
      </c>
      <c r="CB9" s="44"/>
      <c r="CC9" s="44">
        <f aca="true" t="shared" si="94" ref="CC9:CC15">C9*0.19842/100</f>
        <v>5615.286000000001</v>
      </c>
      <c r="CD9" s="44">
        <f t="shared" si="46"/>
        <v>113.49624000000001</v>
      </c>
      <c r="CE9" s="43">
        <f t="shared" si="47"/>
        <v>5728.782240000001</v>
      </c>
      <c r="CF9" s="44">
        <f t="shared" si="48"/>
        <v>67.6036782</v>
      </c>
      <c r="CG9" s="44">
        <f t="shared" si="49"/>
        <v>108.1329474</v>
      </c>
      <c r="CH9" s="44"/>
      <c r="CI9" s="44">
        <f aca="true" t="shared" si="95" ref="CI9:CI15">C9*1.58629/100</f>
        <v>44892.007000000005</v>
      </c>
      <c r="CJ9" s="44">
        <f t="shared" si="50"/>
        <v>907.35788</v>
      </c>
      <c r="CK9" s="43">
        <f t="shared" si="51"/>
        <v>45799.36488000001</v>
      </c>
      <c r="CL9" s="44">
        <f t="shared" si="52"/>
        <v>540.4648659</v>
      </c>
      <c r="CM9" s="44">
        <f t="shared" si="53"/>
        <v>864.4804613</v>
      </c>
      <c r="CN9" s="44"/>
      <c r="CO9" s="44">
        <f aca="true" t="shared" si="96" ref="CO9:CO15">C9*0.86838/100</f>
        <v>24575.154</v>
      </c>
      <c r="CP9" s="44">
        <f t="shared" si="54"/>
        <v>496.71336</v>
      </c>
      <c r="CQ9" s="43">
        <f t="shared" si="55"/>
        <v>25071.86736</v>
      </c>
      <c r="CR9" s="44">
        <f t="shared" si="56"/>
        <v>295.8657498</v>
      </c>
      <c r="CS9" s="44">
        <f t="shared" si="57"/>
        <v>473.2410486</v>
      </c>
      <c r="CT9" s="44"/>
      <c r="CU9" s="44">
        <f aca="true" t="shared" si="97" ref="CU9:CU15">C9*0.08615/100</f>
        <v>2438.045</v>
      </c>
      <c r="CV9" s="44">
        <f t="shared" si="58"/>
        <v>49.277800000000006</v>
      </c>
      <c r="CW9" s="43">
        <f t="shared" si="59"/>
        <v>2487.3228</v>
      </c>
      <c r="CX9" s="44">
        <f t="shared" si="60"/>
        <v>29.3521665</v>
      </c>
      <c r="CY9" s="44">
        <f t="shared" si="61"/>
        <v>46.9491655</v>
      </c>
      <c r="CZ9" s="44"/>
      <c r="DA9" s="44">
        <f aca="true" t="shared" si="98" ref="DA9:DA15">C9*6.1203/100</f>
        <v>173204.49</v>
      </c>
      <c r="DB9" s="44">
        <f t="shared" si="62"/>
        <v>3500.8116000000005</v>
      </c>
      <c r="DC9" s="43">
        <f t="shared" si="63"/>
        <v>176705.30159999998</v>
      </c>
      <c r="DD9" s="44">
        <f t="shared" si="64"/>
        <v>2085.247413</v>
      </c>
      <c r="DE9" s="44">
        <f t="shared" si="65"/>
        <v>3335.379891</v>
      </c>
      <c r="DF9" s="44"/>
      <c r="DG9" s="44">
        <f aca="true" t="shared" si="99" ref="DG9:DG15">C9*1.44306/100</f>
        <v>40838.598</v>
      </c>
      <c r="DH9" s="44">
        <f t="shared" si="66"/>
        <v>825.43032</v>
      </c>
      <c r="DI9" s="43">
        <f t="shared" si="67"/>
        <v>41664.02832</v>
      </c>
      <c r="DJ9" s="44">
        <f t="shared" si="68"/>
        <v>491.6649726</v>
      </c>
      <c r="DK9" s="44">
        <f t="shared" si="69"/>
        <v>786.4244082</v>
      </c>
      <c r="DL9" s="43"/>
      <c r="DM9" s="43">
        <f aca="true" t="shared" si="100" ref="DM9:DM15">C9*0.24027/100</f>
        <v>6799.641</v>
      </c>
      <c r="DN9" s="43">
        <f t="shared" si="70"/>
        <v>137.43444000000002</v>
      </c>
      <c r="DO9" s="43">
        <f t="shared" si="71"/>
        <v>6937.07544</v>
      </c>
      <c r="DP9" s="44">
        <f t="shared" si="72"/>
        <v>81.86239169999999</v>
      </c>
      <c r="DQ9" s="44">
        <f t="shared" si="73"/>
        <v>130.93994189999998</v>
      </c>
      <c r="DR9" s="44"/>
      <c r="DS9" s="44">
        <f aca="true" t="shared" si="101" ref="DS9:DS15">C9*0.25862/100</f>
        <v>7318.946000000001</v>
      </c>
      <c r="DT9" s="44">
        <f t="shared" si="74"/>
        <v>147.93064</v>
      </c>
      <c r="DU9" s="43">
        <f t="shared" si="75"/>
        <v>7466.87664</v>
      </c>
      <c r="DV9" s="44">
        <f t="shared" si="76"/>
        <v>88.1144202</v>
      </c>
      <c r="DW9" s="44">
        <f t="shared" si="77"/>
        <v>140.9401414</v>
      </c>
      <c r="DX9" s="44"/>
      <c r="DY9" s="44">
        <f aca="true" t="shared" si="102" ref="DY9:DY15">C9*19.72307/100</f>
        <v>558162.881</v>
      </c>
      <c r="DZ9" s="44">
        <f t="shared" si="78"/>
        <v>11281.59604</v>
      </c>
      <c r="EA9" s="43">
        <f t="shared" si="79"/>
        <v>569444.47704</v>
      </c>
      <c r="EB9" s="44">
        <f t="shared" si="80"/>
        <v>6719.8471797</v>
      </c>
      <c r="EC9" s="44">
        <f t="shared" si="81"/>
        <v>10748.481457900001</v>
      </c>
      <c r="ED9" s="44"/>
      <c r="EE9" s="43"/>
      <c r="EF9" s="43"/>
      <c r="EG9" s="43">
        <f t="shared" si="82"/>
        <v>0</v>
      </c>
      <c r="EH9" s="43"/>
      <c r="EI9" s="44"/>
    </row>
    <row r="10" spans="1:139" s="31" customFormat="1" ht="12.75">
      <c r="A10" s="30">
        <v>44835</v>
      </c>
      <c r="C10" s="21"/>
      <c r="D10" s="21">
        <v>28900</v>
      </c>
      <c r="E10" s="42">
        <f t="shared" si="0"/>
        <v>28900</v>
      </c>
      <c r="F10" s="42">
        <v>34071</v>
      </c>
      <c r="G10" s="42">
        <v>54497</v>
      </c>
      <c r="H10" s="44"/>
      <c r="I10" s="44">
        <f>'2012A Academic'!I10</f>
        <v>0</v>
      </c>
      <c r="J10" s="44">
        <f>'2012A Academic'!J10</f>
        <v>16201.126139999997</v>
      </c>
      <c r="K10" s="44">
        <f t="shared" si="1"/>
        <v>16201.126139999997</v>
      </c>
      <c r="L10" s="44">
        <f>'2012A Academic'!L10</f>
        <v>19099.9504746</v>
      </c>
      <c r="M10" s="44">
        <f>'2012A Academic'!M10</f>
        <v>30550.614922200006</v>
      </c>
      <c r="N10" s="44"/>
      <c r="O10" s="43"/>
      <c r="P10" s="45">
        <f t="shared" si="2"/>
        <v>12698.873860000002</v>
      </c>
      <c r="Q10" s="43">
        <f t="shared" si="3"/>
        <v>12698.873860000002</v>
      </c>
      <c r="R10" s="43">
        <f t="shared" si="4"/>
        <v>14971.049525399998</v>
      </c>
      <c r="S10" s="45">
        <f t="shared" si="5"/>
        <v>23946.385077800005</v>
      </c>
      <c r="T10" s="44"/>
      <c r="U10" s="44"/>
      <c r="V10" s="45">
        <f t="shared" si="6"/>
        <v>216.02172000000002</v>
      </c>
      <c r="W10" s="44">
        <f t="shared" si="7"/>
        <v>216.02172000000002</v>
      </c>
      <c r="X10" s="44">
        <f t="shared" si="8"/>
        <v>254.67391080000002</v>
      </c>
      <c r="Y10" s="44">
        <f t="shared" si="9"/>
        <v>407.3541756</v>
      </c>
      <c r="Z10" s="44"/>
      <c r="AA10" s="44"/>
      <c r="AB10" s="44">
        <f t="shared" si="10"/>
        <v>99.07498</v>
      </c>
      <c r="AC10" s="43">
        <f t="shared" si="11"/>
        <v>99.07498</v>
      </c>
      <c r="AD10" s="44">
        <f t="shared" si="12"/>
        <v>116.80220220000001</v>
      </c>
      <c r="AE10" s="44">
        <f t="shared" si="13"/>
        <v>186.8266154</v>
      </c>
      <c r="AF10" s="44"/>
      <c r="AG10" s="44"/>
      <c r="AH10" s="44">
        <f t="shared" si="14"/>
        <v>20.516109999999998</v>
      </c>
      <c r="AI10" s="43">
        <f t="shared" si="15"/>
        <v>20.516109999999998</v>
      </c>
      <c r="AJ10" s="44">
        <f t="shared" si="16"/>
        <v>24.1870029</v>
      </c>
      <c r="AK10" s="44">
        <f t="shared" si="17"/>
        <v>38.6874203</v>
      </c>
      <c r="AL10" s="44"/>
      <c r="AM10" s="44"/>
      <c r="AN10" s="44">
        <f t="shared" si="18"/>
        <v>2193.35394</v>
      </c>
      <c r="AO10" s="43">
        <f t="shared" si="19"/>
        <v>2193.35394</v>
      </c>
      <c r="AP10" s="44">
        <f t="shared" si="20"/>
        <v>2585.8049166</v>
      </c>
      <c r="AQ10" s="44">
        <f t="shared" si="21"/>
        <v>4136.0280162</v>
      </c>
      <c r="AR10" s="44"/>
      <c r="AS10" s="44"/>
      <c r="AT10" s="44">
        <f t="shared" si="22"/>
        <v>12.06286</v>
      </c>
      <c r="AU10" s="43">
        <f t="shared" si="23"/>
        <v>12.06286</v>
      </c>
      <c r="AV10" s="44">
        <f t="shared" si="24"/>
        <v>14.2212354</v>
      </c>
      <c r="AW10" s="44">
        <f t="shared" si="25"/>
        <v>22.7470478</v>
      </c>
      <c r="AX10" s="44"/>
      <c r="AY10" s="44"/>
      <c r="AZ10" s="44">
        <f t="shared" si="26"/>
        <v>12.73623</v>
      </c>
      <c r="BA10" s="43">
        <f t="shared" si="27"/>
        <v>12.73623</v>
      </c>
      <c r="BB10" s="44">
        <f t="shared" si="28"/>
        <v>15.015089699999999</v>
      </c>
      <c r="BC10" s="44">
        <f t="shared" si="29"/>
        <v>24.0168279</v>
      </c>
      <c r="BD10" s="44"/>
      <c r="BE10" s="44"/>
      <c r="BF10" s="44">
        <f t="shared" si="30"/>
        <v>3.57204</v>
      </c>
      <c r="BG10" s="43">
        <f t="shared" si="31"/>
        <v>3.57204</v>
      </c>
      <c r="BH10" s="44">
        <f t="shared" si="32"/>
        <v>4.2111756</v>
      </c>
      <c r="BI10" s="44">
        <f t="shared" si="33"/>
        <v>6.7358291999999995</v>
      </c>
      <c r="BJ10" s="44"/>
      <c r="BK10" s="44"/>
      <c r="BL10" s="44">
        <f t="shared" si="34"/>
        <v>65.82264</v>
      </c>
      <c r="BM10" s="43">
        <f t="shared" si="35"/>
        <v>65.82264</v>
      </c>
      <c r="BN10" s="44">
        <f t="shared" si="36"/>
        <v>77.6001096</v>
      </c>
      <c r="BO10" s="44">
        <f t="shared" si="37"/>
        <v>124.12236719999999</v>
      </c>
      <c r="BP10" s="44"/>
      <c r="BQ10" s="44"/>
      <c r="BR10" s="44">
        <f t="shared" si="38"/>
        <v>98.11550000000001</v>
      </c>
      <c r="BS10" s="43">
        <f t="shared" si="39"/>
        <v>98.11550000000001</v>
      </c>
      <c r="BT10" s="44">
        <f t="shared" si="40"/>
        <v>115.671045</v>
      </c>
      <c r="BU10" s="44">
        <f t="shared" si="41"/>
        <v>185.017315</v>
      </c>
      <c r="BV10" s="44"/>
      <c r="BW10" s="44"/>
      <c r="BX10" s="44">
        <f t="shared" si="42"/>
        <v>1156</v>
      </c>
      <c r="BY10" s="43">
        <f t="shared" si="43"/>
        <v>1156</v>
      </c>
      <c r="BZ10" s="44">
        <f t="shared" si="44"/>
        <v>1362.84</v>
      </c>
      <c r="CA10" s="44">
        <f t="shared" si="45"/>
        <v>2179.88</v>
      </c>
      <c r="CB10" s="44"/>
      <c r="CC10" s="44"/>
      <c r="CD10" s="44">
        <f t="shared" si="46"/>
        <v>57.34338</v>
      </c>
      <c r="CE10" s="43">
        <f t="shared" si="47"/>
        <v>57.34338</v>
      </c>
      <c r="CF10" s="44">
        <f t="shared" si="48"/>
        <v>67.6036782</v>
      </c>
      <c r="CG10" s="44">
        <f t="shared" si="49"/>
        <v>108.1329474</v>
      </c>
      <c r="CH10" s="44"/>
      <c r="CI10" s="44"/>
      <c r="CJ10" s="44">
        <f t="shared" si="50"/>
        <v>458.43781</v>
      </c>
      <c r="CK10" s="43">
        <f t="shared" si="51"/>
        <v>458.43781</v>
      </c>
      <c r="CL10" s="44">
        <f t="shared" si="52"/>
        <v>540.4648659</v>
      </c>
      <c r="CM10" s="44">
        <f t="shared" si="53"/>
        <v>864.4804613</v>
      </c>
      <c r="CN10" s="44"/>
      <c r="CO10" s="44"/>
      <c r="CP10" s="44">
        <f t="shared" si="54"/>
        <v>250.96182000000002</v>
      </c>
      <c r="CQ10" s="43">
        <f t="shared" si="55"/>
        <v>250.96182000000002</v>
      </c>
      <c r="CR10" s="44">
        <f t="shared" si="56"/>
        <v>295.8657498</v>
      </c>
      <c r="CS10" s="44">
        <f t="shared" si="57"/>
        <v>473.2410486</v>
      </c>
      <c r="CT10" s="44"/>
      <c r="CU10" s="44"/>
      <c r="CV10" s="44">
        <f t="shared" si="58"/>
        <v>24.897350000000003</v>
      </c>
      <c r="CW10" s="43">
        <f t="shared" si="59"/>
        <v>24.897350000000003</v>
      </c>
      <c r="CX10" s="44">
        <f t="shared" si="60"/>
        <v>29.3521665</v>
      </c>
      <c r="CY10" s="44">
        <f t="shared" si="61"/>
        <v>46.9491655</v>
      </c>
      <c r="CZ10" s="44"/>
      <c r="DA10" s="44"/>
      <c r="DB10" s="44">
        <f t="shared" si="62"/>
        <v>1768.7667000000001</v>
      </c>
      <c r="DC10" s="43">
        <f t="shared" si="63"/>
        <v>1768.7667000000001</v>
      </c>
      <c r="DD10" s="44">
        <f t="shared" si="64"/>
        <v>2085.247413</v>
      </c>
      <c r="DE10" s="44">
        <f t="shared" si="65"/>
        <v>3335.379891</v>
      </c>
      <c r="DF10" s="44"/>
      <c r="DG10" s="44"/>
      <c r="DH10" s="44">
        <f t="shared" si="66"/>
        <v>417.04434000000003</v>
      </c>
      <c r="DI10" s="43">
        <f t="shared" si="67"/>
        <v>417.04434000000003</v>
      </c>
      <c r="DJ10" s="44">
        <f t="shared" si="68"/>
        <v>491.6649726</v>
      </c>
      <c r="DK10" s="44">
        <f t="shared" si="69"/>
        <v>786.4244082</v>
      </c>
      <c r="DL10" s="43"/>
      <c r="DM10" s="43"/>
      <c r="DN10" s="43">
        <f t="shared" si="70"/>
        <v>69.43803</v>
      </c>
      <c r="DO10" s="43">
        <f t="shared" si="71"/>
        <v>69.43803</v>
      </c>
      <c r="DP10" s="44">
        <f t="shared" si="72"/>
        <v>81.86239169999999</v>
      </c>
      <c r="DQ10" s="44">
        <f t="shared" si="73"/>
        <v>130.93994189999998</v>
      </c>
      <c r="DR10" s="44"/>
      <c r="DS10" s="44"/>
      <c r="DT10" s="44">
        <f t="shared" si="74"/>
        <v>74.74118</v>
      </c>
      <c r="DU10" s="43">
        <f t="shared" si="75"/>
        <v>74.74118</v>
      </c>
      <c r="DV10" s="44">
        <f t="shared" si="76"/>
        <v>88.1144202</v>
      </c>
      <c r="DW10" s="44">
        <f t="shared" si="77"/>
        <v>140.9401414</v>
      </c>
      <c r="DX10" s="44"/>
      <c r="DY10" s="44"/>
      <c r="DZ10" s="44">
        <f t="shared" si="78"/>
        <v>5699.96723</v>
      </c>
      <c r="EA10" s="43">
        <f t="shared" si="79"/>
        <v>5699.96723</v>
      </c>
      <c r="EB10" s="44">
        <f t="shared" si="80"/>
        <v>6719.8471797</v>
      </c>
      <c r="EC10" s="44">
        <f t="shared" si="81"/>
        <v>10748.481457900001</v>
      </c>
      <c r="ED10" s="44"/>
      <c r="EE10" s="43"/>
      <c r="EF10" s="43"/>
      <c r="EG10" s="43">
        <f t="shared" si="82"/>
        <v>0</v>
      </c>
      <c r="EH10" s="43"/>
      <c r="EI10" s="44"/>
    </row>
    <row r="11" spans="1:139" s="31" customFormat="1" ht="12.75">
      <c r="A11" s="30">
        <v>45017</v>
      </c>
      <c r="C11" s="21">
        <v>2890000</v>
      </c>
      <c r="D11" s="21">
        <v>28900</v>
      </c>
      <c r="E11" s="42">
        <f t="shared" si="0"/>
        <v>2918900</v>
      </c>
      <c r="F11" s="42">
        <v>34071</v>
      </c>
      <c r="G11" s="42">
        <v>54497</v>
      </c>
      <c r="H11" s="44"/>
      <c r="I11" s="44">
        <f>'2012A Academic'!I11</f>
        <v>1620112.614</v>
      </c>
      <c r="J11" s="44">
        <f>'2012A Academic'!J11</f>
        <v>16201.126139999997</v>
      </c>
      <c r="K11" s="44">
        <f t="shared" si="1"/>
        <v>1636313.7401400001</v>
      </c>
      <c r="L11" s="44">
        <f>'2012A Academic'!L11</f>
        <v>19099.9504746</v>
      </c>
      <c r="M11" s="44">
        <f>'2012A Academic'!M11</f>
        <v>30550.614922200006</v>
      </c>
      <c r="N11" s="44"/>
      <c r="O11" s="43">
        <f t="shared" si="83"/>
        <v>1269887.386</v>
      </c>
      <c r="P11" s="45">
        <f t="shared" si="2"/>
        <v>12698.873860000002</v>
      </c>
      <c r="Q11" s="43">
        <f t="shared" si="3"/>
        <v>1282586.2598599999</v>
      </c>
      <c r="R11" s="43">
        <f t="shared" si="4"/>
        <v>14971.049525399998</v>
      </c>
      <c r="S11" s="45">
        <f t="shared" si="5"/>
        <v>23946.385077800005</v>
      </c>
      <c r="T11" s="44"/>
      <c r="U11" s="44">
        <f t="shared" si="84"/>
        <v>21602.172000000002</v>
      </c>
      <c r="V11" s="45">
        <f t="shared" si="6"/>
        <v>216.02172000000002</v>
      </c>
      <c r="W11" s="44">
        <f t="shared" si="7"/>
        <v>21818.193720000003</v>
      </c>
      <c r="X11" s="44">
        <f t="shared" si="8"/>
        <v>254.67391080000002</v>
      </c>
      <c r="Y11" s="44">
        <f t="shared" si="9"/>
        <v>407.3541756</v>
      </c>
      <c r="Z11" s="44"/>
      <c r="AA11" s="44">
        <f t="shared" si="85"/>
        <v>9907.498</v>
      </c>
      <c r="AB11" s="44">
        <f t="shared" si="10"/>
        <v>99.07498</v>
      </c>
      <c r="AC11" s="43">
        <f t="shared" si="11"/>
        <v>10006.572979999999</v>
      </c>
      <c r="AD11" s="44">
        <f t="shared" si="12"/>
        <v>116.80220220000001</v>
      </c>
      <c r="AE11" s="44">
        <f t="shared" si="13"/>
        <v>186.8266154</v>
      </c>
      <c r="AF11" s="44"/>
      <c r="AG11" s="44">
        <f t="shared" si="86"/>
        <v>2051.611</v>
      </c>
      <c r="AH11" s="44">
        <f t="shared" si="14"/>
        <v>20.516109999999998</v>
      </c>
      <c r="AI11" s="43">
        <f t="shared" si="15"/>
        <v>2072.12711</v>
      </c>
      <c r="AJ11" s="44">
        <f t="shared" si="16"/>
        <v>24.1870029</v>
      </c>
      <c r="AK11" s="44">
        <f t="shared" si="17"/>
        <v>38.6874203</v>
      </c>
      <c r="AL11" s="44"/>
      <c r="AM11" s="44">
        <f t="shared" si="87"/>
        <v>219335.39399999997</v>
      </c>
      <c r="AN11" s="44">
        <f t="shared" si="18"/>
        <v>2193.35394</v>
      </c>
      <c r="AO11" s="43">
        <f t="shared" si="19"/>
        <v>221528.74793999997</v>
      </c>
      <c r="AP11" s="44">
        <f t="shared" si="20"/>
        <v>2585.8049166</v>
      </c>
      <c r="AQ11" s="44">
        <f t="shared" si="21"/>
        <v>4136.0280162</v>
      </c>
      <c r="AR11" s="44"/>
      <c r="AS11" s="44">
        <f t="shared" si="88"/>
        <v>1206.2859999999998</v>
      </c>
      <c r="AT11" s="44">
        <f t="shared" si="22"/>
        <v>12.06286</v>
      </c>
      <c r="AU11" s="43">
        <f t="shared" si="23"/>
        <v>1218.3488599999998</v>
      </c>
      <c r="AV11" s="44">
        <f t="shared" si="24"/>
        <v>14.2212354</v>
      </c>
      <c r="AW11" s="44">
        <f t="shared" si="25"/>
        <v>22.7470478</v>
      </c>
      <c r="AX11" s="44"/>
      <c r="AY11" s="44">
        <f t="shared" si="89"/>
        <v>1273.6229999999998</v>
      </c>
      <c r="AZ11" s="44">
        <f t="shared" si="26"/>
        <v>12.73623</v>
      </c>
      <c r="BA11" s="43">
        <f t="shared" si="27"/>
        <v>1286.3592299999998</v>
      </c>
      <c r="BB11" s="44">
        <f t="shared" si="28"/>
        <v>15.015089699999999</v>
      </c>
      <c r="BC11" s="44">
        <f t="shared" si="29"/>
        <v>24.0168279</v>
      </c>
      <c r="BD11" s="44"/>
      <c r="BE11" s="44">
        <f t="shared" si="90"/>
        <v>357.204</v>
      </c>
      <c r="BF11" s="44">
        <f t="shared" si="30"/>
        <v>3.57204</v>
      </c>
      <c r="BG11" s="43">
        <f t="shared" si="31"/>
        <v>360.77604</v>
      </c>
      <c r="BH11" s="44">
        <f t="shared" si="32"/>
        <v>4.2111756</v>
      </c>
      <c r="BI11" s="44">
        <f t="shared" si="33"/>
        <v>6.7358291999999995</v>
      </c>
      <c r="BJ11" s="44"/>
      <c r="BK11" s="44">
        <f t="shared" si="91"/>
        <v>6582.264</v>
      </c>
      <c r="BL11" s="44">
        <f t="shared" si="34"/>
        <v>65.82264</v>
      </c>
      <c r="BM11" s="43">
        <f t="shared" si="35"/>
        <v>6648.08664</v>
      </c>
      <c r="BN11" s="44">
        <f t="shared" si="36"/>
        <v>77.6001096</v>
      </c>
      <c r="BO11" s="44">
        <f t="shared" si="37"/>
        <v>124.12236719999999</v>
      </c>
      <c r="BP11" s="44"/>
      <c r="BQ11" s="44">
        <f t="shared" si="92"/>
        <v>9811.550000000001</v>
      </c>
      <c r="BR11" s="44">
        <f t="shared" si="38"/>
        <v>98.11550000000001</v>
      </c>
      <c r="BS11" s="43">
        <f t="shared" si="39"/>
        <v>9909.665500000001</v>
      </c>
      <c r="BT11" s="44">
        <f t="shared" si="40"/>
        <v>115.671045</v>
      </c>
      <c r="BU11" s="44">
        <f t="shared" si="41"/>
        <v>185.017315</v>
      </c>
      <c r="BV11" s="44"/>
      <c r="BW11" s="44">
        <f t="shared" si="93"/>
        <v>115600</v>
      </c>
      <c r="BX11" s="44">
        <f t="shared" si="42"/>
        <v>1156</v>
      </c>
      <c r="BY11" s="43">
        <f t="shared" si="43"/>
        <v>116756</v>
      </c>
      <c r="BZ11" s="44">
        <f t="shared" si="44"/>
        <v>1362.84</v>
      </c>
      <c r="CA11" s="44">
        <f t="shared" si="45"/>
        <v>2179.88</v>
      </c>
      <c r="CB11" s="44"/>
      <c r="CC11" s="44">
        <f t="shared" si="94"/>
        <v>5734.338000000001</v>
      </c>
      <c r="CD11" s="44">
        <f t="shared" si="46"/>
        <v>57.34338</v>
      </c>
      <c r="CE11" s="43">
        <f t="shared" si="47"/>
        <v>5791.681380000001</v>
      </c>
      <c r="CF11" s="44">
        <f t="shared" si="48"/>
        <v>67.6036782</v>
      </c>
      <c r="CG11" s="44">
        <f t="shared" si="49"/>
        <v>108.1329474</v>
      </c>
      <c r="CH11" s="44"/>
      <c r="CI11" s="44">
        <f t="shared" si="95"/>
        <v>45843.780999999995</v>
      </c>
      <c r="CJ11" s="44">
        <f t="shared" si="50"/>
        <v>458.43781</v>
      </c>
      <c r="CK11" s="43">
        <f t="shared" si="51"/>
        <v>46302.21881</v>
      </c>
      <c r="CL11" s="44">
        <f t="shared" si="52"/>
        <v>540.4648659</v>
      </c>
      <c r="CM11" s="44">
        <f t="shared" si="53"/>
        <v>864.4804613</v>
      </c>
      <c r="CN11" s="44"/>
      <c r="CO11" s="44">
        <f t="shared" si="96"/>
        <v>25096.182</v>
      </c>
      <c r="CP11" s="44">
        <f t="shared" si="54"/>
        <v>250.96182000000002</v>
      </c>
      <c r="CQ11" s="43">
        <f t="shared" si="55"/>
        <v>25347.14382</v>
      </c>
      <c r="CR11" s="44">
        <f t="shared" si="56"/>
        <v>295.8657498</v>
      </c>
      <c r="CS11" s="44">
        <f t="shared" si="57"/>
        <v>473.2410486</v>
      </c>
      <c r="CT11" s="44"/>
      <c r="CU11" s="44">
        <f t="shared" si="97"/>
        <v>2489.735</v>
      </c>
      <c r="CV11" s="44">
        <f t="shared" si="58"/>
        <v>24.897350000000003</v>
      </c>
      <c r="CW11" s="43">
        <f t="shared" si="59"/>
        <v>2514.6323500000003</v>
      </c>
      <c r="CX11" s="44">
        <f t="shared" si="60"/>
        <v>29.3521665</v>
      </c>
      <c r="CY11" s="44">
        <f t="shared" si="61"/>
        <v>46.9491655</v>
      </c>
      <c r="CZ11" s="44"/>
      <c r="DA11" s="44">
        <f t="shared" si="98"/>
        <v>176876.67</v>
      </c>
      <c r="DB11" s="44">
        <f t="shared" si="62"/>
        <v>1768.7667000000001</v>
      </c>
      <c r="DC11" s="43">
        <f t="shared" si="63"/>
        <v>178645.43670000002</v>
      </c>
      <c r="DD11" s="44">
        <f t="shared" si="64"/>
        <v>2085.247413</v>
      </c>
      <c r="DE11" s="44">
        <f t="shared" si="65"/>
        <v>3335.379891</v>
      </c>
      <c r="DF11" s="44"/>
      <c r="DG11" s="44">
        <f t="shared" si="99"/>
        <v>41704.434</v>
      </c>
      <c r="DH11" s="44">
        <f t="shared" si="66"/>
        <v>417.04434000000003</v>
      </c>
      <c r="DI11" s="43">
        <f t="shared" si="67"/>
        <v>42121.47834</v>
      </c>
      <c r="DJ11" s="44">
        <f t="shared" si="68"/>
        <v>491.6649726</v>
      </c>
      <c r="DK11" s="44">
        <f t="shared" si="69"/>
        <v>786.4244082</v>
      </c>
      <c r="DL11" s="43"/>
      <c r="DM11" s="43">
        <f t="shared" si="100"/>
        <v>6943.803000000001</v>
      </c>
      <c r="DN11" s="43">
        <f t="shared" si="70"/>
        <v>69.43803</v>
      </c>
      <c r="DO11" s="43">
        <f t="shared" si="71"/>
        <v>7013.241030000001</v>
      </c>
      <c r="DP11" s="44">
        <f t="shared" si="72"/>
        <v>81.86239169999999</v>
      </c>
      <c r="DQ11" s="44">
        <f t="shared" si="73"/>
        <v>130.93994189999998</v>
      </c>
      <c r="DR11" s="44"/>
      <c r="DS11" s="44">
        <f t="shared" si="101"/>
        <v>7474.118</v>
      </c>
      <c r="DT11" s="44">
        <f t="shared" si="74"/>
        <v>74.74118</v>
      </c>
      <c r="DU11" s="43">
        <f t="shared" si="75"/>
        <v>7548.85918</v>
      </c>
      <c r="DV11" s="44">
        <f t="shared" si="76"/>
        <v>88.1144202</v>
      </c>
      <c r="DW11" s="44">
        <f t="shared" si="77"/>
        <v>140.9401414</v>
      </c>
      <c r="DX11" s="44"/>
      <c r="DY11" s="44">
        <f t="shared" si="102"/>
        <v>569996.723</v>
      </c>
      <c r="DZ11" s="44">
        <f t="shared" si="78"/>
        <v>5699.96723</v>
      </c>
      <c r="EA11" s="43">
        <f t="shared" si="79"/>
        <v>575696.69023</v>
      </c>
      <c r="EB11" s="44">
        <f t="shared" si="80"/>
        <v>6719.8471797</v>
      </c>
      <c r="EC11" s="44">
        <f t="shared" si="81"/>
        <v>10748.481457900001</v>
      </c>
      <c r="ED11" s="44"/>
      <c r="EE11" s="43"/>
      <c r="EF11" s="43"/>
      <c r="EG11" s="43">
        <f t="shared" si="82"/>
        <v>0</v>
      </c>
      <c r="EH11" s="43"/>
      <c r="EI11" s="44"/>
    </row>
    <row r="12" spans="1:139" s="31" customFormat="1" ht="12.75">
      <c r="A12" s="30">
        <v>45200</v>
      </c>
      <c r="C12" s="21"/>
      <c r="D12" s="21"/>
      <c r="E12" s="42">
        <f t="shared" si="0"/>
        <v>0</v>
      </c>
      <c r="F12" s="42"/>
      <c r="G12" s="42"/>
      <c r="H12" s="44"/>
      <c r="I12" s="44">
        <f>'2012A Academic'!I12</f>
        <v>0</v>
      </c>
      <c r="J12" s="44">
        <f>'2012A Academic'!J12</f>
        <v>0</v>
      </c>
      <c r="K12" s="44">
        <f t="shared" si="1"/>
        <v>0</v>
      </c>
      <c r="L12" s="44">
        <f>'2012A Academic'!L12</f>
        <v>0</v>
      </c>
      <c r="M12" s="44">
        <f>'2012A Academic'!M12</f>
        <v>0</v>
      </c>
      <c r="N12" s="44"/>
      <c r="O12" s="43"/>
      <c r="P12" s="45">
        <f t="shared" si="2"/>
        <v>0</v>
      </c>
      <c r="Q12" s="43">
        <f t="shared" si="3"/>
        <v>0</v>
      </c>
      <c r="R12" s="43">
        <f t="shared" si="4"/>
        <v>0</v>
      </c>
      <c r="S12" s="45">
        <f t="shared" si="5"/>
        <v>0</v>
      </c>
      <c r="T12" s="44"/>
      <c r="U12" s="44"/>
      <c r="V12" s="45">
        <f t="shared" si="6"/>
        <v>0</v>
      </c>
      <c r="W12" s="44">
        <f t="shared" si="7"/>
        <v>0</v>
      </c>
      <c r="X12" s="44">
        <f t="shared" si="8"/>
        <v>0</v>
      </c>
      <c r="Y12" s="44">
        <f t="shared" si="9"/>
        <v>0</v>
      </c>
      <c r="Z12" s="44"/>
      <c r="AA12" s="44"/>
      <c r="AB12" s="44">
        <f t="shared" si="10"/>
        <v>0</v>
      </c>
      <c r="AC12" s="43">
        <f t="shared" si="11"/>
        <v>0</v>
      </c>
      <c r="AD12" s="44">
        <f t="shared" si="12"/>
        <v>0</v>
      </c>
      <c r="AE12" s="44">
        <f t="shared" si="13"/>
        <v>0</v>
      </c>
      <c r="AF12" s="44"/>
      <c r="AG12" s="44"/>
      <c r="AH12" s="44">
        <f t="shared" si="14"/>
        <v>0</v>
      </c>
      <c r="AI12" s="43">
        <f t="shared" si="15"/>
        <v>0</v>
      </c>
      <c r="AJ12" s="44">
        <f t="shared" si="16"/>
        <v>0</v>
      </c>
      <c r="AK12" s="44">
        <f t="shared" si="17"/>
        <v>0</v>
      </c>
      <c r="AL12" s="44"/>
      <c r="AM12" s="44"/>
      <c r="AN12" s="44">
        <f t="shared" si="18"/>
        <v>0</v>
      </c>
      <c r="AO12" s="43">
        <f t="shared" si="19"/>
        <v>0</v>
      </c>
      <c r="AP12" s="44">
        <f t="shared" si="20"/>
        <v>0</v>
      </c>
      <c r="AQ12" s="44">
        <f t="shared" si="21"/>
        <v>0</v>
      </c>
      <c r="AR12" s="44"/>
      <c r="AS12" s="44"/>
      <c r="AT12" s="44">
        <f t="shared" si="22"/>
        <v>0</v>
      </c>
      <c r="AU12" s="43">
        <f t="shared" si="23"/>
        <v>0</v>
      </c>
      <c r="AV12" s="44">
        <f t="shared" si="24"/>
        <v>0</v>
      </c>
      <c r="AW12" s="44">
        <f t="shared" si="25"/>
        <v>0</v>
      </c>
      <c r="AX12" s="44"/>
      <c r="AY12" s="44"/>
      <c r="AZ12" s="44">
        <f t="shared" si="26"/>
        <v>0</v>
      </c>
      <c r="BA12" s="43">
        <f t="shared" si="27"/>
        <v>0</v>
      </c>
      <c r="BB12" s="44">
        <f t="shared" si="28"/>
        <v>0</v>
      </c>
      <c r="BC12" s="44">
        <f t="shared" si="29"/>
        <v>0</v>
      </c>
      <c r="BD12" s="44"/>
      <c r="BE12" s="44"/>
      <c r="BF12" s="44">
        <f t="shared" si="30"/>
        <v>0</v>
      </c>
      <c r="BG12" s="43">
        <f t="shared" si="31"/>
        <v>0</v>
      </c>
      <c r="BH12" s="44">
        <f t="shared" si="32"/>
        <v>0</v>
      </c>
      <c r="BI12" s="44">
        <f t="shared" si="33"/>
        <v>0</v>
      </c>
      <c r="BJ12" s="44"/>
      <c r="BK12" s="44"/>
      <c r="BL12" s="44">
        <f t="shared" si="34"/>
        <v>0</v>
      </c>
      <c r="BM12" s="43">
        <f t="shared" si="35"/>
        <v>0</v>
      </c>
      <c r="BN12" s="44">
        <f t="shared" si="36"/>
        <v>0</v>
      </c>
      <c r="BO12" s="44">
        <f t="shared" si="37"/>
        <v>0</v>
      </c>
      <c r="BP12" s="44"/>
      <c r="BQ12" s="44"/>
      <c r="BR12" s="44">
        <f t="shared" si="38"/>
        <v>0</v>
      </c>
      <c r="BS12" s="43">
        <f t="shared" si="39"/>
        <v>0</v>
      </c>
      <c r="BT12" s="44">
        <f t="shared" si="40"/>
        <v>0</v>
      </c>
      <c r="BU12" s="44">
        <f t="shared" si="41"/>
        <v>0</v>
      </c>
      <c r="BV12" s="44"/>
      <c r="BW12" s="44"/>
      <c r="BX12" s="44">
        <f t="shared" si="42"/>
        <v>0</v>
      </c>
      <c r="BY12" s="43">
        <f t="shared" si="43"/>
        <v>0</v>
      </c>
      <c r="BZ12" s="44">
        <f t="shared" si="44"/>
        <v>0</v>
      </c>
      <c r="CA12" s="44">
        <f t="shared" si="45"/>
        <v>0</v>
      </c>
      <c r="CB12" s="44"/>
      <c r="CC12" s="44"/>
      <c r="CD12" s="44">
        <f t="shared" si="46"/>
        <v>0</v>
      </c>
      <c r="CE12" s="43">
        <f t="shared" si="47"/>
        <v>0</v>
      </c>
      <c r="CF12" s="44">
        <f t="shared" si="48"/>
        <v>0</v>
      </c>
      <c r="CG12" s="44">
        <f t="shared" si="49"/>
        <v>0</v>
      </c>
      <c r="CH12" s="44"/>
      <c r="CI12" s="44"/>
      <c r="CJ12" s="44">
        <f t="shared" si="50"/>
        <v>0</v>
      </c>
      <c r="CK12" s="43">
        <f t="shared" si="51"/>
        <v>0</v>
      </c>
      <c r="CL12" s="44">
        <f t="shared" si="52"/>
        <v>0</v>
      </c>
      <c r="CM12" s="44">
        <f t="shared" si="53"/>
        <v>0</v>
      </c>
      <c r="CN12" s="44"/>
      <c r="CO12" s="44"/>
      <c r="CP12" s="44">
        <f t="shared" si="54"/>
        <v>0</v>
      </c>
      <c r="CQ12" s="43">
        <f t="shared" si="55"/>
        <v>0</v>
      </c>
      <c r="CR12" s="44">
        <f t="shared" si="56"/>
        <v>0</v>
      </c>
      <c r="CS12" s="44">
        <f t="shared" si="57"/>
        <v>0</v>
      </c>
      <c r="CT12" s="44"/>
      <c r="CU12" s="44"/>
      <c r="CV12" s="44">
        <f t="shared" si="58"/>
        <v>0</v>
      </c>
      <c r="CW12" s="43">
        <f t="shared" si="59"/>
        <v>0</v>
      </c>
      <c r="CX12" s="44">
        <f t="shared" si="60"/>
        <v>0</v>
      </c>
      <c r="CY12" s="44">
        <f t="shared" si="61"/>
        <v>0</v>
      </c>
      <c r="CZ12" s="44"/>
      <c r="DA12" s="44"/>
      <c r="DB12" s="44">
        <f t="shared" si="62"/>
        <v>0</v>
      </c>
      <c r="DC12" s="43">
        <f t="shared" si="63"/>
        <v>0</v>
      </c>
      <c r="DD12" s="44">
        <f t="shared" si="64"/>
        <v>0</v>
      </c>
      <c r="DE12" s="44">
        <f t="shared" si="65"/>
        <v>0</v>
      </c>
      <c r="DF12" s="44"/>
      <c r="DG12" s="44"/>
      <c r="DH12" s="44">
        <f t="shared" si="66"/>
        <v>0</v>
      </c>
      <c r="DI12" s="43">
        <f t="shared" si="67"/>
        <v>0</v>
      </c>
      <c r="DJ12" s="44">
        <f t="shared" si="68"/>
        <v>0</v>
      </c>
      <c r="DK12" s="44">
        <f t="shared" si="69"/>
        <v>0</v>
      </c>
      <c r="DL12" s="43"/>
      <c r="DM12" s="43"/>
      <c r="DN12" s="43">
        <f t="shared" si="70"/>
        <v>0</v>
      </c>
      <c r="DO12" s="43">
        <f t="shared" si="71"/>
        <v>0</v>
      </c>
      <c r="DP12" s="44">
        <f t="shared" si="72"/>
        <v>0</v>
      </c>
      <c r="DQ12" s="44">
        <f t="shared" si="73"/>
        <v>0</v>
      </c>
      <c r="DR12" s="44"/>
      <c r="DS12" s="44"/>
      <c r="DT12" s="44">
        <f t="shared" si="74"/>
        <v>0</v>
      </c>
      <c r="DU12" s="43">
        <f t="shared" si="75"/>
        <v>0</v>
      </c>
      <c r="DV12" s="44">
        <f t="shared" si="76"/>
        <v>0</v>
      </c>
      <c r="DW12" s="44">
        <f t="shared" si="77"/>
        <v>0</v>
      </c>
      <c r="DX12" s="44"/>
      <c r="DY12" s="44"/>
      <c r="DZ12" s="44">
        <f t="shared" si="78"/>
        <v>0</v>
      </c>
      <c r="EA12" s="43">
        <f t="shared" si="79"/>
        <v>0</v>
      </c>
      <c r="EB12" s="44">
        <f t="shared" si="80"/>
        <v>0</v>
      </c>
      <c r="EC12" s="44">
        <f t="shared" si="81"/>
        <v>0</v>
      </c>
      <c r="ED12" s="44"/>
      <c r="EE12" s="43"/>
      <c r="EF12" s="43"/>
      <c r="EG12" s="43">
        <f t="shared" si="82"/>
        <v>0</v>
      </c>
      <c r="EH12" s="43"/>
      <c r="EI12" s="44"/>
    </row>
    <row r="13" spans="1:139" s="31" customFormat="1" ht="12.75">
      <c r="A13" s="30">
        <v>45383</v>
      </c>
      <c r="C13" s="21"/>
      <c r="D13" s="21"/>
      <c r="E13" s="42">
        <f t="shared" si="0"/>
        <v>0</v>
      </c>
      <c r="F13" s="42"/>
      <c r="G13" s="42"/>
      <c r="H13" s="44"/>
      <c r="I13" s="44">
        <f>'2012A Academic'!I13</f>
        <v>0</v>
      </c>
      <c r="J13" s="44">
        <f>'2012A Academic'!J13</f>
        <v>0</v>
      </c>
      <c r="K13" s="44">
        <f t="shared" si="1"/>
        <v>0</v>
      </c>
      <c r="L13" s="44">
        <f>'2012A Academic'!L13</f>
        <v>0</v>
      </c>
      <c r="M13" s="44">
        <f>'2012A Academic'!M13</f>
        <v>0</v>
      </c>
      <c r="N13" s="44"/>
      <c r="O13" s="43">
        <f t="shared" si="83"/>
        <v>0</v>
      </c>
      <c r="P13" s="45">
        <f t="shared" si="2"/>
        <v>0</v>
      </c>
      <c r="Q13" s="43">
        <f t="shared" si="3"/>
        <v>0</v>
      </c>
      <c r="R13" s="43">
        <f t="shared" si="4"/>
        <v>0</v>
      </c>
      <c r="S13" s="45">
        <f t="shared" si="5"/>
        <v>0</v>
      </c>
      <c r="T13" s="44"/>
      <c r="U13" s="44">
        <f t="shared" si="84"/>
        <v>0</v>
      </c>
      <c r="V13" s="45">
        <f t="shared" si="6"/>
        <v>0</v>
      </c>
      <c r="W13" s="44">
        <f t="shared" si="7"/>
        <v>0</v>
      </c>
      <c r="X13" s="44">
        <f t="shared" si="8"/>
        <v>0</v>
      </c>
      <c r="Y13" s="44">
        <f t="shared" si="9"/>
        <v>0</v>
      </c>
      <c r="Z13" s="44"/>
      <c r="AA13" s="44">
        <f t="shared" si="85"/>
        <v>0</v>
      </c>
      <c r="AB13" s="44">
        <f t="shared" si="10"/>
        <v>0</v>
      </c>
      <c r="AC13" s="43">
        <f t="shared" si="11"/>
        <v>0</v>
      </c>
      <c r="AD13" s="44">
        <f t="shared" si="12"/>
        <v>0</v>
      </c>
      <c r="AE13" s="44">
        <f t="shared" si="13"/>
        <v>0</v>
      </c>
      <c r="AF13" s="44"/>
      <c r="AG13" s="44">
        <f t="shared" si="86"/>
        <v>0</v>
      </c>
      <c r="AH13" s="44">
        <f t="shared" si="14"/>
        <v>0</v>
      </c>
      <c r="AI13" s="43">
        <f t="shared" si="15"/>
        <v>0</v>
      </c>
      <c r="AJ13" s="44">
        <f t="shared" si="16"/>
        <v>0</v>
      </c>
      <c r="AK13" s="44">
        <f t="shared" si="17"/>
        <v>0</v>
      </c>
      <c r="AL13" s="44"/>
      <c r="AM13" s="44">
        <f t="shared" si="87"/>
        <v>0</v>
      </c>
      <c r="AN13" s="44">
        <f t="shared" si="18"/>
        <v>0</v>
      </c>
      <c r="AO13" s="43">
        <f t="shared" si="19"/>
        <v>0</v>
      </c>
      <c r="AP13" s="44">
        <f t="shared" si="20"/>
        <v>0</v>
      </c>
      <c r="AQ13" s="44">
        <f t="shared" si="21"/>
        <v>0</v>
      </c>
      <c r="AR13" s="44"/>
      <c r="AS13" s="44">
        <f t="shared" si="88"/>
        <v>0</v>
      </c>
      <c r="AT13" s="44">
        <f t="shared" si="22"/>
        <v>0</v>
      </c>
      <c r="AU13" s="43">
        <f t="shared" si="23"/>
        <v>0</v>
      </c>
      <c r="AV13" s="44">
        <f t="shared" si="24"/>
        <v>0</v>
      </c>
      <c r="AW13" s="44">
        <f t="shared" si="25"/>
        <v>0</v>
      </c>
      <c r="AX13" s="44"/>
      <c r="AY13" s="44">
        <f t="shared" si="89"/>
        <v>0</v>
      </c>
      <c r="AZ13" s="44">
        <f t="shared" si="26"/>
        <v>0</v>
      </c>
      <c r="BA13" s="43">
        <f t="shared" si="27"/>
        <v>0</v>
      </c>
      <c r="BB13" s="44">
        <f t="shared" si="28"/>
        <v>0</v>
      </c>
      <c r="BC13" s="44">
        <f t="shared" si="29"/>
        <v>0</v>
      </c>
      <c r="BD13" s="44"/>
      <c r="BE13" s="44">
        <f t="shared" si="90"/>
        <v>0</v>
      </c>
      <c r="BF13" s="44">
        <f t="shared" si="30"/>
        <v>0</v>
      </c>
      <c r="BG13" s="43">
        <f t="shared" si="31"/>
        <v>0</v>
      </c>
      <c r="BH13" s="44">
        <f t="shared" si="32"/>
        <v>0</v>
      </c>
      <c r="BI13" s="44">
        <f t="shared" si="33"/>
        <v>0</v>
      </c>
      <c r="BJ13" s="44"/>
      <c r="BK13" s="44">
        <f t="shared" si="91"/>
        <v>0</v>
      </c>
      <c r="BL13" s="44">
        <f t="shared" si="34"/>
        <v>0</v>
      </c>
      <c r="BM13" s="43">
        <f t="shared" si="35"/>
        <v>0</v>
      </c>
      <c r="BN13" s="44">
        <f t="shared" si="36"/>
        <v>0</v>
      </c>
      <c r="BO13" s="44">
        <f t="shared" si="37"/>
        <v>0</v>
      </c>
      <c r="BP13" s="44"/>
      <c r="BQ13" s="44">
        <f t="shared" si="92"/>
        <v>0</v>
      </c>
      <c r="BR13" s="44">
        <f t="shared" si="38"/>
        <v>0</v>
      </c>
      <c r="BS13" s="43">
        <f t="shared" si="39"/>
        <v>0</v>
      </c>
      <c r="BT13" s="44">
        <f t="shared" si="40"/>
        <v>0</v>
      </c>
      <c r="BU13" s="44">
        <f t="shared" si="41"/>
        <v>0</v>
      </c>
      <c r="BV13" s="44"/>
      <c r="BW13" s="44">
        <f t="shared" si="93"/>
        <v>0</v>
      </c>
      <c r="BX13" s="44">
        <f t="shared" si="42"/>
        <v>0</v>
      </c>
      <c r="BY13" s="43">
        <f t="shared" si="43"/>
        <v>0</v>
      </c>
      <c r="BZ13" s="44">
        <f t="shared" si="44"/>
        <v>0</v>
      </c>
      <c r="CA13" s="44">
        <f t="shared" si="45"/>
        <v>0</v>
      </c>
      <c r="CB13" s="44"/>
      <c r="CC13" s="44">
        <f t="shared" si="94"/>
        <v>0</v>
      </c>
      <c r="CD13" s="44">
        <f t="shared" si="46"/>
        <v>0</v>
      </c>
      <c r="CE13" s="43">
        <f t="shared" si="47"/>
        <v>0</v>
      </c>
      <c r="CF13" s="44">
        <f t="shared" si="48"/>
        <v>0</v>
      </c>
      <c r="CG13" s="44">
        <f t="shared" si="49"/>
        <v>0</v>
      </c>
      <c r="CH13" s="44"/>
      <c r="CI13" s="44">
        <f t="shared" si="95"/>
        <v>0</v>
      </c>
      <c r="CJ13" s="44">
        <f t="shared" si="50"/>
        <v>0</v>
      </c>
      <c r="CK13" s="43">
        <f t="shared" si="51"/>
        <v>0</v>
      </c>
      <c r="CL13" s="44">
        <f t="shared" si="52"/>
        <v>0</v>
      </c>
      <c r="CM13" s="44">
        <f t="shared" si="53"/>
        <v>0</v>
      </c>
      <c r="CN13" s="44"/>
      <c r="CO13" s="44">
        <f t="shared" si="96"/>
        <v>0</v>
      </c>
      <c r="CP13" s="44">
        <f t="shared" si="54"/>
        <v>0</v>
      </c>
      <c r="CQ13" s="43">
        <f t="shared" si="55"/>
        <v>0</v>
      </c>
      <c r="CR13" s="44">
        <f t="shared" si="56"/>
        <v>0</v>
      </c>
      <c r="CS13" s="44">
        <f t="shared" si="57"/>
        <v>0</v>
      </c>
      <c r="CT13" s="44"/>
      <c r="CU13" s="44">
        <f t="shared" si="97"/>
        <v>0</v>
      </c>
      <c r="CV13" s="44">
        <f t="shared" si="58"/>
        <v>0</v>
      </c>
      <c r="CW13" s="43">
        <f t="shared" si="59"/>
        <v>0</v>
      </c>
      <c r="CX13" s="44">
        <f t="shared" si="60"/>
        <v>0</v>
      </c>
      <c r="CY13" s="44">
        <f t="shared" si="61"/>
        <v>0</v>
      </c>
      <c r="CZ13" s="44"/>
      <c r="DA13" s="44">
        <f t="shared" si="98"/>
        <v>0</v>
      </c>
      <c r="DB13" s="44">
        <f t="shared" si="62"/>
        <v>0</v>
      </c>
      <c r="DC13" s="43">
        <f t="shared" si="63"/>
        <v>0</v>
      </c>
      <c r="DD13" s="44">
        <f t="shared" si="64"/>
        <v>0</v>
      </c>
      <c r="DE13" s="44">
        <f t="shared" si="65"/>
        <v>0</v>
      </c>
      <c r="DF13" s="44"/>
      <c r="DG13" s="44">
        <f t="shared" si="99"/>
        <v>0</v>
      </c>
      <c r="DH13" s="44">
        <f t="shared" si="66"/>
        <v>0</v>
      </c>
      <c r="DI13" s="43">
        <f t="shared" si="67"/>
        <v>0</v>
      </c>
      <c r="DJ13" s="44">
        <f t="shared" si="68"/>
        <v>0</v>
      </c>
      <c r="DK13" s="44">
        <f t="shared" si="69"/>
        <v>0</v>
      </c>
      <c r="DL13" s="43"/>
      <c r="DM13" s="43">
        <f t="shared" si="100"/>
        <v>0</v>
      </c>
      <c r="DN13" s="43">
        <f t="shared" si="70"/>
        <v>0</v>
      </c>
      <c r="DO13" s="43">
        <f t="shared" si="71"/>
        <v>0</v>
      </c>
      <c r="DP13" s="44">
        <f t="shared" si="72"/>
        <v>0</v>
      </c>
      <c r="DQ13" s="44">
        <f t="shared" si="73"/>
        <v>0</v>
      </c>
      <c r="DR13" s="44"/>
      <c r="DS13" s="44">
        <f t="shared" si="101"/>
        <v>0</v>
      </c>
      <c r="DT13" s="44">
        <f t="shared" si="74"/>
        <v>0</v>
      </c>
      <c r="DU13" s="43">
        <f t="shared" si="75"/>
        <v>0</v>
      </c>
      <c r="DV13" s="44">
        <f t="shared" si="76"/>
        <v>0</v>
      </c>
      <c r="DW13" s="44">
        <f t="shared" si="77"/>
        <v>0</v>
      </c>
      <c r="DX13" s="44"/>
      <c r="DY13" s="44">
        <f t="shared" si="102"/>
        <v>0</v>
      </c>
      <c r="DZ13" s="44">
        <f t="shared" si="78"/>
        <v>0</v>
      </c>
      <c r="EA13" s="43">
        <f t="shared" si="79"/>
        <v>0</v>
      </c>
      <c r="EB13" s="44">
        <f t="shared" si="80"/>
        <v>0</v>
      </c>
      <c r="EC13" s="44">
        <f t="shared" si="81"/>
        <v>0</v>
      </c>
      <c r="ED13" s="44"/>
      <c r="EE13" s="43"/>
      <c r="EF13" s="43"/>
      <c r="EG13" s="43">
        <f t="shared" si="82"/>
        <v>0</v>
      </c>
      <c r="EH13" s="43"/>
      <c r="EI13" s="44"/>
    </row>
    <row r="14" spans="1:139" ht="12.75">
      <c r="A14" s="2">
        <v>45566</v>
      </c>
      <c r="C14" s="21"/>
      <c r="D14" s="21"/>
      <c r="E14" s="42">
        <f t="shared" si="0"/>
        <v>0</v>
      </c>
      <c r="F14" s="42"/>
      <c r="G14" s="42"/>
      <c r="H14" s="43"/>
      <c r="I14" s="44">
        <f>'2012A Academic'!I14</f>
        <v>0</v>
      </c>
      <c r="J14" s="44">
        <f>'2012A Academic'!J14</f>
        <v>0</v>
      </c>
      <c r="K14" s="44">
        <f t="shared" si="1"/>
        <v>0</v>
      </c>
      <c r="L14" s="44">
        <f>'2012A Academic'!L14</f>
        <v>0</v>
      </c>
      <c r="M14" s="44">
        <f>'2012A Academic'!M14</f>
        <v>0</v>
      </c>
      <c r="N14" s="43"/>
      <c r="O14" s="43"/>
      <c r="P14" s="45">
        <f t="shared" si="2"/>
        <v>0</v>
      </c>
      <c r="Q14" s="43">
        <f t="shared" si="3"/>
        <v>0</v>
      </c>
      <c r="R14" s="43">
        <f t="shared" si="4"/>
        <v>0</v>
      </c>
      <c r="S14" s="45">
        <f t="shared" si="5"/>
        <v>0</v>
      </c>
      <c r="T14" s="43"/>
      <c r="U14" s="44"/>
      <c r="V14" s="45">
        <f t="shared" si="6"/>
        <v>0</v>
      </c>
      <c r="W14" s="44">
        <f t="shared" si="7"/>
        <v>0</v>
      </c>
      <c r="X14" s="44">
        <f t="shared" si="8"/>
        <v>0</v>
      </c>
      <c r="Y14" s="44">
        <f t="shared" si="9"/>
        <v>0</v>
      </c>
      <c r="Z14" s="43"/>
      <c r="AA14" s="44"/>
      <c r="AB14" s="44">
        <f t="shared" si="10"/>
        <v>0</v>
      </c>
      <c r="AC14" s="43">
        <f t="shared" si="11"/>
        <v>0</v>
      </c>
      <c r="AD14" s="44">
        <f t="shared" si="12"/>
        <v>0</v>
      </c>
      <c r="AE14" s="44">
        <f t="shared" si="13"/>
        <v>0</v>
      </c>
      <c r="AF14" s="43"/>
      <c r="AG14" s="44"/>
      <c r="AH14" s="44">
        <f t="shared" si="14"/>
        <v>0</v>
      </c>
      <c r="AI14" s="43">
        <f t="shared" si="15"/>
        <v>0</v>
      </c>
      <c r="AJ14" s="44">
        <f t="shared" si="16"/>
        <v>0</v>
      </c>
      <c r="AK14" s="44">
        <f t="shared" si="17"/>
        <v>0</v>
      </c>
      <c r="AL14" s="43"/>
      <c r="AM14" s="44"/>
      <c r="AN14" s="44">
        <f t="shared" si="18"/>
        <v>0</v>
      </c>
      <c r="AO14" s="43">
        <f t="shared" si="19"/>
        <v>0</v>
      </c>
      <c r="AP14" s="44">
        <f t="shared" si="20"/>
        <v>0</v>
      </c>
      <c r="AQ14" s="44">
        <f t="shared" si="21"/>
        <v>0</v>
      </c>
      <c r="AR14" s="43"/>
      <c r="AS14" s="44"/>
      <c r="AT14" s="44">
        <f t="shared" si="22"/>
        <v>0</v>
      </c>
      <c r="AU14" s="43">
        <f t="shared" si="23"/>
        <v>0</v>
      </c>
      <c r="AV14" s="44">
        <f t="shared" si="24"/>
        <v>0</v>
      </c>
      <c r="AW14" s="44">
        <f t="shared" si="25"/>
        <v>0</v>
      </c>
      <c r="AX14" s="43"/>
      <c r="AY14" s="44"/>
      <c r="AZ14" s="44">
        <f t="shared" si="26"/>
        <v>0</v>
      </c>
      <c r="BA14" s="43">
        <f t="shared" si="27"/>
        <v>0</v>
      </c>
      <c r="BB14" s="44">
        <f t="shared" si="28"/>
        <v>0</v>
      </c>
      <c r="BC14" s="44">
        <f t="shared" si="29"/>
        <v>0</v>
      </c>
      <c r="BD14" s="43"/>
      <c r="BE14" s="44"/>
      <c r="BF14" s="44">
        <f t="shared" si="30"/>
        <v>0</v>
      </c>
      <c r="BG14" s="43">
        <f t="shared" si="31"/>
        <v>0</v>
      </c>
      <c r="BH14" s="44">
        <f t="shared" si="32"/>
        <v>0</v>
      </c>
      <c r="BI14" s="44">
        <f t="shared" si="33"/>
        <v>0</v>
      </c>
      <c r="BJ14" s="43"/>
      <c r="BK14" s="44"/>
      <c r="BL14" s="44">
        <f t="shared" si="34"/>
        <v>0</v>
      </c>
      <c r="BM14" s="43">
        <f t="shared" si="35"/>
        <v>0</v>
      </c>
      <c r="BN14" s="44">
        <f t="shared" si="36"/>
        <v>0</v>
      </c>
      <c r="BO14" s="44">
        <f t="shared" si="37"/>
        <v>0</v>
      </c>
      <c r="BP14" s="43"/>
      <c r="BQ14" s="44"/>
      <c r="BR14" s="44">
        <f t="shared" si="38"/>
        <v>0</v>
      </c>
      <c r="BS14" s="43">
        <f t="shared" si="39"/>
        <v>0</v>
      </c>
      <c r="BT14" s="44">
        <f t="shared" si="40"/>
        <v>0</v>
      </c>
      <c r="BU14" s="44">
        <f t="shared" si="41"/>
        <v>0</v>
      </c>
      <c r="BV14" s="43"/>
      <c r="BW14" s="44"/>
      <c r="BX14" s="44">
        <f t="shared" si="42"/>
        <v>0</v>
      </c>
      <c r="BY14" s="43">
        <f t="shared" si="43"/>
        <v>0</v>
      </c>
      <c r="BZ14" s="44">
        <f t="shared" si="44"/>
        <v>0</v>
      </c>
      <c r="CA14" s="44">
        <f t="shared" si="45"/>
        <v>0</v>
      </c>
      <c r="CB14" s="43"/>
      <c r="CC14" s="44"/>
      <c r="CD14" s="44">
        <f t="shared" si="46"/>
        <v>0</v>
      </c>
      <c r="CE14" s="43">
        <f t="shared" si="47"/>
        <v>0</v>
      </c>
      <c r="CF14" s="44">
        <f t="shared" si="48"/>
        <v>0</v>
      </c>
      <c r="CG14" s="44">
        <f t="shared" si="49"/>
        <v>0</v>
      </c>
      <c r="CH14" s="43"/>
      <c r="CI14" s="44"/>
      <c r="CJ14" s="44">
        <f t="shared" si="50"/>
        <v>0</v>
      </c>
      <c r="CK14" s="43">
        <f t="shared" si="51"/>
        <v>0</v>
      </c>
      <c r="CL14" s="44">
        <f t="shared" si="52"/>
        <v>0</v>
      </c>
      <c r="CM14" s="44">
        <f t="shared" si="53"/>
        <v>0</v>
      </c>
      <c r="CN14" s="43"/>
      <c r="CO14" s="44"/>
      <c r="CP14" s="44">
        <f t="shared" si="54"/>
        <v>0</v>
      </c>
      <c r="CQ14" s="43">
        <f t="shared" si="55"/>
        <v>0</v>
      </c>
      <c r="CR14" s="44">
        <f t="shared" si="56"/>
        <v>0</v>
      </c>
      <c r="CS14" s="44">
        <f t="shared" si="57"/>
        <v>0</v>
      </c>
      <c r="CT14" s="43"/>
      <c r="CU14" s="44"/>
      <c r="CV14" s="44">
        <f t="shared" si="58"/>
        <v>0</v>
      </c>
      <c r="CW14" s="43">
        <f t="shared" si="59"/>
        <v>0</v>
      </c>
      <c r="CX14" s="44">
        <f t="shared" si="60"/>
        <v>0</v>
      </c>
      <c r="CY14" s="44">
        <f t="shared" si="61"/>
        <v>0</v>
      </c>
      <c r="CZ14" s="43"/>
      <c r="DA14" s="44"/>
      <c r="DB14" s="44">
        <f t="shared" si="62"/>
        <v>0</v>
      </c>
      <c r="DC14" s="43">
        <f t="shared" si="63"/>
        <v>0</v>
      </c>
      <c r="DD14" s="44">
        <f t="shared" si="64"/>
        <v>0</v>
      </c>
      <c r="DE14" s="44">
        <f t="shared" si="65"/>
        <v>0</v>
      </c>
      <c r="DF14" s="43"/>
      <c r="DG14" s="44"/>
      <c r="DH14" s="44">
        <f t="shared" si="66"/>
        <v>0</v>
      </c>
      <c r="DI14" s="43">
        <f t="shared" si="67"/>
        <v>0</v>
      </c>
      <c r="DJ14" s="44">
        <f t="shared" si="68"/>
        <v>0</v>
      </c>
      <c r="DK14" s="44">
        <f t="shared" si="69"/>
        <v>0</v>
      </c>
      <c r="DL14" s="43"/>
      <c r="DM14" s="43"/>
      <c r="DN14" s="43">
        <f t="shared" si="70"/>
        <v>0</v>
      </c>
      <c r="DO14" s="43">
        <f t="shared" si="71"/>
        <v>0</v>
      </c>
      <c r="DP14" s="44">
        <f t="shared" si="72"/>
        <v>0</v>
      </c>
      <c r="DQ14" s="44">
        <f t="shared" si="73"/>
        <v>0</v>
      </c>
      <c r="DR14" s="43"/>
      <c r="DS14" s="44"/>
      <c r="DT14" s="44">
        <f t="shared" si="74"/>
        <v>0</v>
      </c>
      <c r="DU14" s="43">
        <f t="shared" si="75"/>
        <v>0</v>
      </c>
      <c r="DV14" s="44">
        <f t="shared" si="76"/>
        <v>0</v>
      </c>
      <c r="DW14" s="44">
        <f t="shared" si="77"/>
        <v>0</v>
      </c>
      <c r="DX14" s="43"/>
      <c r="DY14" s="44"/>
      <c r="DZ14" s="44">
        <f t="shared" si="78"/>
        <v>0</v>
      </c>
      <c r="EA14" s="43">
        <f t="shared" si="79"/>
        <v>0</v>
      </c>
      <c r="EB14" s="44">
        <f t="shared" si="80"/>
        <v>0</v>
      </c>
      <c r="EC14" s="44">
        <f t="shared" si="81"/>
        <v>0</v>
      </c>
      <c r="ED14" s="43"/>
      <c r="EE14" s="43"/>
      <c r="EF14" s="43"/>
      <c r="EG14" s="43">
        <f t="shared" si="82"/>
        <v>0</v>
      </c>
      <c r="EH14" s="43"/>
      <c r="EI14" s="43"/>
    </row>
    <row r="15" spans="1:139" ht="12.75">
      <c r="A15" s="2">
        <v>45748</v>
      </c>
      <c r="C15" s="45"/>
      <c r="D15" s="45"/>
      <c r="E15" s="42">
        <f t="shared" si="0"/>
        <v>0</v>
      </c>
      <c r="F15" s="42"/>
      <c r="G15" s="42"/>
      <c r="H15" s="43"/>
      <c r="I15" s="44">
        <f>'2012A Academic'!I15</f>
        <v>0</v>
      </c>
      <c r="J15" s="44">
        <f>'2012A Academic'!J15</f>
        <v>0</v>
      </c>
      <c r="K15" s="44">
        <f t="shared" si="1"/>
        <v>0</v>
      </c>
      <c r="L15" s="44">
        <f>'2012A Academic'!L15</f>
        <v>0</v>
      </c>
      <c r="M15" s="44">
        <f>'2012A Academic'!M15</f>
        <v>0</v>
      </c>
      <c r="N15" s="43"/>
      <c r="O15" s="43">
        <f t="shared" si="83"/>
        <v>0</v>
      </c>
      <c r="P15" s="45">
        <f t="shared" si="2"/>
        <v>0</v>
      </c>
      <c r="Q15" s="43">
        <f t="shared" si="3"/>
        <v>0</v>
      </c>
      <c r="R15" s="43">
        <f t="shared" si="4"/>
        <v>0</v>
      </c>
      <c r="S15" s="45">
        <f t="shared" si="5"/>
        <v>0</v>
      </c>
      <c r="T15" s="43"/>
      <c r="U15" s="44">
        <f t="shared" si="84"/>
        <v>0</v>
      </c>
      <c r="V15" s="45">
        <f t="shared" si="6"/>
        <v>0</v>
      </c>
      <c r="W15" s="44">
        <f t="shared" si="7"/>
        <v>0</v>
      </c>
      <c r="X15" s="44">
        <f t="shared" si="8"/>
        <v>0</v>
      </c>
      <c r="Y15" s="44">
        <f t="shared" si="9"/>
        <v>0</v>
      </c>
      <c r="Z15" s="43"/>
      <c r="AA15" s="44">
        <f t="shared" si="85"/>
        <v>0</v>
      </c>
      <c r="AB15" s="44">
        <f t="shared" si="10"/>
        <v>0</v>
      </c>
      <c r="AC15" s="43">
        <f t="shared" si="11"/>
        <v>0</v>
      </c>
      <c r="AD15" s="44">
        <f t="shared" si="12"/>
        <v>0</v>
      </c>
      <c r="AE15" s="44">
        <f t="shared" si="13"/>
        <v>0</v>
      </c>
      <c r="AF15" s="43"/>
      <c r="AG15" s="44">
        <f t="shared" si="86"/>
        <v>0</v>
      </c>
      <c r="AH15" s="44">
        <f t="shared" si="14"/>
        <v>0</v>
      </c>
      <c r="AI15" s="43">
        <f t="shared" si="15"/>
        <v>0</v>
      </c>
      <c r="AJ15" s="44">
        <f t="shared" si="16"/>
        <v>0</v>
      </c>
      <c r="AK15" s="44">
        <f t="shared" si="17"/>
        <v>0</v>
      </c>
      <c r="AL15" s="43"/>
      <c r="AM15" s="44">
        <f t="shared" si="87"/>
        <v>0</v>
      </c>
      <c r="AN15" s="44">
        <f t="shared" si="18"/>
        <v>0</v>
      </c>
      <c r="AO15" s="43">
        <f t="shared" si="19"/>
        <v>0</v>
      </c>
      <c r="AP15" s="44">
        <f t="shared" si="20"/>
        <v>0</v>
      </c>
      <c r="AQ15" s="44">
        <f t="shared" si="21"/>
        <v>0</v>
      </c>
      <c r="AR15" s="43"/>
      <c r="AS15" s="44">
        <f t="shared" si="88"/>
        <v>0</v>
      </c>
      <c r="AT15" s="44">
        <f t="shared" si="22"/>
        <v>0</v>
      </c>
      <c r="AU15" s="43">
        <f t="shared" si="23"/>
        <v>0</v>
      </c>
      <c r="AV15" s="44">
        <f t="shared" si="24"/>
        <v>0</v>
      </c>
      <c r="AW15" s="44">
        <f t="shared" si="25"/>
        <v>0</v>
      </c>
      <c r="AX15" s="43"/>
      <c r="AY15" s="44">
        <f t="shared" si="89"/>
        <v>0</v>
      </c>
      <c r="AZ15" s="44">
        <f t="shared" si="26"/>
        <v>0</v>
      </c>
      <c r="BA15" s="43">
        <f t="shared" si="27"/>
        <v>0</v>
      </c>
      <c r="BB15" s="44">
        <f t="shared" si="28"/>
        <v>0</v>
      </c>
      <c r="BC15" s="44">
        <f t="shared" si="29"/>
        <v>0</v>
      </c>
      <c r="BD15" s="43"/>
      <c r="BE15" s="44">
        <f t="shared" si="90"/>
        <v>0</v>
      </c>
      <c r="BF15" s="44">
        <f t="shared" si="30"/>
        <v>0</v>
      </c>
      <c r="BG15" s="43">
        <f t="shared" si="31"/>
        <v>0</v>
      </c>
      <c r="BH15" s="44">
        <f t="shared" si="32"/>
        <v>0</v>
      </c>
      <c r="BI15" s="44">
        <f t="shared" si="33"/>
        <v>0</v>
      </c>
      <c r="BJ15" s="43"/>
      <c r="BK15" s="44">
        <f t="shared" si="91"/>
        <v>0</v>
      </c>
      <c r="BL15" s="44">
        <f t="shared" si="34"/>
        <v>0</v>
      </c>
      <c r="BM15" s="43">
        <f t="shared" si="35"/>
        <v>0</v>
      </c>
      <c r="BN15" s="44">
        <f t="shared" si="36"/>
        <v>0</v>
      </c>
      <c r="BO15" s="44">
        <f t="shared" si="37"/>
        <v>0</v>
      </c>
      <c r="BP15" s="43"/>
      <c r="BQ15" s="44">
        <f t="shared" si="92"/>
        <v>0</v>
      </c>
      <c r="BR15" s="44">
        <f t="shared" si="38"/>
        <v>0</v>
      </c>
      <c r="BS15" s="43">
        <f t="shared" si="39"/>
        <v>0</v>
      </c>
      <c r="BT15" s="44">
        <f t="shared" si="40"/>
        <v>0</v>
      </c>
      <c r="BU15" s="44">
        <f t="shared" si="41"/>
        <v>0</v>
      </c>
      <c r="BV15" s="43"/>
      <c r="BW15" s="44">
        <f t="shared" si="93"/>
        <v>0</v>
      </c>
      <c r="BX15" s="44">
        <f t="shared" si="42"/>
        <v>0</v>
      </c>
      <c r="BY15" s="43">
        <f t="shared" si="43"/>
        <v>0</v>
      </c>
      <c r="BZ15" s="44">
        <f t="shared" si="44"/>
        <v>0</v>
      </c>
      <c r="CA15" s="44">
        <f t="shared" si="45"/>
        <v>0</v>
      </c>
      <c r="CB15" s="43"/>
      <c r="CC15" s="44">
        <f t="shared" si="94"/>
        <v>0</v>
      </c>
      <c r="CD15" s="44">
        <f t="shared" si="46"/>
        <v>0</v>
      </c>
      <c r="CE15" s="43">
        <f t="shared" si="47"/>
        <v>0</v>
      </c>
      <c r="CF15" s="44">
        <f t="shared" si="48"/>
        <v>0</v>
      </c>
      <c r="CG15" s="44">
        <f t="shared" si="49"/>
        <v>0</v>
      </c>
      <c r="CH15" s="43"/>
      <c r="CI15" s="44">
        <f t="shared" si="95"/>
        <v>0</v>
      </c>
      <c r="CJ15" s="44">
        <f t="shared" si="50"/>
        <v>0</v>
      </c>
      <c r="CK15" s="43">
        <f t="shared" si="51"/>
        <v>0</v>
      </c>
      <c r="CL15" s="44">
        <f t="shared" si="52"/>
        <v>0</v>
      </c>
      <c r="CM15" s="44">
        <f t="shared" si="53"/>
        <v>0</v>
      </c>
      <c r="CN15" s="43"/>
      <c r="CO15" s="44">
        <f t="shared" si="96"/>
        <v>0</v>
      </c>
      <c r="CP15" s="44">
        <f t="shared" si="54"/>
        <v>0</v>
      </c>
      <c r="CQ15" s="43">
        <f t="shared" si="55"/>
        <v>0</v>
      </c>
      <c r="CR15" s="44">
        <f t="shared" si="56"/>
        <v>0</v>
      </c>
      <c r="CS15" s="44">
        <f t="shared" si="57"/>
        <v>0</v>
      </c>
      <c r="CT15" s="43"/>
      <c r="CU15" s="44">
        <f t="shared" si="97"/>
        <v>0</v>
      </c>
      <c r="CV15" s="44">
        <f t="shared" si="58"/>
        <v>0</v>
      </c>
      <c r="CW15" s="43">
        <f t="shared" si="59"/>
        <v>0</v>
      </c>
      <c r="CX15" s="44">
        <f t="shared" si="60"/>
        <v>0</v>
      </c>
      <c r="CY15" s="44">
        <f t="shared" si="61"/>
        <v>0</v>
      </c>
      <c r="CZ15" s="43"/>
      <c r="DA15" s="44">
        <f t="shared" si="98"/>
        <v>0</v>
      </c>
      <c r="DB15" s="44">
        <f t="shared" si="62"/>
        <v>0</v>
      </c>
      <c r="DC15" s="43">
        <f t="shared" si="63"/>
        <v>0</v>
      </c>
      <c r="DD15" s="44">
        <f t="shared" si="64"/>
        <v>0</v>
      </c>
      <c r="DE15" s="44">
        <f t="shared" si="65"/>
        <v>0</v>
      </c>
      <c r="DF15" s="43"/>
      <c r="DG15" s="44">
        <f t="shared" si="99"/>
        <v>0</v>
      </c>
      <c r="DH15" s="44">
        <f t="shared" si="66"/>
        <v>0</v>
      </c>
      <c r="DI15" s="43">
        <f t="shared" si="67"/>
        <v>0</v>
      </c>
      <c r="DJ15" s="44">
        <f t="shared" si="68"/>
        <v>0</v>
      </c>
      <c r="DK15" s="44">
        <f t="shared" si="69"/>
        <v>0</v>
      </c>
      <c r="DL15" s="43"/>
      <c r="DM15" s="43">
        <f t="shared" si="100"/>
        <v>0</v>
      </c>
      <c r="DN15" s="43">
        <f t="shared" si="70"/>
        <v>0</v>
      </c>
      <c r="DO15" s="43">
        <f t="shared" si="71"/>
        <v>0</v>
      </c>
      <c r="DP15" s="44">
        <f t="shared" si="72"/>
        <v>0</v>
      </c>
      <c r="DQ15" s="44">
        <f t="shared" si="73"/>
        <v>0</v>
      </c>
      <c r="DR15" s="43"/>
      <c r="DS15" s="44">
        <f t="shared" si="101"/>
        <v>0</v>
      </c>
      <c r="DT15" s="44">
        <f t="shared" si="74"/>
        <v>0</v>
      </c>
      <c r="DU15" s="43">
        <f t="shared" si="75"/>
        <v>0</v>
      </c>
      <c r="DV15" s="44">
        <f t="shared" si="76"/>
        <v>0</v>
      </c>
      <c r="DW15" s="44">
        <f t="shared" si="77"/>
        <v>0</v>
      </c>
      <c r="DX15" s="43"/>
      <c r="DY15" s="44">
        <f t="shared" si="102"/>
        <v>0</v>
      </c>
      <c r="DZ15" s="44">
        <f t="shared" si="78"/>
        <v>0</v>
      </c>
      <c r="EA15" s="43">
        <f t="shared" si="79"/>
        <v>0</v>
      </c>
      <c r="EB15" s="44">
        <f t="shared" si="80"/>
        <v>0</v>
      </c>
      <c r="EC15" s="44">
        <f t="shared" si="81"/>
        <v>0</v>
      </c>
      <c r="ED15" s="43"/>
      <c r="EE15" s="43"/>
      <c r="EF15" s="43"/>
      <c r="EG15" s="43">
        <f t="shared" si="82"/>
        <v>0</v>
      </c>
      <c r="EH15" s="43"/>
      <c r="EI15" s="43"/>
    </row>
    <row r="16" spans="3:139" ht="12.75">
      <c r="C16" s="45"/>
      <c r="D16" s="45"/>
      <c r="E16" s="45"/>
      <c r="F16" s="45"/>
      <c r="G16" s="45"/>
      <c r="H16" s="43"/>
      <c r="I16" s="43"/>
      <c r="J16" s="44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</row>
    <row r="17" spans="1:139" ht="13.5" thickBot="1">
      <c r="A17" s="12" t="s">
        <v>0</v>
      </c>
      <c r="C17" s="46">
        <f>SUM(C8:C16)</f>
        <v>5720000</v>
      </c>
      <c r="D17" s="46">
        <f>SUM(D8:D16)</f>
        <v>172200</v>
      </c>
      <c r="E17" s="46">
        <f>SUM(E8:E16)</f>
        <v>5892200</v>
      </c>
      <c r="F17" s="46">
        <f>SUM(F8:F16)</f>
        <v>136284</v>
      </c>
      <c r="G17" s="46">
        <f>SUM(G8:G16)</f>
        <v>217988</v>
      </c>
      <c r="H17" s="43"/>
      <c r="I17" s="46">
        <f>SUM(I8:I16)</f>
        <v>3206589.6720000003</v>
      </c>
      <c r="J17" s="46">
        <f>SUM(J8:J16)</f>
        <v>96534.04572</v>
      </c>
      <c r="K17" s="46">
        <f>SUM(K8:K16)</f>
        <v>3303123.717720001</v>
      </c>
      <c r="L17" s="46">
        <f>SUM(L8:L16)</f>
        <v>76399.8018984</v>
      </c>
      <c r="M17" s="46">
        <f>SUM(M8:M16)</f>
        <v>122202.45968880002</v>
      </c>
      <c r="N17" s="43"/>
      <c r="O17" s="46">
        <f>SUM(O8:O16)</f>
        <v>2513410.3279999997</v>
      </c>
      <c r="P17" s="46">
        <f>SUM(P8:P16)</f>
        <v>75665.95428</v>
      </c>
      <c r="Q17" s="46">
        <f>SUM(Q8:Q16)</f>
        <v>2589076.2822799995</v>
      </c>
      <c r="R17" s="46">
        <f>SUM(R8:R16)</f>
        <v>59884.19810159999</v>
      </c>
      <c r="S17" s="46">
        <f>SUM(S8:S16)</f>
        <v>95785.54031120002</v>
      </c>
      <c r="T17" s="43"/>
      <c r="U17" s="46">
        <f>SUM(U8:U16)</f>
        <v>42755.856</v>
      </c>
      <c r="V17" s="46">
        <f>SUM(V8:V16)</f>
        <v>1287.16056</v>
      </c>
      <c r="W17" s="46">
        <f>SUM(W8:W16)</f>
        <v>44043.016560000004</v>
      </c>
      <c r="X17" s="46">
        <f>SUM(X8:X16)</f>
        <v>1018.6956432000001</v>
      </c>
      <c r="Y17" s="46">
        <f>SUM(Y8:Y16)</f>
        <v>1629.4167024</v>
      </c>
      <c r="Z17" s="43"/>
      <c r="AA17" s="46">
        <f>SUM(AA8:AA16)</f>
        <v>19609.304</v>
      </c>
      <c r="AB17" s="46">
        <f>SUM(AB8:AB16)</f>
        <v>590.33604</v>
      </c>
      <c r="AC17" s="46">
        <f>SUM(AC8:AC16)</f>
        <v>20199.64004</v>
      </c>
      <c r="AD17" s="46">
        <f>SUM(AD8:AD16)</f>
        <v>467.20880880000004</v>
      </c>
      <c r="AE17" s="46">
        <f>SUM(AE8:AE16)</f>
        <v>747.3064616</v>
      </c>
      <c r="AF17" s="43"/>
      <c r="AG17" s="46">
        <f>SUM(AG8:AG16)</f>
        <v>4060.6279999999997</v>
      </c>
      <c r="AH17" s="46">
        <f>SUM(AH8:AH16)</f>
        <v>122.24477999999999</v>
      </c>
      <c r="AI17" s="46">
        <f>SUM(AI8:AI16)</f>
        <v>4182.87278</v>
      </c>
      <c r="AJ17" s="46">
        <f>SUM(AJ8:AJ16)</f>
        <v>96.7480116</v>
      </c>
      <c r="AK17" s="46">
        <f>SUM(AK8:AK16)</f>
        <v>154.7496812</v>
      </c>
      <c r="AL17" s="43"/>
      <c r="AM17" s="46">
        <f>SUM(AM8:AM16)</f>
        <v>434117.11199999996</v>
      </c>
      <c r="AN17" s="46">
        <f>SUM(AN8:AN16)</f>
        <v>13069.05012</v>
      </c>
      <c r="AO17" s="46">
        <f>SUM(AO8:AO16)</f>
        <v>447186.16212</v>
      </c>
      <c r="AP17" s="46">
        <f>SUM(AP8:AP16)</f>
        <v>10343.2196664</v>
      </c>
      <c r="AQ17" s="46">
        <f>SUM(AQ8:AQ16)</f>
        <v>16544.1120648</v>
      </c>
      <c r="AR17" s="43"/>
      <c r="AS17" s="46">
        <f>SUM(AS8:AS16)</f>
        <v>2387.528</v>
      </c>
      <c r="AT17" s="46">
        <f>SUM(AT8:AT16)</f>
        <v>71.87628</v>
      </c>
      <c r="AU17" s="46">
        <f>SUM(AU8:AU16)</f>
        <v>2459.4042799999997</v>
      </c>
      <c r="AV17" s="46">
        <f>SUM(AV8:AV16)</f>
        <v>56.8849416</v>
      </c>
      <c r="AW17" s="46">
        <f>SUM(AW8:AW16)</f>
        <v>90.9881912</v>
      </c>
      <c r="AX17" s="43"/>
      <c r="AY17" s="46">
        <f>SUM(AY8:AY16)</f>
        <v>2520.8039999999996</v>
      </c>
      <c r="AZ17" s="46">
        <f>SUM(AZ8:AZ16)</f>
        <v>75.88854</v>
      </c>
      <c r="BA17" s="46">
        <f>SUM(BA8:BA16)</f>
        <v>2596.6925399999996</v>
      </c>
      <c r="BB17" s="46">
        <f>SUM(BB8:BB16)</f>
        <v>60.060358799999996</v>
      </c>
      <c r="BC17" s="46">
        <f>SUM(BC8:BC16)</f>
        <v>96.0673116</v>
      </c>
      <c r="BD17" s="43"/>
      <c r="BE17" s="46">
        <f>SUM(BE8:BE16)</f>
        <v>706.992</v>
      </c>
      <c r="BF17" s="46">
        <f>SUM(BF8:BF16)</f>
        <v>21.283920000000002</v>
      </c>
      <c r="BG17" s="46">
        <f>SUM(BG8:BG16)</f>
        <v>728.27592</v>
      </c>
      <c r="BH17" s="46">
        <f>SUM(BH8:BH16)</f>
        <v>16.8447024</v>
      </c>
      <c r="BI17" s="46">
        <f>SUM(BI8:BI16)</f>
        <v>26.943316799999998</v>
      </c>
      <c r="BJ17" s="43"/>
      <c r="BK17" s="46">
        <f>SUM(BK8:BK16)</f>
        <v>13027.872</v>
      </c>
      <c r="BL17" s="46">
        <f>SUM(BL8:BL16)</f>
        <v>392.20272</v>
      </c>
      <c r="BM17" s="46">
        <f>SUM(BM8:BM16)</f>
        <v>13420.07472</v>
      </c>
      <c r="BN17" s="46">
        <f>SUM(BN8:BN16)</f>
        <v>310.4004384</v>
      </c>
      <c r="BO17" s="46">
        <f>SUM(BO8:BO16)</f>
        <v>496.48946879999994</v>
      </c>
      <c r="BP17" s="43"/>
      <c r="BQ17" s="46">
        <f>SUM(BQ8:BQ16)</f>
        <v>19419.4</v>
      </c>
      <c r="BR17" s="46">
        <f>SUM(BR8:BR16)</f>
        <v>584.619</v>
      </c>
      <c r="BS17" s="46">
        <f>SUM(BS8:BS16)</f>
        <v>20004.019</v>
      </c>
      <c r="BT17" s="46">
        <f>SUM(BT8:BT16)</f>
        <v>462.68418</v>
      </c>
      <c r="BU17" s="46">
        <f>SUM(BU8:BU16)</f>
        <v>740.06926</v>
      </c>
      <c r="BV17" s="43"/>
      <c r="BW17" s="46">
        <f>SUM(BW8:BW16)</f>
        <v>228800</v>
      </c>
      <c r="BX17" s="46">
        <f>SUM(BX8:BX16)</f>
        <v>6888</v>
      </c>
      <c r="BY17" s="46">
        <f>SUM(BY8:BY16)</f>
        <v>235688</v>
      </c>
      <c r="BZ17" s="46">
        <f>SUM(BZ8:BZ16)</f>
        <v>5451.36</v>
      </c>
      <c r="CA17" s="46">
        <f>SUM(CA8:CA16)</f>
        <v>8719.52</v>
      </c>
      <c r="CB17" s="43"/>
      <c r="CC17" s="46">
        <f>SUM(CC8:CC16)</f>
        <v>11349.624000000002</v>
      </c>
      <c r="CD17" s="46">
        <f>SUM(CD8:CD16)</f>
        <v>341.67924000000005</v>
      </c>
      <c r="CE17" s="46">
        <f>SUM(CE8:CE16)</f>
        <v>11691.303240000003</v>
      </c>
      <c r="CF17" s="46">
        <f>SUM(CF8:CF16)</f>
        <v>270.4147128</v>
      </c>
      <c r="CG17" s="46">
        <f>SUM(CG8:CG16)</f>
        <v>432.5317896</v>
      </c>
      <c r="CH17" s="43"/>
      <c r="CI17" s="46">
        <f>SUM(CI8:CI16)</f>
        <v>90735.788</v>
      </c>
      <c r="CJ17" s="46">
        <f>SUM(CJ8:CJ16)</f>
        <v>2731.59138</v>
      </c>
      <c r="CK17" s="46">
        <f>SUM(CK8:CK16)</f>
        <v>93467.37938000001</v>
      </c>
      <c r="CL17" s="46">
        <f>SUM(CL8:CL16)</f>
        <v>2161.8594636</v>
      </c>
      <c r="CM17" s="46">
        <f>SUM(CM8:CM16)</f>
        <v>3457.9218452</v>
      </c>
      <c r="CN17" s="43"/>
      <c r="CO17" s="46">
        <f>SUM(CO8:CO16)</f>
        <v>49671.335999999996</v>
      </c>
      <c r="CP17" s="46">
        <f>SUM(CP8:CP16)</f>
        <v>1495.3503600000001</v>
      </c>
      <c r="CQ17" s="46">
        <f>SUM(CQ8:CQ16)</f>
        <v>51166.68636000001</v>
      </c>
      <c r="CR17" s="46">
        <f>SUM(CR8:CR16)</f>
        <v>1183.4629992</v>
      </c>
      <c r="CS17" s="46">
        <f>SUM(CS8:CS16)</f>
        <v>1892.9641944</v>
      </c>
      <c r="CT17" s="43"/>
      <c r="CU17" s="46">
        <f>SUM(CU8:CU16)</f>
        <v>4927.780000000001</v>
      </c>
      <c r="CV17" s="46">
        <f>SUM(CV8:CV16)</f>
        <v>148.3503</v>
      </c>
      <c r="CW17" s="46">
        <f>SUM(CW8:CW16)</f>
        <v>5076.130300000001</v>
      </c>
      <c r="CX17" s="46">
        <f>SUM(CX8:CX16)</f>
        <v>117.408666</v>
      </c>
      <c r="CY17" s="46">
        <f>SUM(CY8:CY16)</f>
        <v>187.796662</v>
      </c>
      <c r="CZ17" s="43"/>
      <c r="DA17" s="46">
        <f>SUM(DA8:DA16)</f>
        <v>350081.16000000003</v>
      </c>
      <c r="DB17" s="46">
        <f>SUM(DB8:DB16)</f>
        <v>10539.156600000002</v>
      </c>
      <c r="DC17" s="46">
        <f>SUM(DC8:DC16)</f>
        <v>360620.3166</v>
      </c>
      <c r="DD17" s="46">
        <f>SUM(DD8:DD16)</f>
        <v>8340.989652</v>
      </c>
      <c r="DE17" s="46">
        <f>SUM(DE8:DE16)</f>
        <v>13341.519564</v>
      </c>
      <c r="DF17" s="43"/>
      <c r="DG17" s="46">
        <f>SUM(DG8:DG16)</f>
        <v>82543.032</v>
      </c>
      <c r="DH17" s="46">
        <f>SUM(DH8:DH16)</f>
        <v>2484.94932</v>
      </c>
      <c r="DI17" s="46">
        <f>SUM(DI8:DI16)</f>
        <v>85027.98131999999</v>
      </c>
      <c r="DJ17" s="46">
        <f>SUM(DJ8:DJ16)</f>
        <v>1966.6598904</v>
      </c>
      <c r="DK17" s="46">
        <f>SUM(DK8:DK16)</f>
        <v>3145.6976328</v>
      </c>
      <c r="DL17" s="45"/>
      <c r="DM17" s="46">
        <f>SUM(DM8:DM16)</f>
        <v>13743.444</v>
      </c>
      <c r="DN17" s="46">
        <f>SUM(DN8:DN16)</f>
        <v>413.74494000000004</v>
      </c>
      <c r="DO17" s="46">
        <f>SUM(DO8:DO16)</f>
        <v>14157.18894</v>
      </c>
      <c r="DP17" s="46">
        <f>SUM(DP8:DP16)</f>
        <v>327.44956679999996</v>
      </c>
      <c r="DQ17" s="46">
        <f>SUM(DQ8:DQ16)</f>
        <v>523.7597675999999</v>
      </c>
      <c r="DR17" s="43"/>
      <c r="DS17" s="46">
        <f>SUM(DS8:DS16)</f>
        <v>14793.064000000002</v>
      </c>
      <c r="DT17" s="46">
        <f>SUM(DT8:DT16)</f>
        <v>445.34364</v>
      </c>
      <c r="DU17" s="46">
        <f>SUM(DU8:DU16)</f>
        <v>15238.407640000001</v>
      </c>
      <c r="DV17" s="46">
        <f>SUM(DV8:DV16)</f>
        <v>352.4576808</v>
      </c>
      <c r="DW17" s="46">
        <f>SUM(DW8:DW16)</f>
        <v>563.7605656</v>
      </c>
      <c r="DX17" s="43"/>
      <c r="DY17" s="46">
        <f>SUM(DY8:DY16)</f>
        <v>1128159.604</v>
      </c>
      <c r="DZ17" s="46">
        <f>SUM(DZ8:DZ16)</f>
        <v>33963.126540000005</v>
      </c>
      <c r="EA17" s="46">
        <f>SUM(EA8:EA16)</f>
        <v>1162122.73054</v>
      </c>
      <c r="EB17" s="46">
        <f>SUM(EB8:EB16)</f>
        <v>26879.3887188</v>
      </c>
      <c r="EC17" s="46">
        <f>SUM(EC8:EC16)</f>
        <v>42993.925831600005</v>
      </c>
      <c r="ED17" s="43"/>
      <c r="EE17" s="46">
        <f>SUM(EE8:EE16)</f>
        <v>0</v>
      </c>
      <c r="EF17" s="46">
        <f>SUM(EF8:EF16)</f>
        <v>0</v>
      </c>
      <c r="EG17" s="46">
        <f>SUM(EG8:EG16)</f>
        <v>0</v>
      </c>
      <c r="EH17" s="45"/>
      <c r="EI17" s="43"/>
    </row>
    <row r="18" spans="33:43" ht="13.5" thickTop="1">
      <c r="AG18" s="14"/>
      <c r="AH18" s="14"/>
      <c r="AI18" s="14"/>
      <c r="AJ18" s="14"/>
      <c r="AK18" s="14"/>
      <c r="AM18" s="3"/>
      <c r="AN18" s="3"/>
      <c r="AO18" s="3"/>
      <c r="AP18" s="3"/>
      <c r="AQ18" s="3"/>
    </row>
    <row r="19" spans="3:43" ht="12.75">
      <c r="C19" s="14">
        <f>I17+O17</f>
        <v>5720000</v>
      </c>
      <c r="D19" s="14">
        <f>J17+P17</f>
        <v>172200</v>
      </c>
      <c r="F19" s="14">
        <f>L17+R17</f>
        <v>136284</v>
      </c>
      <c r="G19" s="14">
        <f>M17+S17</f>
        <v>217988.00000000006</v>
      </c>
      <c r="P19" s="14"/>
      <c r="AG19" s="14"/>
      <c r="AH19" s="14"/>
      <c r="AI19" s="14"/>
      <c r="AJ19" s="14"/>
      <c r="AK19" s="14"/>
      <c r="AM19" s="3"/>
      <c r="AN19" s="3"/>
      <c r="AO19" s="3"/>
      <c r="AP19" s="3"/>
      <c r="AQ19" s="3"/>
    </row>
    <row r="20" spans="33:43" ht="12.75">
      <c r="AG20" s="14"/>
      <c r="AH20" s="14"/>
      <c r="AI20" s="14"/>
      <c r="AJ20" s="14"/>
      <c r="AK20" s="14"/>
      <c r="AM20" s="3"/>
      <c r="AN20" s="3"/>
      <c r="AO20" s="3"/>
      <c r="AP20" s="3"/>
      <c r="AQ20" s="3"/>
    </row>
    <row r="21" spans="33:43" ht="12.75">
      <c r="AG21" s="14"/>
      <c r="AH21" s="14"/>
      <c r="AI21" s="14"/>
      <c r="AJ21" s="14"/>
      <c r="AK21" s="14"/>
      <c r="AM21" s="3"/>
      <c r="AN21" s="3"/>
      <c r="AO21" s="3"/>
      <c r="AP21" s="3"/>
      <c r="AQ21" s="3"/>
    </row>
    <row r="22" spans="33:43" ht="12.75">
      <c r="AG22" s="14"/>
      <c r="AH22" s="14"/>
      <c r="AI22" s="14"/>
      <c r="AJ22" s="14"/>
      <c r="AK22" s="14"/>
      <c r="AM22" s="3"/>
      <c r="AN22" s="3"/>
      <c r="AO22" s="3"/>
      <c r="AP22" s="3"/>
      <c r="AQ22" s="3"/>
    </row>
    <row r="23" spans="33:43" ht="12.75">
      <c r="AG23" s="14"/>
      <c r="AH23" s="14"/>
      <c r="AI23" s="14"/>
      <c r="AJ23" s="14"/>
      <c r="AK23" s="14"/>
      <c r="AM23" s="3"/>
      <c r="AN23" s="3"/>
      <c r="AO23" s="3"/>
      <c r="AP23" s="3"/>
      <c r="AQ23" s="3"/>
    </row>
    <row r="24" spans="33:43" ht="12.75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3:43" ht="12.75">
      <c r="AG25" s="14"/>
      <c r="AH25" s="14"/>
      <c r="AI25" s="14"/>
      <c r="AJ25" s="14"/>
      <c r="AK25" s="14"/>
      <c r="AM25" s="3"/>
      <c r="AN25" s="3"/>
      <c r="AO25" s="3"/>
      <c r="AP25" s="3"/>
      <c r="AQ25" s="3"/>
    </row>
    <row r="26" spans="33:43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3:138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</row>
    <row r="28" spans="33:138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</row>
    <row r="29" spans="33:138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33:138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1:13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14"/>
      <c r="AH31" s="14"/>
      <c r="AI31" s="14"/>
      <c r="AJ31" s="14"/>
      <c r="AK31" s="14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1:13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14"/>
      <c r="AH32" s="14"/>
      <c r="AI32" s="14"/>
      <c r="AJ32" s="14"/>
      <c r="AK32" s="14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F57"/>
  <sheetViews>
    <sheetView zoomScale="150" zoomScaleNormal="150" zoomScalePageLayoutView="0" workbookViewId="0" topLeftCell="A1">
      <selection activeCell="K11" sqref="K11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4" hidden="1" customWidth="1"/>
    <col min="7" max="7" width="17.7109375" style="14" hidden="1" customWidth="1"/>
    <col min="8" max="8" width="3.7109375" style="14" hidden="1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55</v>
      </c>
      <c r="AM3" s="24" t="str">
        <f>Q3</f>
        <v>2005 Series A Bond Funded Projects after 2012A</v>
      </c>
      <c r="BH3" s="24" t="str">
        <f>AM3</f>
        <v>2005 Series A Bond Funded Projects after 2012A</v>
      </c>
      <c r="BI3" s="24"/>
      <c r="BT3" s="24"/>
      <c r="BU3" s="24"/>
      <c r="BV3" s="1"/>
      <c r="BW3"/>
      <c r="BX3"/>
      <c r="BZ3" s="24" t="str">
        <f>BH3</f>
        <v>2005 Series A Bond Funded Projects after 2012A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2012A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2012A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2012A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1"/>
      <c r="EP3" s="3"/>
      <c r="EQ3" s="3"/>
      <c r="ER3" s="24" t="str">
        <f>EB3</f>
        <v>2005 Series A Bond Funded Projects after 2012A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2012A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2012A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7" t="s">
        <v>52</v>
      </c>
      <c r="D5" s="17"/>
      <c r="E5" s="18"/>
      <c r="F5" s="20"/>
      <c r="G5" s="20"/>
      <c r="I5" s="16" t="s">
        <v>22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24</v>
      </c>
      <c r="V5" s="17"/>
      <c r="W5" s="18"/>
      <c r="X5" s="20"/>
      <c r="Y5" s="20"/>
      <c r="AA5" s="35" t="s">
        <v>25</v>
      </c>
      <c r="AB5" s="17"/>
      <c r="AC5" s="18"/>
      <c r="AD5" s="20"/>
      <c r="AE5" s="20"/>
      <c r="AG5" s="35" t="s">
        <v>26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6"/>
      <c r="AS5" s="16" t="s">
        <v>9</v>
      </c>
      <c r="AT5" s="17"/>
      <c r="AU5" s="18"/>
      <c r="AV5" s="20"/>
      <c r="AW5" s="20"/>
      <c r="AY5" s="16" t="s">
        <v>27</v>
      </c>
      <c r="AZ5" s="17"/>
      <c r="BA5" s="18"/>
      <c r="BB5" s="20"/>
      <c r="BC5" s="20"/>
      <c r="BE5" s="16" t="s">
        <v>28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29</v>
      </c>
      <c r="BR5" s="17"/>
      <c r="BS5" s="18"/>
      <c r="BT5" s="20"/>
      <c r="BU5" s="20"/>
      <c r="BW5" s="16" t="s">
        <v>30</v>
      </c>
      <c r="BX5" s="17"/>
      <c r="BY5" s="18"/>
      <c r="BZ5" s="20"/>
      <c r="CA5" s="20"/>
      <c r="CB5" s="36"/>
      <c r="CC5" s="16" t="s">
        <v>48</v>
      </c>
      <c r="CD5" s="17"/>
      <c r="CE5" s="18"/>
      <c r="CF5" s="20"/>
      <c r="CG5" s="20"/>
      <c r="CI5" s="16" t="s">
        <v>31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32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33</v>
      </c>
      <c r="DZ5" s="17"/>
      <c r="EA5" s="18"/>
      <c r="EB5" s="20"/>
      <c r="EC5" s="20"/>
    </row>
    <row r="6" spans="1:134" s="1" customFormat="1" ht="12.75">
      <c r="A6" s="25" t="s">
        <v>2</v>
      </c>
      <c r="C6" s="35" t="s">
        <v>53</v>
      </c>
      <c r="D6" s="34"/>
      <c r="E6" s="18"/>
      <c r="F6" s="20" t="s">
        <v>49</v>
      </c>
      <c r="G6" s="20" t="s">
        <v>49</v>
      </c>
      <c r="H6" s="14"/>
      <c r="I6" s="19"/>
      <c r="J6" s="38">
        <v>0.5605926</v>
      </c>
      <c r="K6" s="18"/>
      <c r="L6" s="20" t="s">
        <v>49</v>
      </c>
      <c r="M6" s="20" t="s">
        <v>49</v>
      </c>
      <c r="N6" s="14"/>
      <c r="O6" s="19"/>
      <c r="P6" s="32">
        <v>0.0902238</v>
      </c>
      <c r="Q6" s="18"/>
      <c r="R6" s="20" t="s">
        <v>49</v>
      </c>
      <c r="S6" s="20" t="s">
        <v>49</v>
      </c>
      <c r="T6" s="14"/>
      <c r="U6" s="19"/>
      <c r="V6" s="32">
        <v>0.0008478</v>
      </c>
      <c r="W6" s="18"/>
      <c r="X6" s="20" t="s">
        <v>49</v>
      </c>
      <c r="Y6" s="20" t="s">
        <v>49</v>
      </c>
      <c r="Z6" s="14"/>
      <c r="AA6" s="19"/>
      <c r="AB6" s="32">
        <v>0.0271514</v>
      </c>
      <c r="AC6" s="18"/>
      <c r="AD6" s="20" t="s">
        <v>49</v>
      </c>
      <c r="AE6" s="20" t="s">
        <v>49</v>
      </c>
      <c r="AF6" s="14"/>
      <c r="AG6" s="19"/>
      <c r="AH6" s="32">
        <v>0.2273895</v>
      </c>
      <c r="AI6" s="18"/>
      <c r="AJ6" s="20" t="s">
        <v>49</v>
      </c>
      <c r="AK6" s="20" t="s">
        <v>49</v>
      </c>
      <c r="AL6" s="14"/>
      <c r="AM6" s="19"/>
      <c r="AN6" s="32">
        <v>0.0588551</v>
      </c>
      <c r="AO6" s="18"/>
      <c r="AP6" s="20" t="s">
        <v>49</v>
      </c>
      <c r="AQ6" s="20" t="s">
        <v>49</v>
      </c>
      <c r="AR6" s="36"/>
      <c r="AS6" s="19"/>
      <c r="AT6" s="32">
        <v>0.0398496</v>
      </c>
      <c r="AU6" s="18"/>
      <c r="AV6" s="20" t="s">
        <v>49</v>
      </c>
      <c r="AW6" s="20" t="s">
        <v>49</v>
      </c>
      <c r="AX6" s="14"/>
      <c r="AY6" s="19"/>
      <c r="AZ6" s="32">
        <v>0.0061294</v>
      </c>
      <c r="BA6" s="18"/>
      <c r="BB6" s="20" t="s">
        <v>49</v>
      </c>
      <c r="BC6" s="20" t="s">
        <v>49</v>
      </c>
      <c r="BD6" s="14"/>
      <c r="BE6" s="19"/>
      <c r="BF6" s="32">
        <v>0.014032</v>
      </c>
      <c r="BG6" s="18"/>
      <c r="BH6" s="20" t="s">
        <v>49</v>
      </c>
      <c r="BI6" s="20" t="s">
        <v>49</v>
      </c>
      <c r="BJ6" s="14"/>
      <c r="BK6" s="19"/>
      <c r="BL6" s="32">
        <v>0.0023527</v>
      </c>
      <c r="BM6" s="18"/>
      <c r="BN6" s="20" t="s">
        <v>49</v>
      </c>
      <c r="BO6" s="20" t="s">
        <v>49</v>
      </c>
      <c r="BP6" s="14"/>
      <c r="BQ6" s="19"/>
      <c r="BR6" s="32">
        <v>0.0025449</v>
      </c>
      <c r="BS6" s="18"/>
      <c r="BT6" s="20" t="s">
        <v>49</v>
      </c>
      <c r="BU6" s="20" t="s">
        <v>49</v>
      </c>
      <c r="BV6" s="14"/>
      <c r="BW6" s="19"/>
      <c r="BX6" s="32">
        <v>0.0048599</v>
      </c>
      <c r="BY6" s="18"/>
      <c r="BZ6" s="20" t="s">
        <v>49</v>
      </c>
      <c r="CA6" s="20" t="s">
        <v>49</v>
      </c>
      <c r="CB6" s="36"/>
      <c r="CC6" s="19"/>
      <c r="CD6" s="32">
        <v>0.0008071</v>
      </c>
      <c r="CE6" s="18"/>
      <c r="CF6" s="20" t="s">
        <v>49</v>
      </c>
      <c r="CG6" s="20" t="s">
        <v>49</v>
      </c>
      <c r="CH6" s="14"/>
      <c r="CI6" s="19"/>
      <c r="CJ6" s="32">
        <v>1.4E-05</v>
      </c>
      <c r="CK6" s="18"/>
      <c r="CL6" s="20" t="s">
        <v>49</v>
      </c>
      <c r="CM6" s="20" t="s">
        <v>49</v>
      </c>
      <c r="CN6" s="14"/>
      <c r="CO6" s="19"/>
      <c r="CP6" s="32">
        <v>0.0051373</v>
      </c>
      <c r="CQ6" s="18"/>
      <c r="CR6" s="20" t="s">
        <v>49</v>
      </c>
      <c r="CS6" s="20" t="s">
        <v>49</v>
      </c>
      <c r="CT6" s="14"/>
      <c r="CU6" s="19"/>
      <c r="CV6" s="32">
        <v>0.0074436</v>
      </c>
      <c r="CW6" s="18"/>
      <c r="CX6" s="20" t="s">
        <v>49</v>
      </c>
      <c r="CY6" s="20" t="s">
        <v>49</v>
      </c>
      <c r="CZ6" s="14"/>
      <c r="DA6" s="19"/>
      <c r="DB6" s="32">
        <v>0.0094183</v>
      </c>
      <c r="DC6" s="18"/>
      <c r="DD6" s="20" t="s">
        <v>49</v>
      </c>
      <c r="DE6" s="20" t="s">
        <v>49</v>
      </c>
      <c r="DF6" s="14"/>
      <c r="DG6" s="19"/>
      <c r="DH6" s="32">
        <v>0.000876</v>
      </c>
      <c r="DI6" s="18"/>
      <c r="DJ6" s="20" t="s">
        <v>49</v>
      </c>
      <c r="DK6" s="20" t="s">
        <v>49</v>
      </c>
      <c r="DL6" s="14"/>
      <c r="DM6" s="19"/>
      <c r="DN6" s="32">
        <v>0.0165525</v>
      </c>
      <c r="DO6" s="18"/>
      <c r="DP6" s="20" t="s">
        <v>49</v>
      </c>
      <c r="DQ6" s="20" t="s">
        <v>49</v>
      </c>
      <c r="DR6" s="14"/>
      <c r="DS6" s="19"/>
      <c r="DT6" s="32">
        <v>0.0429442</v>
      </c>
      <c r="DU6" s="18"/>
      <c r="DV6" s="20" t="s">
        <v>49</v>
      </c>
      <c r="DW6" s="20" t="s">
        <v>49</v>
      </c>
      <c r="DX6" s="14"/>
      <c r="DY6" s="19"/>
      <c r="DZ6" s="32">
        <v>0.0031635</v>
      </c>
      <c r="EA6" s="18"/>
      <c r="EB6" s="20" t="s">
        <v>49</v>
      </c>
      <c r="EC6" s="20" t="s">
        <v>49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50</v>
      </c>
      <c r="G7" s="48" t="s">
        <v>57</v>
      </c>
      <c r="I7" s="20" t="s">
        <v>3</v>
      </c>
      <c r="J7" s="20" t="s">
        <v>4</v>
      </c>
      <c r="K7" s="20" t="s">
        <v>0</v>
      </c>
      <c r="L7" s="20" t="s">
        <v>50</v>
      </c>
      <c r="M7" s="48" t="s">
        <v>57</v>
      </c>
      <c r="O7" s="20" t="s">
        <v>3</v>
      </c>
      <c r="P7" s="20" t="s">
        <v>4</v>
      </c>
      <c r="Q7" s="20" t="s">
        <v>0</v>
      </c>
      <c r="R7" s="20" t="s">
        <v>50</v>
      </c>
      <c r="S7" s="48" t="s">
        <v>57</v>
      </c>
      <c r="U7" s="20" t="s">
        <v>3</v>
      </c>
      <c r="V7" s="20" t="s">
        <v>4</v>
      </c>
      <c r="W7" s="20" t="s">
        <v>0</v>
      </c>
      <c r="X7" s="20" t="s">
        <v>50</v>
      </c>
      <c r="Y7" s="48" t="s">
        <v>57</v>
      </c>
      <c r="AA7" s="20" t="s">
        <v>3</v>
      </c>
      <c r="AB7" s="20" t="s">
        <v>4</v>
      </c>
      <c r="AC7" s="20" t="s">
        <v>0</v>
      </c>
      <c r="AD7" s="20" t="s">
        <v>50</v>
      </c>
      <c r="AE7" s="48" t="s">
        <v>57</v>
      </c>
      <c r="AG7" s="20" t="s">
        <v>3</v>
      </c>
      <c r="AH7" s="20" t="s">
        <v>4</v>
      </c>
      <c r="AI7" s="20" t="s">
        <v>0</v>
      </c>
      <c r="AJ7" s="20" t="s">
        <v>50</v>
      </c>
      <c r="AK7" s="48" t="s">
        <v>57</v>
      </c>
      <c r="AM7" s="20" t="s">
        <v>3</v>
      </c>
      <c r="AN7" s="20" t="s">
        <v>4</v>
      </c>
      <c r="AO7" s="20" t="s">
        <v>0</v>
      </c>
      <c r="AP7" s="20" t="s">
        <v>50</v>
      </c>
      <c r="AQ7" s="48" t="s">
        <v>57</v>
      </c>
      <c r="AR7" s="37"/>
      <c r="AS7" s="20" t="s">
        <v>3</v>
      </c>
      <c r="AT7" s="20" t="s">
        <v>4</v>
      </c>
      <c r="AU7" s="20" t="s">
        <v>0</v>
      </c>
      <c r="AV7" s="20" t="s">
        <v>50</v>
      </c>
      <c r="AW7" s="48" t="s">
        <v>57</v>
      </c>
      <c r="AY7" s="20" t="s">
        <v>3</v>
      </c>
      <c r="AZ7" s="20" t="s">
        <v>4</v>
      </c>
      <c r="BA7" s="20" t="s">
        <v>0</v>
      </c>
      <c r="BB7" s="20" t="s">
        <v>50</v>
      </c>
      <c r="BC7" s="48" t="s">
        <v>57</v>
      </c>
      <c r="BE7" s="20" t="s">
        <v>3</v>
      </c>
      <c r="BF7" s="20" t="s">
        <v>4</v>
      </c>
      <c r="BG7" s="20" t="s">
        <v>0</v>
      </c>
      <c r="BH7" s="20" t="s">
        <v>50</v>
      </c>
      <c r="BI7" s="48" t="s">
        <v>57</v>
      </c>
      <c r="BK7" s="20" t="s">
        <v>3</v>
      </c>
      <c r="BL7" s="20" t="s">
        <v>4</v>
      </c>
      <c r="BM7" s="20" t="s">
        <v>0</v>
      </c>
      <c r="BN7" s="20" t="s">
        <v>50</v>
      </c>
      <c r="BO7" s="48" t="s">
        <v>57</v>
      </c>
      <c r="BQ7" s="20" t="s">
        <v>3</v>
      </c>
      <c r="BR7" s="20" t="s">
        <v>4</v>
      </c>
      <c r="BS7" s="20" t="s">
        <v>0</v>
      </c>
      <c r="BT7" s="20" t="s">
        <v>50</v>
      </c>
      <c r="BU7" s="48" t="s">
        <v>57</v>
      </c>
      <c r="BW7" s="20" t="s">
        <v>3</v>
      </c>
      <c r="BX7" s="20" t="s">
        <v>4</v>
      </c>
      <c r="BY7" s="20" t="s">
        <v>0</v>
      </c>
      <c r="BZ7" s="20" t="s">
        <v>50</v>
      </c>
      <c r="CA7" s="48" t="s">
        <v>57</v>
      </c>
      <c r="CB7" s="37"/>
      <c r="CC7" s="20" t="s">
        <v>3</v>
      </c>
      <c r="CD7" s="20" t="s">
        <v>4</v>
      </c>
      <c r="CE7" s="20" t="s">
        <v>0</v>
      </c>
      <c r="CF7" s="20" t="s">
        <v>50</v>
      </c>
      <c r="CG7" s="48" t="s">
        <v>57</v>
      </c>
      <c r="CI7" s="20" t="s">
        <v>3</v>
      </c>
      <c r="CJ7" s="20" t="s">
        <v>4</v>
      </c>
      <c r="CK7" s="20" t="s">
        <v>0</v>
      </c>
      <c r="CL7" s="20" t="s">
        <v>50</v>
      </c>
      <c r="CM7" s="48" t="s">
        <v>57</v>
      </c>
      <c r="CO7" s="20" t="s">
        <v>3</v>
      </c>
      <c r="CP7" s="20" t="s">
        <v>4</v>
      </c>
      <c r="CQ7" s="20" t="s">
        <v>0</v>
      </c>
      <c r="CR7" s="20" t="s">
        <v>50</v>
      </c>
      <c r="CS7" s="48" t="s">
        <v>57</v>
      </c>
      <c r="CU7" s="20" t="s">
        <v>3</v>
      </c>
      <c r="CV7" s="20" t="s">
        <v>4</v>
      </c>
      <c r="CW7" s="20" t="s">
        <v>0</v>
      </c>
      <c r="CX7" s="20" t="s">
        <v>50</v>
      </c>
      <c r="CY7" s="48" t="s">
        <v>57</v>
      </c>
      <c r="DA7" s="20" t="s">
        <v>3</v>
      </c>
      <c r="DB7" s="20" t="s">
        <v>4</v>
      </c>
      <c r="DC7" s="20" t="s">
        <v>0</v>
      </c>
      <c r="DD7" s="20" t="s">
        <v>50</v>
      </c>
      <c r="DE7" s="48" t="s">
        <v>57</v>
      </c>
      <c r="DG7" s="20" t="s">
        <v>3</v>
      </c>
      <c r="DH7" s="20" t="s">
        <v>4</v>
      </c>
      <c r="DI7" s="20" t="s">
        <v>0</v>
      </c>
      <c r="DJ7" s="20" t="s">
        <v>50</v>
      </c>
      <c r="DK7" s="48" t="s">
        <v>57</v>
      </c>
      <c r="DM7" s="20" t="s">
        <v>3</v>
      </c>
      <c r="DN7" s="20" t="s">
        <v>4</v>
      </c>
      <c r="DO7" s="20" t="s">
        <v>0</v>
      </c>
      <c r="DP7" s="20" t="s">
        <v>50</v>
      </c>
      <c r="DQ7" s="48" t="s">
        <v>57</v>
      </c>
      <c r="DS7" s="20" t="s">
        <v>3</v>
      </c>
      <c r="DT7" s="20" t="s">
        <v>4</v>
      </c>
      <c r="DU7" s="20" t="s">
        <v>0</v>
      </c>
      <c r="DV7" s="20" t="s">
        <v>50</v>
      </c>
      <c r="DW7" s="48" t="s">
        <v>57</v>
      </c>
      <c r="DY7" s="20" t="s">
        <v>3</v>
      </c>
      <c r="DZ7" s="20" t="s">
        <v>4</v>
      </c>
      <c r="EA7" s="20" t="s">
        <v>0</v>
      </c>
      <c r="EB7" s="20" t="s">
        <v>50</v>
      </c>
      <c r="EC7" s="48" t="s">
        <v>57</v>
      </c>
    </row>
    <row r="8" spans="1:134" s="31" customFormat="1" ht="12.75">
      <c r="A8" s="30">
        <v>44470</v>
      </c>
      <c r="C8" s="15">
        <f>'2012A'!C8</f>
        <v>0</v>
      </c>
      <c r="D8" s="15">
        <f>'2012A'!D8</f>
        <v>57200</v>
      </c>
      <c r="E8" s="15">
        <f aca="true" t="shared" si="0" ref="E8:E15">C8+D8</f>
        <v>57200</v>
      </c>
      <c r="F8" s="15">
        <f>'2012A'!F8</f>
        <v>34071</v>
      </c>
      <c r="G8" s="15">
        <f>'2012A'!G8</f>
        <v>54497</v>
      </c>
      <c r="H8" s="29"/>
      <c r="I8" s="44">
        <f aca="true" t="shared" si="1" ref="I8:J15">O8+U8+AA8+AG8+AM8+AS8+AY8+BE8+BK8+BQ8+BW8+CC8+CI8+CO8+CU8+DA8+DG8+DM8+DS8+DY8</f>
        <v>0</v>
      </c>
      <c r="J8" s="44">
        <f t="shared" si="1"/>
        <v>32065.89672</v>
      </c>
      <c r="K8" s="44">
        <f aca="true" t="shared" si="2" ref="K8:K15">I8+J8</f>
        <v>32065.89672</v>
      </c>
      <c r="L8" s="44">
        <f aca="true" t="shared" si="3" ref="L8:M15">R8+X8+AD8+AJ8+AP8+AV8+BB8+BH8+BN8+BT8+BZ8+CF8+CL8+CR8+CX8+DD8+DJ8+DP8+DV8+EB8</f>
        <v>19099.9504746</v>
      </c>
      <c r="M8" s="44">
        <f t="shared" si="3"/>
        <v>30550.614922200006</v>
      </c>
      <c r="N8" s="29"/>
      <c r="O8" s="14"/>
      <c r="P8" s="29">
        <f aca="true" t="shared" si="4" ref="P8:P15">D8*9.02238/100</f>
        <v>5160.80136</v>
      </c>
      <c r="Q8" s="29">
        <f aca="true" t="shared" si="5" ref="Q8:Q15">O8+P8</f>
        <v>5160.80136</v>
      </c>
      <c r="R8" s="29">
        <f aca="true" t="shared" si="6" ref="R8:R15">P$6*$F8</f>
        <v>3074.0150898</v>
      </c>
      <c r="S8" s="29">
        <f aca="true" t="shared" si="7" ref="S8:S15">P$6*$G8</f>
        <v>4916.926428600001</v>
      </c>
      <c r="T8" s="29"/>
      <c r="U8" s="14"/>
      <c r="V8" s="14">
        <f aca="true" t="shared" si="8" ref="V8:V15">D8*0.08478/100</f>
        <v>48.494159999999994</v>
      </c>
      <c r="W8" s="14">
        <f aca="true" t="shared" si="9" ref="W8:W15">U8+V8</f>
        <v>48.494159999999994</v>
      </c>
      <c r="X8" s="29">
        <f aca="true" t="shared" si="10" ref="X8:X15">V$6*$F8</f>
        <v>28.8853938</v>
      </c>
      <c r="Y8" s="29">
        <f aca="true" t="shared" si="11" ref="Y8:Y15">V$6*$G8</f>
        <v>46.2025566</v>
      </c>
      <c r="Z8" s="29"/>
      <c r="AA8" s="29"/>
      <c r="AB8" s="14">
        <f aca="true" t="shared" si="12" ref="AB8:AB15">D8*2.71514/100</f>
        <v>1553.06008</v>
      </c>
      <c r="AC8" s="14">
        <f aca="true" t="shared" si="13" ref="AC8:AC15">AA8+AB8</f>
        <v>1553.06008</v>
      </c>
      <c r="AD8" s="29">
        <f aca="true" t="shared" si="14" ref="AD8:AD15">AB$6*$F8</f>
        <v>925.0753493999999</v>
      </c>
      <c r="AE8" s="29">
        <f aca="true" t="shared" si="15" ref="AE8:AE15">AB$6*$G8</f>
        <v>1479.6698457999998</v>
      </c>
      <c r="AF8" s="29"/>
      <c r="AG8" s="14"/>
      <c r="AH8" s="14">
        <f aca="true" t="shared" si="16" ref="AH8:AH15">D8*22.73895/100</f>
        <v>13006.679399999999</v>
      </c>
      <c r="AI8" s="14">
        <f aca="true" t="shared" si="17" ref="AI8:AI15">AG8+AH8</f>
        <v>13006.679399999999</v>
      </c>
      <c r="AJ8" s="29">
        <f aca="true" t="shared" si="18" ref="AJ8:AJ15">AH$6*$F8</f>
        <v>7747.387654499999</v>
      </c>
      <c r="AK8" s="29">
        <f aca="true" t="shared" si="19" ref="AK8:AK15">AH$6*$G8</f>
        <v>12392.0455815</v>
      </c>
      <c r="AL8" s="29"/>
      <c r="AM8" s="14"/>
      <c r="AN8" s="14">
        <f aca="true" t="shared" si="20" ref="AN8:AN15">D8*5.88551/100</f>
        <v>3366.5117200000004</v>
      </c>
      <c r="AO8" s="14">
        <f aca="true" t="shared" si="21" ref="AO8:AO15">AM8+AN8</f>
        <v>3366.5117200000004</v>
      </c>
      <c r="AP8" s="29">
        <f aca="true" t="shared" si="22" ref="AP8:AP15">AN$6*$F8</f>
        <v>2005.2521121</v>
      </c>
      <c r="AQ8" s="29">
        <f aca="true" t="shared" si="23" ref="AQ8:AQ15">AN$6*$G8</f>
        <v>3207.4263847</v>
      </c>
      <c r="AR8" s="14"/>
      <c r="AS8" s="14"/>
      <c r="AT8" s="14">
        <f aca="true" t="shared" si="24" ref="AT8:AT15">D8*3.98496/100</f>
        <v>2279.39712</v>
      </c>
      <c r="AU8" s="14">
        <f aca="true" t="shared" si="25" ref="AU8:AU15">AS8+AT8</f>
        <v>2279.39712</v>
      </c>
      <c r="AV8" s="29">
        <f aca="true" t="shared" si="26" ref="AV8:AV15">AT$6*$F8</f>
        <v>1357.7157216</v>
      </c>
      <c r="AW8" s="29">
        <f aca="true" t="shared" si="27" ref="AW8:AW15">AT$6*$G8</f>
        <v>2171.6836512</v>
      </c>
      <c r="AX8" s="29"/>
      <c r="AY8" s="14"/>
      <c r="AZ8" s="14">
        <f aca="true" t="shared" si="28" ref="AZ8:AZ15">D8*0.61294/100</f>
        <v>350.60168000000004</v>
      </c>
      <c r="BA8" s="14">
        <f aca="true" t="shared" si="29" ref="BA8:BA15">AY8+AZ8</f>
        <v>350.60168000000004</v>
      </c>
      <c r="BB8" s="29">
        <f aca="true" t="shared" si="30" ref="BB8:BB15">AZ$6*$F8</f>
        <v>208.8347874</v>
      </c>
      <c r="BC8" s="29">
        <f aca="true" t="shared" si="31" ref="BC8:BC15">AZ$6*$G8</f>
        <v>334.0339118</v>
      </c>
      <c r="BD8" s="29"/>
      <c r="BE8" s="14"/>
      <c r="BF8" s="14">
        <f aca="true" t="shared" si="32" ref="BF8:BF15">D8*1.4032/100</f>
        <v>802.6303999999999</v>
      </c>
      <c r="BG8" s="14">
        <f aca="true" t="shared" si="33" ref="BG8:BG15">BE8+BF8</f>
        <v>802.6303999999999</v>
      </c>
      <c r="BH8" s="29">
        <f aca="true" t="shared" si="34" ref="BH8:BH15">BF$6*$F8</f>
        <v>478.084272</v>
      </c>
      <c r="BI8" s="29">
        <f aca="true" t="shared" si="35" ref="BI8:BI15">BF$6*$G8</f>
        <v>764.701904</v>
      </c>
      <c r="BJ8" s="29"/>
      <c r="BK8" s="14"/>
      <c r="BL8" s="14">
        <f aca="true" t="shared" si="36" ref="BL8:BL15">D8*0.23527/100</f>
        <v>134.57443999999998</v>
      </c>
      <c r="BM8" s="14">
        <f aca="true" t="shared" si="37" ref="BM8:BM15">BK8+BL8</f>
        <v>134.57443999999998</v>
      </c>
      <c r="BN8" s="29">
        <f aca="true" t="shared" si="38" ref="BN8:BN15">BL$6*$F8</f>
        <v>80.15884170000001</v>
      </c>
      <c r="BO8" s="29">
        <f aca="true" t="shared" si="39" ref="BO8:BO15">BL$6*$G8</f>
        <v>128.2150919</v>
      </c>
      <c r="BP8" s="29"/>
      <c r="BQ8" s="14"/>
      <c r="BR8" s="14">
        <f aca="true" t="shared" si="40" ref="BR8:BR15">D8*0.25449/100</f>
        <v>145.56828</v>
      </c>
      <c r="BS8" s="14">
        <f aca="true" t="shared" si="41" ref="BS8:BS15">BQ8+BR8</f>
        <v>145.56828</v>
      </c>
      <c r="BT8" s="29">
        <f aca="true" t="shared" si="42" ref="BT8:BT15">BR$6*$F8</f>
        <v>86.7072879</v>
      </c>
      <c r="BU8" s="29">
        <f aca="true" t="shared" si="43" ref="BU8:BU15">BR$6*$G8</f>
        <v>138.6894153</v>
      </c>
      <c r="BV8" s="29"/>
      <c r="BW8" s="14"/>
      <c r="BX8" s="14">
        <f aca="true" t="shared" si="44" ref="BX8:BX15">D8*0.48599/100</f>
        <v>277.98627999999997</v>
      </c>
      <c r="BY8" s="14">
        <f aca="true" t="shared" si="45" ref="BY8:BY15">BW8+BX8</f>
        <v>277.98627999999997</v>
      </c>
      <c r="BZ8" s="29">
        <f aca="true" t="shared" si="46" ref="BZ8:BZ15">BX$6*$F8</f>
        <v>165.58165290000002</v>
      </c>
      <c r="CA8" s="29">
        <f aca="true" t="shared" si="47" ref="CA8:CA15">BX$6*$G8</f>
        <v>264.8499703</v>
      </c>
      <c r="CB8" s="14"/>
      <c r="CC8" s="14"/>
      <c r="CD8" s="14">
        <f aca="true" t="shared" si="48" ref="CD8:CD15">D8*0.08071/100</f>
        <v>46.16612</v>
      </c>
      <c r="CE8" s="14">
        <f aca="true" t="shared" si="49" ref="CE8:CE15">CC8+CD8</f>
        <v>46.16612</v>
      </c>
      <c r="CF8" s="29">
        <f aca="true" t="shared" si="50" ref="CF8:CF15">CD$6*$F8</f>
        <v>27.4987041</v>
      </c>
      <c r="CG8" s="29">
        <f aca="true" t="shared" si="51" ref="CG8:CG15">CD$6*$G8</f>
        <v>43.984528700000006</v>
      </c>
      <c r="CH8" s="29"/>
      <c r="CI8" s="14"/>
      <c r="CJ8" s="14">
        <f aca="true" t="shared" si="52" ref="CJ8:CJ15">D8*0.0014/100</f>
        <v>0.8008</v>
      </c>
      <c r="CK8" s="14">
        <f aca="true" t="shared" si="53" ref="CK8:CK15">CI8+CJ8</f>
        <v>0.8008</v>
      </c>
      <c r="CL8" s="29">
        <f aca="true" t="shared" si="54" ref="CL8:CL15">CJ$6*$F8</f>
        <v>0.476994</v>
      </c>
      <c r="CM8" s="29">
        <f aca="true" t="shared" si="55" ref="CM8:CM15">CJ$6*$G8</f>
        <v>0.762958</v>
      </c>
      <c r="CN8" s="29"/>
      <c r="CO8" s="14"/>
      <c r="CP8" s="14">
        <f aca="true" t="shared" si="56" ref="CP8:CP15">D8*0.51373/100</f>
        <v>293.85356</v>
      </c>
      <c r="CQ8" s="14">
        <f aca="true" t="shared" si="57" ref="CQ8:CQ15">CO8+CP8</f>
        <v>293.85356</v>
      </c>
      <c r="CR8" s="29">
        <f aca="true" t="shared" si="58" ref="CR8:CR15">CP$6*$F8</f>
        <v>175.0329483</v>
      </c>
      <c r="CS8" s="29">
        <f aca="true" t="shared" si="59" ref="CS8:CS15">CP$6*$G8</f>
        <v>279.9674381</v>
      </c>
      <c r="CT8" s="29"/>
      <c r="CU8" s="14"/>
      <c r="CV8" s="14">
        <f aca="true" t="shared" si="60" ref="CV8:CV15">D8*0.74436/100</f>
        <v>425.77392</v>
      </c>
      <c r="CW8" s="14">
        <f aca="true" t="shared" si="61" ref="CW8:CW15">CU8+CV8</f>
        <v>425.77392</v>
      </c>
      <c r="CX8" s="29">
        <f aca="true" t="shared" si="62" ref="CX8:CX15">CV$6*$F8</f>
        <v>253.6108956</v>
      </c>
      <c r="CY8" s="29">
        <f aca="true" t="shared" si="63" ref="CY8:CY15">CV$6*$G8</f>
        <v>405.6538692</v>
      </c>
      <c r="CZ8" s="29"/>
      <c r="DA8" s="14"/>
      <c r="DB8" s="14">
        <f aca="true" t="shared" si="64" ref="DB8:DB15">D8*0.94183/100</f>
        <v>538.72676</v>
      </c>
      <c r="DC8" s="14">
        <f aca="true" t="shared" si="65" ref="DC8:DC15">DA8+DB8</f>
        <v>538.72676</v>
      </c>
      <c r="DD8" s="29">
        <f aca="true" t="shared" si="66" ref="DD8:DD15">DB$6*$F8</f>
        <v>320.8908993</v>
      </c>
      <c r="DE8" s="29">
        <f aca="true" t="shared" si="67" ref="DE8:DE15">DB$6*$G8</f>
        <v>513.2690951</v>
      </c>
      <c r="DF8" s="29"/>
      <c r="DG8" s="14"/>
      <c r="DH8" s="14">
        <f aca="true" t="shared" si="68" ref="DH8:DH15">D8*0.0876/100</f>
        <v>50.107200000000006</v>
      </c>
      <c r="DI8" s="14">
        <f aca="true" t="shared" si="69" ref="DI8:DI15">DG8+DH8</f>
        <v>50.107200000000006</v>
      </c>
      <c r="DJ8" s="29">
        <f aca="true" t="shared" si="70" ref="DJ8:DJ15">DH$6*$F8</f>
        <v>29.846196000000003</v>
      </c>
      <c r="DK8" s="29">
        <f aca="true" t="shared" si="71" ref="DK8:DK15">DH$6*$G8</f>
        <v>47.739372</v>
      </c>
      <c r="DL8" s="29"/>
      <c r="DM8" s="14"/>
      <c r="DN8" s="29">
        <f aca="true" t="shared" si="72" ref="DN8:DN15">D8*1.65525/100</f>
        <v>946.803</v>
      </c>
      <c r="DO8" s="14">
        <f aca="true" t="shared" si="73" ref="DO8:DO15">DM8+DN8</f>
        <v>946.803</v>
      </c>
      <c r="DP8" s="29">
        <f aca="true" t="shared" si="74" ref="DP8:DP15">DN$6*$F8</f>
        <v>563.9602275000001</v>
      </c>
      <c r="DQ8" s="29">
        <f aca="true" t="shared" si="75" ref="DQ8:DQ15">DN$6*$G8</f>
        <v>902.0615925000001</v>
      </c>
      <c r="DR8" s="29"/>
      <c r="DS8" s="14"/>
      <c r="DT8" s="14">
        <f aca="true" t="shared" si="76" ref="DT8:DT15">D8*4.29442/100</f>
        <v>2456.4082399999998</v>
      </c>
      <c r="DU8" s="14">
        <f aca="true" t="shared" si="77" ref="DU8:DU15">DS8+DT8</f>
        <v>2456.4082399999998</v>
      </c>
      <c r="DV8" s="29">
        <f aca="true" t="shared" si="78" ref="DV8:DV15">DT$6*$F8</f>
        <v>1463.1518382000002</v>
      </c>
      <c r="DW8" s="29">
        <f aca="true" t="shared" si="79" ref="DW8:DW15">DT$6*$G8</f>
        <v>2340.3300674</v>
      </c>
      <c r="DX8" s="29"/>
      <c r="DY8" s="14"/>
      <c r="DZ8" s="14">
        <f aca="true" t="shared" si="80" ref="DZ8:DZ15">D8*0.31635/100</f>
        <v>180.9522</v>
      </c>
      <c r="EA8" s="14">
        <f aca="true" t="shared" si="81" ref="EA8:EA15">DY8+DZ8</f>
        <v>180.9522</v>
      </c>
      <c r="EB8" s="29">
        <f aca="true" t="shared" si="82" ref="EB8:EB15">DZ$6*$F8</f>
        <v>107.7836085</v>
      </c>
      <c r="EC8" s="29">
        <f aca="true" t="shared" si="83" ref="EC8:EC15">DZ$6*$G8</f>
        <v>172.4012595</v>
      </c>
      <c r="ED8" s="29"/>
    </row>
    <row r="9" spans="1:134" s="31" customFormat="1" ht="12.75">
      <c r="A9" s="30">
        <v>44652</v>
      </c>
      <c r="C9" s="15">
        <f>'2012A'!C9</f>
        <v>2830000</v>
      </c>
      <c r="D9" s="15">
        <f>'2012A'!D9</f>
        <v>57200</v>
      </c>
      <c r="E9" s="15">
        <f t="shared" si="0"/>
        <v>2887200</v>
      </c>
      <c r="F9" s="15">
        <f>'2012A'!F9</f>
        <v>34071</v>
      </c>
      <c r="G9" s="15">
        <f>'2012A'!G9</f>
        <v>54497</v>
      </c>
      <c r="H9" s="29"/>
      <c r="I9" s="44">
        <f t="shared" si="1"/>
        <v>1586477.0580000004</v>
      </c>
      <c r="J9" s="44">
        <f t="shared" si="1"/>
        <v>32065.89672</v>
      </c>
      <c r="K9" s="44">
        <f t="shared" si="2"/>
        <v>1618542.9547200005</v>
      </c>
      <c r="L9" s="44">
        <f t="shared" si="3"/>
        <v>19099.9504746</v>
      </c>
      <c r="M9" s="44">
        <f t="shared" si="3"/>
        <v>30550.614922200006</v>
      </c>
      <c r="N9" s="29"/>
      <c r="O9" s="14">
        <f aca="true" t="shared" si="84" ref="O9:O15">C9*9.02238/100</f>
        <v>255333.354</v>
      </c>
      <c r="P9" s="29">
        <f t="shared" si="4"/>
        <v>5160.80136</v>
      </c>
      <c r="Q9" s="29">
        <f t="shared" si="5"/>
        <v>260494.15536</v>
      </c>
      <c r="R9" s="29">
        <f t="shared" si="6"/>
        <v>3074.0150898</v>
      </c>
      <c r="S9" s="29">
        <f t="shared" si="7"/>
        <v>4916.926428600001</v>
      </c>
      <c r="T9" s="29"/>
      <c r="U9" s="14">
        <f aca="true" t="shared" si="85" ref="U9:U15">C9*0.08478/100</f>
        <v>2399.274</v>
      </c>
      <c r="V9" s="14">
        <f t="shared" si="8"/>
        <v>48.494159999999994</v>
      </c>
      <c r="W9" s="14">
        <f t="shared" si="9"/>
        <v>2447.76816</v>
      </c>
      <c r="X9" s="29">
        <f t="shared" si="10"/>
        <v>28.8853938</v>
      </c>
      <c r="Y9" s="29">
        <f t="shared" si="11"/>
        <v>46.2025566</v>
      </c>
      <c r="Z9" s="29"/>
      <c r="AA9" s="29">
        <f aca="true" t="shared" si="86" ref="AA9:AA15">C9*2.71514/100</f>
        <v>76838.462</v>
      </c>
      <c r="AB9" s="14">
        <f t="shared" si="12"/>
        <v>1553.06008</v>
      </c>
      <c r="AC9" s="14">
        <f t="shared" si="13"/>
        <v>78391.52208</v>
      </c>
      <c r="AD9" s="29">
        <f t="shared" si="14"/>
        <v>925.0753493999999</v>
      </c>
      <c r="AE9" s="29">
        <f t="shared" si="15"/>
        <v>1479.6698457999998</v>
      </c>
      <c r="AF9" s="29"/>
      <c r="AG9" s="14">
        <f aca="true" t="shared" si="87" ref="AG9:AG15">C9*22.73895/100</f>
        <v>643512.285</v>
      </c>
      <c r="AH9" s="14">
        <f t="shared" si="16"/>
        <v>13006.679399999999</v>
      </c>
      <c r="AI9" s="14">
        <f t="shared" si="17"/>
        <v>656518.9644</v>
      </c>
      <c r="AJ9" s="29">
        <f t="shared" si="18"/>
        <v>7747.387654499999</v>
      </c>
      <c r="AK9" s="29">
        <f t="shared" si="19"/>
        <v>12392.0455815</v>
      </c>
      <c r="AL9" s="29"/>
      <c r="AM9" s="14">
        <f aca="true" t="shared" si="88" ref="AM9:AM15">C9*5.88551/100</f>
        <v>166559.93300000002</v>
      </c>
      <c r="AN9" s="14">
        <f t="shared" si="20"/>
        <v>3366.5117200000004</v>
      </c>
      <c r="AO9" s="14">
        <f t="shared" si="21"/>
        <v>169926.44472000003</v>
      </c>
      <c r="AP9" s="29">
        <f t="shared" si="22"/>
        <v>2005.2521121</v>
      </c>
      <c r="AQ9" s="29">
        <f t="shared" si="23"/>
        <v>3207.4263847</v>
      </c>
      <c r="AR9" s="14"/>
      <c r="AS9" s="14">
        <f aca="true" t="shared" si="89" ref="AS9:AS15">C9*3.98496/100</f>
        <v>112774.368</v>
      </c>
      <c r="AT9" s="14">
        <f t="shared" si="24"/>
        <v>2279.39712</v>
      </c>
      <c r="AU9" s="14">
        <f t="shared" si="25"/>
        <v>115053.76512</v>
      </c>
      <c r="AV9" s="29">
        <f t="shared" si="26"/>
        <v>1357.7157216</v>
      </c>
      <c r="AW9" s="29">
        <f t="shared" si="27"/>
        <v>2171.6836512</v>
      </c>
      <c r="AX9" s="29"/>
      <c r="AY9" s="14">
        <f aca="true" t="shared" si="90" ref="AY9:AY15">C9*0.61294/100</f>
        <v>17346.202</v>
      </c>
      <c r="AZ9" s="14">
        <f t="shared" si="28"/>
        <v>350.60168000000004</v>
      </c>
      <c r="BA9" s="14">
        <f t="shared" si="29"/>
        <v>17696.80368</v>
      </c>
      <c r="BB9" s="29">
        <f t="shared" si="30"/>
        <v>208.8347874</v>
      </c>
      <c r="BC9" s="29">
        <f t="shared" si="31"/>
        <v>334.0339118</v>
      </c>
      <c r="BD9" s="29"/>
      <c r="BE9" s="14">
        <f aca="true" t="shared" si="91" ref="BE9:BE15">C9*1.4032/100</f>
        <v>39710.56</v>
      </c>
      <c r="BF9" s="14">
        <f t="shared" si="32"/>
        <v>802.6303999999999</v>
      </c>
      <c r="BG9" s="14">
        <f t="shared" si="33"/>
        <v>40513.1904</v>
      </c>
      <c r="BH9" s="29">
        <f t="shared" si="34"/>
        <v>478.084272</v>
      </c>
      <c r="BI9" s="29">
        <f t="shared" si="35"/>
        <v>764.701904</v>
      </c>
      <c r="BJ9" s="29"/>
      <c r="BK9" s="14">
        <f aca="true" t="shared" si="92" ref="BK9:BK15">C9*0.23527/100</f>
        <v>6658.141</v>
      </c>
      <c r="BL9" s="14">
        <f t="shared" si="36"/>
        <v>134.57443999999998</v>
      </c>
      <c r="BM9" s="14">
        <f t="shared" si="37"/>
        <v>6792.71544</v>
      </c>
      <c r="BN9" s="29">
        <f t="shared" si="38"/>
        <v>80.15884170000001</v>
      </c>
      <c r="BO9" s="29">
        <f t="shared" si="39"/>
        <v>128.2150919</v>
      </c>
      <c r="BP9" s="29"/>
      <c r="BQ9" s="14">
        <f aca="true" t="shared" si="93" ref="BQ9:BQ15">C9*0.25449/100</f>
        <v>7202.066999999999</v>
      </c>
      <c r="BR9" s="14">
        <f t="shared" si="40"/>
        <v>145.56828</v>
      </c>
      <c r="BS9" s="14">
        <f t="shared" si="41"/>
        <v>7347.6352799999995</v>
      </c>
      <c r="BT9" s="29">
        <f t="shared" si="42"/>
        <v>86.7072879</v>
      </c>
      <c r="BU9" s="29">
        <f t="shared" si="43"/>
        <v>138.6894153</v>
      </c>
      <c r="BV9" s="29"/>
      <c r="BW9" s="14">
        <f aca="true" t="shared" si="94" ref="BW9:BW15">C9*0.48599/100</f>
        <v>13753.517</v>
      </c>
      <c r="BX9" s="14">
        <f t="shared" si="44"/>
        <v>277.98627999999997</v>
      </c>
      <c r="BY9" s="14">
        <f t="shared" si="45"/>
        <v>14031.503279999999</v>
      </c>
      <c r="BZ9" s="29">
        <f t="shared" si="46"/>
        <v>165.58165290000002</v>
      </c>
      <c r="CA9" s="29">
        <f t="shared" si="47"/>
        <v>264.8499703</v>
      </c>
      <c r="CB9" s="14"/>
      <c r="CC9" s="14">
        <f>C9*0.08071/100</f>
        <v>2284.0930000000003</v>
      </c>
      <c r="CD9" s="14">
        <f t="shared" si="48"/>
        <v>46.16612</v>
      </c>
      <c r="CE9" s="14">
        <f t="shared" si="49"/>
        <v>2330.25912</v>
      </c>
      <c r="CF9" s="29">
        <f t="shared" si="50"/>
        <v>27.4987041</v>
      </c>
      <c r="CG9" s="29">
        <f t="shared" si="51"/>
        <v>43.984528700000006</v>
      </c>
      <c r="CH9" s="29"/>
      <c r="CI9" s="14">
        <f aca="true" t="shared" si="95" ref="CI9:CI15">C9*0.0014/100</f>
        <v>39.62</v>
      </c>
      <c r="CJ9" s="14">
        <f t="shared" si="52"/>
        <v>0.8008</v>
      </c>
      <c r="CK9" s="14">
        <f t="shared" si="53"/>
        <v>40.4208</v>
      </c>
      <c r="CL9" s="29">
        <f t="shared" si="54"/>
        <v>0.476994</v>
      </c>
      <c r="CM9" s="29">
        <f t="shared" si="55"/>
        <v>0.762958</v>
      </c>
      <c r="CN9" s="29"/>
      <c r="CO9" s="14">
        <f aca="true" t="shared" si="96" ref="CO9:CO15">C9*0.51373/100</f>
        <v>14538.559000000001</v>
      </c>
      <c r="CP9" s="14">
        <f t="shared" si="56"/>
        <v>293.85356</v>
      </c>
      <c r="CQ9" s="14">
        <f t="shared" si="57"/>
        <v>14832.41256</v>
      </c>
      <c r="CR9" s="29">
        <f t="shared" si="58"/>
        <v>175.0329483</v>
      </c>
      <c r="CS9" s="29">
        <f t="shared" si="59"/>
        <v>279.9674381</v>
      </c>
      <c r="CT9" s="29"/>
      <c r="CU9" s="14">
        <f aca="true" t="shared" si="97" ref="CU9:CU15">C9*0.74436/100</f>
        <v>21065.388000000003</v>
      </c>
      <c r="CV9" s="14">
        <f t="shared" si="60"/>
        <v>425.77392</v>
      </c>
      <c r="CW9" s="14">
        <f t="shared" si="61"/>
        <v>21491.161920000002</v>
      </c>
      <c r="CX9" s="29">
        <f t="shared" si="62"/>
        <v>253.6108956</v>
      </c>
      <c r="CY9" s="29">
        <f t="shared" si="63"/>
        <v>405.6538692</v>
      </c>
      <c r="CZ9" s="29"/>
      <c r="DA9" s="14">
        <f aca="true" t="shared" si="98" ref="DA9:DA15">C9*0.94183/100</f>
        <v>26653.789</v>
      </c>
      <c r="DB9" s="14">
        <f t="shared" si="64"/>
        <v>538.72676</v>
      </c>
      <c r="DC9" s="14">
        <f t="shared" si="65"/>
        <v>27192.515760000002</v>
      </c>
      <c r="DD9" s="29">
        <f t="shared" si="66"/>
        <v>320.8908993</v>
      </c>
      <c r="DE9" s="29">
        <f t="shared" si="67"/>
        <v>513.2690951</v>
      </c>
      <c r="DF9" s="29"/>
      <c r="DG9" s="14">
        <f aca="true" t="shared" si="99" ref="DG9:DG15">C9*0.0876/100</f>
        <v>2479.08</v>
      </c>
      <c r="DH9" s="14">
        <f t="shared" si="68"/>
        <v>50.107200000000006</v>
      </c>
      <c r="DI9" s="14">
        <f t="shared" si="69"/>
        <v>2529.1872</v>
      </c>
      <c r="DJ9" s="29">
        <f t="shared" si="70"/>
        <v>29.846196000000003</v>
      </c>
      <c r="DK9" s="29">
        <f t="shared" si="71"/>
        <v>47.739372</v>
      </c>
      <c r="DL9" s="29"/>
      <c r="DM9" s="14">
        <f aca="true" t="shared" si="100" ref="DM9:DM15">C9*1.65525/100</f>
        <v>46843.575</v>
      </c>
      <c r="DN9" s="29">
        <f t="shared" si="72"/>
        <v>946.803</v>
      </c>
      <c r="DO9" s="14">
        <f t="shared" si="73"/>
        <v>47790.378</v>
      </c>
      <c r="DP9" s="29">
        <f t="shared" si="74"/>
        <v>563.9602275000001</v>
      </c>
      <c r="DQ9" s="29">
        <f t="shared" si="75"/>
        <v>902.0615925000001</v>
      </c>
      <c r="DR9" s="29"/>
      <c r="DS9" s="14">
        <f aca="true" t="shared" si="101" ref="DS9:DS15">C9*4.29442/100</f>
        <v>121532.086</v>
      </c>
      <c r="DT9" s="14">
        <f t="shared" si="76"/>
        <v>2456.4082399999998</v>
      </c>
      <c r="DU9" s="14">
        <f t="shared" si="77"/>
        <v>123988.49424</v>
      </c>
      <c r="DV9" s="29">
        <f t="shared" si="78"/>
        <v>1463.1518382000002</v>
      </c>
      <c r="DW9" s="29">
        <f t="shared" si="79"/>
        <v>2340.3300674</v>
      </c>
      <c r="DX9" s="29"/>
      <c r="DY9" s="14">
        <f aca="true" t="shared" si="102" ref="DY9:DY15">C9*0.31635/100</f>
        <v>8952.705</v>
      </c>
      <c r="DZ9" s="14">
        <f t="shared" si="80"/>
        <v>180.9522</v>
      </c>
      <c r="EA9" s="14">
        <f t="shared" si="81"/>
        <v>9133.6572</v>
      </c>
      <c r="EB9" s="29">
        <f t="shared" si="82"/>
        <v>107.7836085</v>
      </c>
      <c r="EC9" s="29">
        <f t="shared" si="83"/>
        <v>172.4012595</v>
      </c>
      <c r="ED9" s="29"/>
    </row>
    <row r="10" spans="1:134" s="31" customFormat="1" ht="12.75">
      <c r="A10" s="30">
        <v>44835</v>
      </c>
      <c r="C10" s="15">
        <f>'2012A'!C10</f>
        <v>0</v>
      </c>
      <c r="D10" s="15">
        <f>'2012A'!D10</f>
        <v>28900</v>
      </c>
      <c r="E10" s="15">
        <f t="shared" si="0"/>
        <v>28900</v>
      </c>
      <c r="F10" s="15">
        <f>'2012A'!F10</f>
        <v>34071</v>
      </c>
      <c r="G10" s="15">
        <f>'2012A'!G10</f>
        <v>54497</v>
      </c>
      <c r="H10" s="29"/>
      <c r="I10" s="44">
        <f t="shared" si="1"/>
        <v>0</v>
      </c>
      <c r="J10" s="44">
        <f t="shared" si="1"/>
        <v>16201.126139999997</v>
      </c>
      <c r="K10" s="44">
        <f t="shared" si="2"/>
        <v>16201.126139999997</v>
      </c>
      <c r="L10" s="44">
        <f t="shared" si="3"/>
        <v>19099.9504746</v>
      </c>
      <c r="M10" s="44">
        <f t="shared" si="3"/>
        <v>30550.614922200006</v>
      </c>
      <c r="N10" s="29"/>
      <c r="O10" s="14"/>
      <c r="P10" s="29">
        <f t="shared" si="4"/>
        <v>2607.46782</v>
      </c>
      <c r="Q10" s="29">
        <f t="shared" si="5"/>
        <v>2607.46782</v>
      </c>
      <c r="R10" s="29">
        <f t="shared" si="6"/>
        <v>3074.0150898</v>
      </c>
      <c r="S10" s="29">
        <f t="shared" si="7"/>
        <v>4916.926428600001</v>
      </c>
      <c r="T10" s="29"/>
      <c r="U10" s="14"/>
      <c r="V10" s="14">
        <f t="shared" si="8"/>
        <v>24.50142</v>
      </c>
      <c r="W10" s="14">
        <f t="shared" si="9"/>
        <v>24.50142</v>
      </c>
      <c r="X10" s="29">
        <f t="shared" si="10"/>
        <v>28.8853938</v>
      </c>
      <c r="Y10" s="29">
        <f t="shared" si="11"/>
        <v>46.2025566</v>
      </c>
      <c r="Z10" s="29"/>
      <c r="AA10" s="29"/>
      <c r="AB10" s="14">
        <f t="shared" si="12"/>
        <v>784.67546</v>
      </c>
      <c r="AC10" s="14">
        <f t="shared" si="13"/>
        <v>784.67546</v>
      </c>
      <c r="AD10" s="29">
        <f t="shared" si="14"/>
        <v>925.0753493999999</v>
      </c>
      <c r="AE10" s="29">
        <f t="shared" si="15"/>
        <v>1479.6698457999998</v>
      </c>
      <c r="AF10" s="29"/>
      <c r="AG10" s="14"/>
      <c r="AH10" s="14">
        <f t="shared" si="16"/>
        <v>6571.55655</v>
      </c>
      <c r="AI10" s="14">
        <f t="shared" si="17"/>
        <v>6571.55655</v>
      </c>
      <c r="AJ10" s="29">
        <f t="shared" si="18"/>
        <v>7747.387654499999</v>
      </c>
      <c r="AK10" s="29">
        <f t="shared" si="19"/>
        <v>12392.0455815</v>
      </c>
      <c r="AL10" s="29"/>
      <c r="AM10" s="14"/>
      <c r="AN10" s="14">
        <f t="shared" si="20"/>
        <v>1700.91239</v>
      </c>
      <c r="AO10" s="14">
        <f t="shared" si="21"/>
        <v>1700.91239</v>
      </c>
      <c r="AP10" s="29">
        <f t="shared" si="22"/>
        <v>2005.2521121</v>
      </c>
      <c r="AQ10" s="29">
        <f t="shared" si="23"/>
        <v>3207.4263847</v>
      </c>
      <c r="AR10" s="14"/>
      <c r="AS10" s="14"/>
      <c r="AT10" s="14">
        <f t="shared" si="24"/>
        <v>1151.65344</v>
      </c>
      <c r="AU10" s="14">
        <f t="shared" si="25"/>
        <v>1151.65344</v>
      </c>
      <c r="AV10" s="29">
        <f t="shared" si="26"/>
        <v>1357.7157216</v>
      </c>
      <c r="AW10" s="29">
        <f t="shared" si="27"/>
        <v>2171.6836512</v>
      </c>
      <c r="AX10" s="29"/>
      <c r="AY10" s="14"/>
      <c r="AZ10" s="14">
        <f t="shared" si="28"/>
        <v>177.13966</v>
      </c>
      <c r="BA10" s="14">
        <f t="shared" si="29"/>
        <v>177.13966</v>
      </c>
      <c r="BB10" s="29">
        <f t="shared" si="30"/>
        <v>208.8347874</v>
      </c>
      <c r="BC10" s="29">
        <f t="shared" si="31"/>
        <v>334.0339118</v>
      </c>
      <c r="BD10" s="29"/>
      <c r="BE10" s="14"/>
      <c r="BF10" s="14">
        <f t="shared" si="32"/>
        <v>405.5248</v>
      </c>
      <c r="BG10" s="14">
        <f t="shared" si="33"/>
        <v>405.5248</v>
      </c>
      <c r="BH10" s="29">
        <f t="shared" si="34"/>
        <v>478.084272</v>
      </c>
      <c r="BI10" s="29">
        <f t="shared" si="35"/>
        <v>764.701904</v>
      </c>
      <c r="BJ10" s="29"/>
      <c r="BK10" s="14"/>
      <c r="BL10" s="14">
        <f t="shared" si="36"/>
        <v>67.99303</v>
      </c>
      <c r="BM10" s="14">
        <f t="shared" si="37"/>
        <v>67.99303</v>
      </c>
      <c r="BN10" s="29">
        <f t="shared" si="38"/>
        <v>80.15884170000001</v>
      </c>
      <c r="BO10" s="29">
        <f t="shared" si="39"/>
        <v>128.2150919</v>
      </c>
      <c r="BP10" s="29"/>
      <c r="BQ10" s="14"/>
      <c r="BR10" s="14">
        <f t="shared" si="40"/>
        <v>73.54760999999999</v>
      </c>
      <c r="BS10" s="14">
        <f t="shared" si="41"/>
        <v>73.54760999999999</v>
      </c>
      <c r="BT10" s="29">
        <f t="shared" si="42"/>
        <v>86.7072879</v>
      </c>
      <c r="BU10" s="29">
        <f t="shared" si="43"/>
        <v>138.6894153</v>
      </c>
      <c r="BV10" s="29"/>
      <c r="BW10" s="14"/>
      <c r="BX10" s="14">
        <f t="shared" si="44"/>
        <v>140.45111</v>
      </c>
      <c r="BY10" s="14">
        <f t="shared" si="45"/>
        <v>140.45111</v>
      </c>
      <c r="BZ10" s="29">
        <f t="shared" si="46"/>
        <v>165.58165290000002</v>
      </c>
      <c r="CA10" s="29">
        <f t="shared" si="47"/>
        <v>264.8499703</v>
      </c>
      <c r="CB10" s="14"/>
      <c r="CC10" s="14"/>
      <c r="CD10" s="14">
        <f t="shared" si="48"/>
        <v>23.325190000000003</v>
      </c>
      <c r="CE10" s="14">
        <f t="shared" si="49"/>
        <v>23.325190000000003</v>
      </c>
      <c r="CF10" s="29">
        <f t="shared" si="50"/>
        <v>27.4987041</v>
      </c>
      <c r="CG10" s="29">
        <f t="shared" si="51"/>
        <v>43.984528700000006</v>
      </c>
      <c r="CH10" s="29"/>
      <c r="CI10" s="14"/>
      <c r="CJ10" s="14">
        <f t="shared" si="52"/>
        <v>0.4046</v>
      </c>
      <c r="CK10" s="14">
        <f t="shared" si="53"/>
        <v>0.4046</v>
      </c>
      <c r="CL10" s="29">
        <f t="shared" si="54"/>
        <v>0.476994</v>
      </c>
      <c r="CM10" s="29">
        <f t="shared" si="55"/>
        <v>0.762958</v>
      </c>
      <c r="CN10" s="29"/>
      <c r="CO10" s="14"/>
      <c r="CP10" s="14">
        <f t="shared" si="56"/>
        <v>148.46797</v>
      </c>
      <c r="CQ10" s="14">
        <f t="shared" si="57"/>
        <v>148.46797</v>
      </c>
      <c r="CR10" s="29">
        <f t="shared" si="58"/>
        <v>175.0329483</v>
      </c>
      <c r="CS10" s="29">
        <f t="shared" si="59"/>
        <v>279.9674381</v>
      </c>
      <c r="CT10" s="29"/>
      <c r="CU10" s="14"/>
      <c r="CV10" s="14">
        <f t="shared" si="60"/>
        <v>215.12004000000002</v>
      </c>
      <c r="CW10" s="14">
        <f t="shared" si="61"/>
        <v>215.12004000000002</v>
      </c>
      <c r="CX10" s="29">
        <f t="shared" si="62"/>
        <v>253.6108956</v>
      </c>
      <c r="CY10" s="29">
        <f t="shared" si="63"/>
        <v>405.6538692</v>
      </c>
      <c r="CZ10" s="29"/>
      <c r="DA10" s="14"/>
      <c r="DB10" s="14">
        <f t="shared" si="64"/>
        <v>272.18887</v>
      </c>
      <c r="DC10" s="14">
        <f t="shared" si="65"/>
        <v>272.18887</v>
      </c>
      <c r="DD10" s="29">
        <f t="shared" si="66"/>
        <v>320.8908993</v>
      </c>
      <c r="DE10" s="29">
        <f t="shared" si="67"/>
        <v>513.2690951</v>
      </c>
      <c r="DF10" s="29"/>
      <c r="DG10" s="14"/>
      <c r="DH10" s="14">
        <f t="shared" si="68"/>
        <v>25.316399999999998</v>
      </c>
      <c r="DI10" s="14">
        <f t="shared" si="69"/>
        <v>25.316399999999998</v>
      </c>
      <c r="DJ10" s="29">
        <f t="shared" si="70"/>
        <v>29.846196000000003</v>
      </c>
      <c r="DK10" s="29">
        <f t="shared" si="71"/>
        <v>47.739372</v>
      </c>
      <c r="DL10" s="29"/>
      <c r="DM10" s="14"/>
      <c r="DN10" s="29">
        <f t="shared" si="72"/>
        <v>478.36725000000007</v>
      </c>
      <c r="DO10" s="14">
        <f t="shared" si="73"/>
        <v>478.36725000000007</v>
      </c>
      <c r="DP10" s="29">
        <f t="shared" si="74"/>
        <v>563.9602275000001</v>
      </c>
      <c r="DQ10" s="29">
        <f t="shared" si="75"/>
        <v>902.0615925000001</v>
      </c>
      <c r="DR10" s="29"/>
      <c r="DS10" s="14"/>
      <c r="DT10" s="14">
        <f t="shared" si="76"/>
        <v>1241.08738</v>
      </c>
      <c r="DU10" s="14">
        <f t="shared" si="77"/>
        <v>1241.08738</v>
      </c>
      <c r="DV10" s="29">
        <f t="shared" si="78"/>
        <v>1463.1518382000002</v>
      </c>
      <c r="DW10" s="29">
        <f t="shared" si="79"/>
        <v>2340.3300674</v>
      </c>
      <c r="DX10" s="29"/>
      <c r="DY10" s="14"/>
      <c r="DZ10" s="14">
        <f t="shared" si="80"/>
        <v>91.42515000000002</v>
      </c>
      <c r="EA10" s="14">
        <f t="shared" si="81"/>
        <v>91.42515000000002</v>
      </c>
      <c r="EB10" s="29">
        <f t="shared" si="82"/>
        <v>107.7836085</v>
      </c>
      <c r="EC10" s="29">
        <f t="shared" si="83"/>
        <v>172.4012595</v>
      </c>
      <c r="ED10" s="29"/>
    </row>
    <row r="11" spans="1:134" s="31" customFormat="1" ht="12.75">
      <c r="A11" s="30">
        <v>45017</v>
      </c>
      <c r="C11" s="15">
        <f>'2012A'!C11</f>
        <v>2890000</v>
      </c>
      <c r="D11" s="15">
        <f>'2012A'!D11</f>
        <v>28900</v>
      </c>
      <c r="E11" s="15">
        <f t="shared" si="0"/>
        <v>2918900</v>
      </c>
      <c r="F11" s="15">
        <f>'2012A'!F11</f>
        <v>34071</v>
      </c>
      <c r="G11" s="15">
        <f>'2012A'!G11</f>
        <v>54497</v>
      </c>
      <c r="H11" s="29"/>
      <c r="I11" s="44">
        <f t="shared" si="1"/>
        <v>1620112.614</v>
      </c>
      <c r="J11" s="44">
        <f t="shared" si="1"/>
        <v>16201.126139999997</v>
      </c>
      <c r="K11" s="44">
        <f t="shared" si="2"/>
        <v>1636313.7401400001</v>
      </c>
      <c r="L11" s="44">
        <f t="shared" si="3"/>
        <v>19099.9504746</v>
      </c>
      <c r="M11" s="44">
        <f t="shared" si="3"/>
        <v>30550.614922200006</v>
      </c>
      <c r="N11" s="29"/>
      <c r="O11" s="14">
        <f t="shared" si="84"/>
        <v>260746.782</v>
      </c>
      <c r="P11" s="29">
        <f t="shared" si="4"/>
        <v>2607.46782</v>
      </c>
      <c r="Q11" s="29">
        <f t="shared" si="5"/>
        <v>263354.24982</v>
      </c>
      <c r="R11" s="29">
        <f t="shared" si="6"/>
        <v>3074.0150898</v>
      </c>
      <c r="S11" s="29">
        <f t="shared" si="7"/>
        <v>4916.926428600001</v>
      </c>
      <c r="T11" s="29"/>
      <c r="U11" s="14">
        <f t="shared" si="85"/>
        <v>2450.142</v>
      </c>
      <c r="V11" s="14">
        <f t="shared" si="8"/>
        <v>24.50142</v>
      </c>
      <c r="W11" s="14">
        <f t="shared" si="9"/>
        <v>2474.64342</v>
      </c>
      <c r="X11" s="29">
        <f t="shared" si="10"/>
        <v>28.8853938</v>
      </c>
      <c r="Y11" s="29">
        <f t="shared" si="11"/>
        <v>46.2025566</v>
      </c>
      <c r="Z11" s="29"/>
      <c r="AA11" s="29">
        <f t="shared" si="86"/>
        <v>78467.546</v>
      </c>
      <c r="AB11" s="14">
        <f t="shared" si="12"/>
        <v>784.67546</v>
      </c>
      <c r="AC11" s="14">
        <f t="shared" si="13"/>
        <v>79252.22146</v>
      </c>
      <c r="AD11" s="29">
        <f t="shared" si="14"/>
        <v>925.0753493999999</v>
      </c>
      <c r="AE11" s="29">
        <f t="shared" si="15"/>
        <v>1479.6698457999998</v>
      </c>
      <c r="AF11" s="29"/>
      <c r="AG11" s="14">
        <f t="shared" si="87"/>
        <v>657155.655</v>
      </c>
      <c r="AH11" s="14">
        <f t="shared" si="16"/>
        <v>6571.55655</v>
      </c>
      <c r="AI11" s="14">
        <f t="shared" si="17"/>
        <v>663727.21155</v>
      </c>
      <c r="AJ11" s="29">
        <f t="shared" si="18"/>
        <v>7747.387654499999</v>
      </c>
      <c r="AK11" s="29">
        <f t="shared" si="19"/>
        <v>12392.0455815</v>
      </c>
      <c r="AL11" s="29"/>
      <c r="AM11" s="14">
        <f t="shared" si="88"/>
        <v>170091.23899999997</v>
      </c>
      <c r="AN11" s="14">
        <f t="shared" si="20"/>
        <v>1700.91239</v>
      </c>
      <c r="AO11" s="14">
        <f t="shared" si="21"/>
        <v>171792.15138999998</v>
      </c>
      <c r="AP11" s="29">
        <f t="shared" si="22"/>
        <v>2005.2521121</v>
      </c>
      <c r="AQ11" s="29">
        <f t="shared" si="23"/>
        <v>3207.4263847</v>
      </c>
      <c r="AR11" s="14"/>
      <c r="AS11" s="14">
        <f t="shared" si="89"/>
        <v>115165.344</v>
      </c>
      <c r="AT11" s="14">
        <f t="shared" si="24"/>
        <v>1151.65344</v>
      </c>
      <c r="AU11" s="14">
        <f t="shared" si="25"/>
        <v>116316.99743999999</v>
      </c>
      <c r="AV11" s="29">
        <f t="shared" si="26"/>
        <v>1357.7157216</v>
      </c>
      <c r="AW11" s="29">
        <f t="shared" si="27"/>
        <v>2171.6836512</v>
      </c>
      <c r="AX11" s="29"/>
      <c r="AY11" s="14">
        <f t="shared" si="90"/>
        <v>17713.966</v>
      </c>
      <c r="AZ11" s="14">
        <f t="shared" si="28"/>
        <v>177.13966</v>
      </c>
      <c r="BA11" s="14">
        <f t="shared" si="29"/>
        <v>17891.10566</v>
      </c>
      <c r="BB11" s="29">
        <f t="shared" si="30"/>
        <v>208.8347874</v>
      </c>
      <c r="BC11" s="29">
        <f t="shared" si="31"/>
        <v>334.0339118</v>
      </c>
      <c r="BD11" s="29"/>
      <c r="BE11" s="14">
        <f t="shared" si="91"/>
        <v>40552.48</v>
      </c>
      <c r="BF11" s="14">
        <f t="shared" si="32"/>
        <v>405.5248</v>
      </c>
      <c r="BG11" s="14">
        <f t="shared" si="33"/>
        <v>40958.0048</v>
      </c>
      <c r="BH11" s="29">
        <f t="shared" si="34"/>
        <v>478.084272</v>
      </c>
      <c r="BI11" s="29">
        <f t="shared" si="35"/>
        <v>764.701904</v>
      </c>
      <c r="BJ11" s="29"/>
      <c r="BK11" s="14">
        <f t="shared" si="92"/>
        <v>6799.303000000001</v>
      </c>
      <c r="BL11" s="14">
        <f t="shared" si="36"/>
        <v>67.99303</v>
      </c>
      <c r="BM11" s="14">
        <f t="shared" si="37"/>
        <v>6867.29603</v>
      </c>
      <c r="BN11" s="29">
        <f t="shared" si="38"/>
        <v>80.15884170000001</v>
      </c>
      <c r="BO11" s="29">
        <f t="shared" si="39"/>
        <v>128.2150919</v>
      </c>
      <c r="BP11" s="29"/>
      <c r="BQ11" s="14">
        <f t="shared" si="93"/>
        <v>7354.7609999999995</v>
      </c>
      <c r="BR11" s="14">
        <f t="shared" si="40"/>
        <v>73.54760999999999</v>
      </c>
      <c r="BS11" s="14">
        <f t="shared" si="41"/>
        <v>7428.308609999999</v>
      </c>
      <c r="BT11" s="29">
        <f t="shared" si="42"/>
        <v>86.7072879</v>
      </c>
      <c r="BU11" s="29">
        <f t="shared" si="43"/>
        <v>138.6894153</v>
      </c>
      <c r="BV11" s="29"/>
      <c r="BW11" s="14">
        <f t="shared" si="94"/>
        <v>14045.110999999999</v>
      </c>
      <c r="BX11" s="14">
        <f t="shared" si="44"/>
        <v>140.45111</v>
      </c>
      <c r="BY11" s="14">
        <f t="shared" si="45"/>
        <v>14185.562109999999</v>
      </c>
      <c r="BZ11" s="29">
        <f t="shared" si="46"/>
        <v>165.58165290000002</v>
      </c>
      <c r="CA11" s="29">
        <f t="shared" si="47"/>
        <v>264.8499703</v>
      </c>
      <c r="CB11" s="14"/>
      <c r="CC11" s="14">
        <f>C11*0.08071/100</f>
        <v>2332.5190000000002</v>
      </c>
      <c r="CD11" s="14">
        <f t="shared" si="48"/>
        <v>23.325190000000003</v>
      </c>
      <c r="CE11" s="14">
        <f t="shared" si="49"/>
        <v>2355.8441900000003</v>
      </c>
      <c r="CF11" s="29">
        <f t="shared" si="50"/>
        <v>27.4987041</v>
      </c>
      <c r="CG11" s="29">
        <f t="shared" si="51"/>
        <v>43.984528700000006</v>
      </c>
      <c r="CH11" s="29"/>
      <c r="CI11" s="14">
        <f t="shared" si="95"/>
        <v>40.46</v>
      </c>
      <c r="CJ11" s="14">
        <f t="shared" si="52"/>
        <v>0.4046</v>
      </c>
      <c r="CK11" s="14">
        <f t="shared" si="53"/>
        <v>40.8646</v>
      </c>
      <c r="CL11" s="29">
        <f t="shared" si="54"/>
        <v>0.476994</v>
      </c>
      <c r="CM11" s="29">
        <f t="shared" si="55"/>
        <v>0.762958</v>
      </c>
      <c r="CN11" s="29"/>
      <c r="CO11" s="14">
        <f t="shared" si="96"/>
        <v>14846.796999999999</v>
      </c>
      <c r="CP11" s="14">
        <f t="shared" si="56"/>
        <v>148.46797</v>
      </c>
      <c r="CQ11" s="14">
        <f t="shared" si="57"/>
        <v>14995.264969999998</v>
      </c>
      <c r="CR11" s="29">
        <f t="shared" si="58"/>
        <v>175.0329483</v>
      </c>
      <c r="CS11" s="29">
        <f t="shared" si="59"/>
        <v>279.9674381</v>
      </c>
      <c r="CT11" s="29"/>
      <c r="CU11" s="14">
        <f t="shared" si="97"/>
        <v>21512.004</v>
      </c>
      <c r="CV11" s="14">
        <f t="shared" si="60"/>
        <v>215.12004000000002</v>
      </c>
      <c r="CW11" s="14">
        <f t="shared" si="61"/>
        <v>21727.124040000002</v>
      </c>
      <c r="CX11" s="29">
        <f t="shared" si="62"/>
        <v>253.6108956</v>
      </c>
      <c r="CY11" s="29">
        <f t="shared" si="63"/>
        <v>405.6538692</v>
      </c>
      <c r="CZ11" s="29"/>
      <c r="DA11" s="14">
        <f t="shared" si="98"/>
        <v>27218.887</v>
      </c>
      <c r="DB11" s="14">
        <f t="shared" si="64"/>
        <v>272.18887</v>
      </c>
      <c r="DC11" s="14">
        <f t="shared" si="65"/>
        <v>27491.07587</v>
      </c>
      <c r="DD11" s="29">
        <f t="shared" si="66"/>
        <v>320.8908993</v>
      </c>
      <c r="DE11" s="29">
        <f t="shared" si="67"/>
        <v>513.2690951</v>
      </c>
      <c r="DF11" s="29"/>
      <c r="DG11" s="14">
        <f t="shared" si="99"/>
        <v>2531.64</v>
      </c>
      <c r="DH11" s="14">
        <f t="shared" si="68"/>
        <v>25.316399999999998</v>
      </c>
      <c r="DI11" s="14">
        <f t="shared" si="69"/>
        <v>2556.9564</v>
      </c>
      <c r="DJ11" s="29">
        <f t="shared" si="70"/>
        <v>29.846196000000003</v>
      </c>
      <c r="DK11" s="29">
        <f t="shared" si="71"/>
        <v>47.739372</v>
      </c>
      <c r="DL11" s="29"/>
      <c r="DM11" s="14">
        <f t="shared" si="100"/>
        <v>47836.725</v>
      </c>
      <c r="DN11" s="29">
        <f t="shared" si="72"/>
        <v>478.36725000000007</v>
      </c>
      <c r="DO11" s="14">
        <f t="shared" si="73"/>
        <v>48315.09225</v>
      </c>
      <c r="DP11" s="29">
        <f t="shared" si="74"/>
        <v>563.9602275000001</v>
      </c>
      <c r="DQ11" s="29">
        <f t="shared" si="75"/>
        <v>902.0615925000001</v>
      </c>
      <c r="DR11" s="29"/>
      <c r="DS11" s="14">
        <f t="shared" si="101"/>
        <v>124108.73799999998</v>
      </c>
      <c r="DT11" s="14">
        <f t="shared" si="76"/>
        <v>1241.08738</v>
      </c>
      <c r="DU11" s="14">
        <f t="shared" si="77"/>
        <v>125349.82537999998</v>
      </c>
      <c r="DV11" s="29">
        <f t="shared" si="78"/>
        <v>1463.1518382000002</v>
      </c>
      <c r="DW11" s="29">
        <f t="shared" si="79"/>
        <v>2340.3300674</v>
      </c>
      <c r="DX11" s="29"/>
      <c r="DY11" s="14">
        <f t="shared" si="102"/>
        <v>9142.515</v>
      </c>
      <c r="DZ11" s="14">
        <f t="shared" si="80"/>
        <v>91.42515000000002</v>
      </c>
      <c r="EA11" s="14">
        <f t="shared" si="81"/>
        <v>9233.940149999999</v>
      </c>
      <c r="EB11" s="29">
        <f t="shared" si="82"/>
        <v>107.7836085</v>
      </c>
      <c r="EC11" s="29">
        <f t="shared" si="83"/>
        <v>172.4012595</v>
      </c>
      <c r="ED11" s="29"/>
    </row>
    <row r="12" spans="1:134" s="31" customFormat="1" ht="12.75">
      <c r="A12" s="30">
        <v>45200</v>
      </c>
      <c r="C12" s="15">
        <f>'2012A'!C12</f>
        <v>0</v>
      </c>
      <c r="D12" s="15">
        <f>'2012A'!D12</f>
        <v>0</v>
      </c>
      <c r="E12" s="15">
        <f t="shared" si="0"/>
        <v>0</v>
      </c>
      <c r="F12" s="15">
        <f>'2012A'!F12</f>
        <v>0</v>
      </c>
      <c r="G12" s="15">
        <f>'2012A'!G12</f>
        <v>0</v>
      </c>
      <c r="H12" s="29"/>
      <c r="I12" s="44">
        <f t="shared" si="1"/>
        <v>0</v>
      </c>
      <c r="J12" s="44">
        <f t="shared" si="1"/>
        <v>0</v>
      </c>
      <c r="K12" s="44">
        <f t="shared" si="2"/>
        <v>0</v>
      </c>
      <c r="L12" s="44">
        <f t="shared" si="3"/>
        <v>0</v>
      </c>
      <c r="M12" s="44">
        <f t="shared" si="3"/>
        <v>0</v>
      </c>
      <c r="N12" s="29"/>
      <c r="O12" s="14"/>
      <c r="P12" s="29">
        <f t="shared" si="4"/>
        <v>0</v>
      </c>
      <c r="Q12" s="29">
        <f t="shared" si="5"/>
        <v>0</v>
      </c>
      <c r="R12" s="29">
        <f t="shared" si="6"/>
        <v>0</v>
      </c>
      <c r="S12" s="29">
        <f t="shared" si="7"/>
        <v>0</v>
      </c>
      <c r="T12" s="29"/>
      <c r="U12" s="14"/>
      <c r="V12" s="14">
        <f t="shared" si="8"/>
        <v>0</v>
      </c>
      <c r="W12" s="14">
        <f t="shared" si="9"/>
        <v>0</v>
      </c>
      <c r="X12" s="29">
        <f t="shared" si="10"/>
        <v>0</v>
      </c>
      <c r="Y12" s="29">
        <f t="shared" si="11"/>
        <v>0</v>
      </c>
      <c r="Z12" s="29"/>
      <c r="AA12" s="29"/>
      <c r="AB12" s="14">
        <f t="shared" si="12"/>
        <v>0</v>
      </c>
      <c r="AC12" s="14">
        <f t="shared" si="13"/>
        <v>0</v>
      </c>
      <c r="AD12" s="29">
        <f t="shared" si="14"/>
        <v>0</v>
      </c>
      <c r="AE12" s="29">
        <f t="shared" si="15"/>
        <v>0</v>
      </c>
      <c r="AF12" s="29"/>
      <c r="AG12" s="14"/>
      <c r="AH12" s="14">
        <f t="shared" si="16"/>
        <v>0</v>
      </c>
      <c r="AI12" s="14">
        <f t="shared" si="17"/>
        <v>0</v>
      </c>
      <c r="AJ12" s="29">
        <f t="shared" si="18"/>
        <v>0</v>
      </c>
      <c r="AK12" s="29">
        <f t="shared" si="19"/>
        <v>0</v>
      </c>
      <c r="AL12" s="29"/>
      <c r="AM12" s="14"/>
      <c r="AN12" s="14">
        <f t="shared" si="20"/>
        <v>0</v>
      </c>
      <c r="AO12" s="14">
        <f t="shared" si="21"/>
        <v>0</v>
      </c>
      <c r="AP12" s="29">
        <f t="shared" si="22"/>
        <v>0</v>
      </c>
      <c r="AQ12" s="29">
        <f t="shared" si="23"/>
        <v>0</v>
      </c>
      <c r="AR12" s="14"/>
      <c r="AS12" s="14"/>
      <c r="AT12" s="14">
        <f t="shared" si="24"/>
        <v>0</v>
      </c>
      <c r="AU12" s="14">
        <f t="shared" si="25"/>
        <v>0</v>
      </c>
      <c r="AV12" s="29">
        <f t="shared" si="26"/>
        <v>0</v>
      </c>
      <c r="AW12" s="29">
        <f t="shared" si="27"/>
        <v>0</v>
      </c>
      <c r="AX12" s="29"/>
      <c r="AY12" s="14"/>
      <c r="AZ12" s="14">
        <f t="shared" si="28"/>
        <v>0</v>
      </c>
      <c r="BA12" s="14">
        <f t="shared" si="29"/>
        <v>0</v>
      </c>
      <c r="BB12" s="29">
        <f t="shared" si="30"/>
        <v>0</v>
      </c>
      <c r="BC12" s="29">
        <f t="shared" si="31"/>
        <v>0</v>
      </c>
      <c r="BD12" s="29"/>
      <c r="BE12" s="14"/>
      <c r="BF12" s="14">
        <f t="shared" si="32"/>
        <v>0</v>
      </c>
      <c r="BG12" s="14">
        <f t="shared" si="33"/>
        <v>0</v>
      </c>
      <c r="BH12" s="29">
        <f t="shared" si="34"/>
        <v>0</v>
      </c>
      <c r="BI12" s="29">
        <f t="shared" si="35"/>
        <v>0</v>
      </c>
      <c r="BJ12" s="29"/>
      <c r="BK12" s="14"/>
      <c r="BL12" s="14">
        <f t="shared" si="36"/>
        <v>0</v>
      </c>
      <c r="BM12" s="14">
        <f t="shared" si="37"/>
        <v>0</v>
      </c>
      <c r="BN12" s="29">
        <f t="shared" si="38"/>
        <v>0</v>
      </c>
      <c r="BO12" s="29">
        <f t="shared" si="39"/>
        <v>0</v>
      </c>
      <c r="BP12" s="29"/>
      <c r="BQ12" s="14"/>
      <c r="BR12" s="14">
        <f t="shared" si="40"/>
        <v>0</v>
      </c>
      <c r="BS12" s="14">
        <f t="shared" si="41"/>
        <v>0</v>
      </c>
      <c r="BT12" s="29">
        <f t="shared" si="42"/>
        <v>0</v>
      </c>
      <c r="BU12" s="29">
        <f t="shared" si="43"/>
        <v>0</v>
      </c>
      <c r="BV12" s="29"/>
      <c r="BW12" s="14"/>
      <c r="BX12" s="14">
        <f t="shared" si="44"/>
        <v>0</v>
      </c>
      <c r="BY12" s="14">
        <f t="shared" si="45"/>
        <v>0</v>
      </c>
      <c r="BZ12" s="29">
        <f t="shared" si="46"/>
        <v>0</v>
      </c>
      <c r="CA12" s="29">
        <f t="shared" si="47"/>
        <v>0</v>
      </c>
      <c r="CB12" s="14"/>
      <c r="CC12" s="14"/>
      <c r="CD12" s="14">
        <f t="shared" si="48"/>
        <v>0</v>
      </c>
      <c r="CE12" s="14">
        <f t="shared" si="49"/>
        <v>0</v>
      </c>
      <c r="CF12" s="29">
        <f t="shared" si="50"/>
        <v>0</v>
      </c>
      <c r="CG12" s="29">
        <f t="shared" si="51"/>
        <v>0</v>
      </c>
      <c r="CH12" s="29"/>
      <c r="CI12" s="14"/>
      <c r="CJ12" s="14">
        <f t="shared" si="52"/>
        <v>0</v>
      </c>
      <c r="CK12" s="14">
        <f t="shared" si="53"/>
        <v>0</v>
      </c>
      <c r="CL12" s="29">
        <f t="shared" si="54"/>
        <v>0</v>
      </c>
      <c r="CM12" s="29">
        <f t="shared" si="55"/>
        <v>0</v>
      </c>
      <c r="CN12" s="29"/>
      <c r="CO12" s="14"/>
      <c r="CP12" s="14">
        <f t="shared" si="56"/>
        <v>0</v>
      </c>
      <c r="CQ12" s="14">
        <f t="shared" si="57"/>
        <v>0</v>
      </c>
      <c r="CR12" s="29">
        <f t="shared" si="58"/>
        <v>0</v>
      </c>
      <c r="CS12" s="29">
        <f t="shared" si="59"/>
        <v>0</v>
      </c>
      <c r="CT12" s="29"/>
      <c r="CU12" s="14"/>
      <c r="CV12" s="14">
        <f t="shared" si="60"/>
        <v>0</v>
      </c>
      <c r="CW12" s="14">
        <f t="shared" si="61"/>
        <v>0</v>
      </c>
      <c r="CX12" s="29">
        <f t="shared" si="62"/>
        <v>0</v>
      </c>
      <c r="CY12" s="29">
        <f t="shared" si="63"/>
        <v>0</v>
      </c>
      <c r="CZ12" s="29"/>
      <c r="DA12" s="14"/>
      <c r="DB12" s="14">
        <f t="shared" si="64"/>
        <v>0</v>
      </c>
      <c r="DC12" s="14">
        <f t="shared" si="65"/>
        <v>0</v>
      </c>
      <c r="DD12" s="29">
        <f t="shared" si="66"/>
        <v>0</v>
      </c>
      <c r="DE12" s="29">
        <f t="shared" si="67"/>
        <v>0</v>
      </c>
      <c r="DF12" s="29"/>
      <c r="DG12" s="14"/>
      <c r="DH12" s="14">
        <f t="shared" si="68"/>
        <v>0</v>
      </c>
      <c r="DI12" s="14">
        <f t="shared" si="69"/>
        <v>0</v>
      </c>
      <c r="DJ12" s="29">
        <f t="shared" si="70"/>
        <v>0</v>
      </c>
      <c r="DK12" s="29">
        <f t="shared" si="71"/>
        <v>0</v>
      </c>
      <c r="DL12" s="29"/>
      <c r="DM12" s="14"/>
      <c r="DN12" s="29">
        <f t="shared" si="72"/>
        <v>0</v>
      </c>
      <c r="DO12" s="14">
        <f t="shared" si="73"/>
        <v>0</v>
      </c>
      <c r="DP12" s="29">
        <f t="shared" si="74"/>
        <v>0</v>
      </c>
      <c r="DQ12" s="29">
        <f t="shared" si="75"/>
        <v>0</v>
      </c>
      <c r="DR12" s="29"/>
      <c r="DS12" s="14"/>
      <c r="DT12" s="14">
        <f t="shared" si="76"/>
        <v>0</v>
      </c>
      <c r="DU12" s="14">
        <f t="shared" si="77"/>
        <v>0</v>
      </c>
      <c r="DV12" s="29">
        <f t="shared" si="78"/>
        <v>0</v>
      </c>
      <c r="DW12" s="29">
        <f t="shared" si="79"/>
        <v>0</v>
      </c>
      <c r="DX12" s="29"/>
      <c r="DY12" s="14"/>
      <c r="DZ12" s="14">
        <f t="shared" si="80"/>
        <v>0</v>
      </c>
      <c r="EA12" s="14">
        <f t="shared" si="81"/>
        <v>0</v>
      </c>
      <c r="EB12" s="29">
        <f t="shared" si="82"/>
        <v>0</v>
      </c>
      <c r="EC12" s="29">
        <f t="shared" si="83"/>
        <v>0</v>
      </c>
      <c r="ED12" s="29"/>
    </row>
    <row r="13" spans="1:134" s="31" customFormat="1" ht="12.75">
      <c r="A13" s="30">
        <v>45383</v>
      </c>
      <c r="C13" s="15">
        <f>'2012A'!C13</f>
        <v>0</v>
      </c>
      <c r="D13" s="15">
        <f>'2012A'!D13</f>
        <v>0</v>
      </c>
      <c r="E13" s="15">
        <f t="shared" si="0"/>
        <v>0</v>
      </c>
      <c r="F13" s="15">
        <f>'2012A'!F13</f>
        <v>0</v>
      </c>
      <c r="G13" s="15">
        <f>'2012A'!G13</f>
        <v>0</v>
      </c>
      <c r="H13" s="29"/>
      <c r="I13" s="44">
        <f t="shared" si="1"/>
        <v>0</v>
      </c>
      <c r="J13" s="44">
        <f t="shared" si="1"/>
        <v>0</v>
      </c>
      <c r="K13" s="44">
        <f t="shared" si="2"/>
        <v>0</v>
      </c>
      <c r="L13" s="44">
        <f t="shared" si="3"/>
        <v>0</v>
      </c>
      <c r="M13" s="44">
        <f t="shared" si="3"/>
        <v>0</v>
      </c>
      <c r="N13" s="29"/>
      <c r="O13" s="14">
        <f t="shared" si="84"/>
        <v>0</v>
      </c>
      <c r="P13" s="29">
        <f t="shared" si="4"/>
        <v>0</v>
      </c>
      <c r="Q13" s="29">
        <f t="shared" si="5"/>
        <v>0</v>
      </c>
      <c r="R13" s="29">
        <f t="shared" si="6"/>
        <v>0</v>
      </c>
      <c r="S13" s="29">
        <f t="shared" si="7"/>
        <v>0</v>
      </c>
      <c r="T13" s="29"/>
      <c r="U13" s="14">
        <f t="shared" si="85"/>
        <v>0</v>
      </c>
      <c r="V13" s="14">
        <f t="shared" si="8"/>
        <v>0</v>
      </c>
      <c r="W13" s="14">
        <f t="shared" si="9"/>
        <v>0</v>
      </c>
      <c r="X13" s="29">
        <f t="shared" si="10"/>
        <v>0</v>
      </c>
      <c r="Y13" s="29">
        <f t="shared" si="11"/>
        <v>0</v>
      </c>
      <c r="Z13" s="29"/>
      <c r="AA13" s="29">
        <f t="shared" si="86"/>
        <v>0</v>
      </c>
      <c r="AB13" s="14">
        <f t="shared" si="12"/>
        <v>0</v>
      </c>
      <c r="AC13" s="14">
        <f t="shared" si="13"/>
        <v>0</v>
      </c>
      <c r="AD13" s="29">
        <f t="shared" si="14"/>
        <v>0</v>
      </c>
      <c r="AE13" s="29">
        <f t="shared" si="15"/>
        <v>0</v>
      </c>
      <c r="AF13" s="29"/>
      <c r="AG13" s="14">
        <f t="shared" si="87"/>
        <v>0</v>
      </c>
      <c r="AH13" s="14">
        <f t="shared" si="16"/>
        <v>0</v>
      </c>
      <c r="AI13" s="14">
        <f t="shared" si="17"/>
        <v>0</v>
      </c>
      <c r="AJ13" s="29">
        <f t="shared" si="18"/>
        <v>0</v>
      </c>
      <c r="AK13" s="29">
        <f t="shared" si="19"/>
        <v>0</v>
      </c>
      <c r="AL13" s="29"/>
      <c r="AM13" s="14">
        <f t="shared" si="88"/>
        <v>0</v>
      </c>
      <c r="AN13" s="14">
        <f t="shared" si="20"/>
        <v>0</v>
      </c>
      <c r="AO13" s="14">
        <f t="shared" si="21"/>
        <v>0</v>
      </c>
      <c r="AP13" s="29">
        <f t="shared" si="22"/>
        <v>0</v>
      </c>
      <c r="AQ13" s="29">
        <f t="shared" si="23"/>
        <v>0</v>
      </c>
      <c r="AR13" s="14"/>
      <c r="AS13" s="14">
        <f t="shared" si="89"/>
        <v>0</v>
      </c>
      <c r="AT13" s="14">
        <f t="shared" si="24"/>
        <v>0</v>
      </c>
      <c r="AU13" s="14">
        <f t="shared" si="25"/>
        <v>0</v>
      </c>
      <c r="AV13" s="29">
        <f t="shared" si="26"/>
        <v>0</v>
      </c>
      <c r="AW13" s="29">
        <f t="shared" si="27"/>
        <v>0</v>
      </c>
      <c r="AX13" s="29"/>
      <c r="AY13" s="14">
        <f t="shared" si="90"/>
        <v>0</v>
      </c>
      <c r="AZ13" s="14">
        <f t="shared" si="28"/>
        <v>0</v>
      </c>
      <c r="BA13" s="14">
        <f t="shared" si="29"/>
        <v>0</v>
      </c>
      <c r="BB13" s="29">
        <f t="shared" si="30"/>
        <v>0</v>
      </c>
      <c r="BC13" s="29">
        <f t="shared" si="31"/>
        <v>0</v>
      </c>
      <c r="BD13" s="29"/>
      <c r="BE13" s="14">
        <f t="shared" si="91"/>
        <v>0</v>
      </c>
      <c r="BF13" s="14">
        <f t="shared" si="32"/>
        <v>0</v>
      </c>
      <c r="BG13" s="14">
        <f t="shared" si="33"/>
        <v>0</v>
      </c>
      <c r="BH13" s="29">
        <f t="shared" si="34"/>
        <v>0</v>
      </c>
      <c r="BI13" s="29">
        <f t="shared" si="35"/>
        <v>0</v>
      </c>
      <c r="BJ13" s="29"/>
      <c r="BK13" s="14">
        <f t="shared" si="92"/>
        <v>0</v>
      </c>
      <c r="BL13" s="14">
        <f t="shared" si="36"/>
        <v>0</v>
      </c>
      <c r="BM13" s="14">
        <f t="shared" si="37"/>
        <v>0</v>
      </c>
      <c r="BN13" s="29">
        <f t="shared" si="38"/>
        <v>0</v>
      </c>
      <c r="BO13" s="29">
        <f t="shared" si="39"/>
        <v>0</v>
      </c>
      <c r="BP13" s="29"/>
      <c r="BQ13" s="14">
        <f t="shared" si="93"/>
        <v>0</v>
      </c>
      <c r="BR13" s="14">
        <f t="shared" si="40"/>
        <v>0</v>
      </c>
      <c r="BS13" s="14">
        <f t="shared" si="41"/>
        <v>0</v>
      </c>
      <c r="BT13" s="29">
        <f t="shared" si="42"/>
        <v>0</v>
      </c>
      <c r="BU13" s="29">
        <f t="shared" si="43"/>
        <v>0</v>
      </c>
      <c r="BV13" s="29"/>
      <c r="BW13" s="14">
        <f t="shared" si="94"/>
        <v>0</v>
      </c>
      <c r="BX13" s="14">
        <f t="shared" si="44"/>
        <v>0</v>
      </c>
      <c r="BY13" s="14">
        <f t="shared" si="45"/>
        <v>0</v>
      </c>
      <c r="BZ13" s="29">
        <f t="shared" si="46"/>
        <v>0</v>
      </c>
      <c r="CA13" s="29">
        <f t="shared" si="47"/>
        <v>0</v>
      </c>
      <c r="CB13" s="14"/>
      <c r="CC13" s="14">
        <f>C13*0.08071/100</f>
        <v>0</v>
      </c>
      <c r="CD13" s="14">
        <f t="shared" si="48"/>
        <v>0</v>
      </c>
      <c r="CE13" s="14">
        <f t="shared" si="49"/>
        <v>0</v>
      </c>
      <c r="CF13" s="29">
        <f t="shared" si="50"/>
        <v>0</v>
      </c>
      <c r="CG13" s="29">
        <f t="shared" si="51"/>
        <v>0</v>
      </c>
      <c r="CH13" s="29"/>
      <c r="CI13" s="14">
        <f t="shared" si="95"/>
        <v>0</v>
      </c>
      <c r="CJ13" s="14">
        <f t="shared" si="52"/>
        <v>0</v>
      </c>
      <c r="CK13" s="14">
        <f t="shared" si="53"/>
        <v>0</v>
      </c>
      <c r="CL13" s="29">
        <f t="shared" si="54"/>
        <v>0</v>
      </c>
      <c r="CM13" s="29">
        <f t="shared" si="55"/>
        <v>0</v>
      </c>
      <c r="CN13" s="29"/>
      <c r="CO13" s="14">
        <f t="shared" si="96"/>
        <v>0</v>
      </c>
      <c r="CP13" s="14">
        <f t="shared" si="56"/>
        <v>0</v>
      </c>
      <c r="CQ13" s="14">
        <f t="shared" si="57"/>
        <v>0</v>
      </c>
      <c r="CR13" s="29">
        <f t="shared" si="58"/>
        <v>0</v>
      </c>
      <c r="CS13" s="29">
        <f t="shared" si="59"/>
        <v>0</v>
      </c>
      <c r="CT13" s="29"/>
      <c r="CU13" s="14">
        <f t="shared" si="97"/>
        <v>0</v>
      </c>
      <c r="CV13" s="14">
        <f t="shared" si="60"/>
        <v>0</v>
      </c>
      <c r="CW13" s="14">
        <f t="shared" si="61"/>
        <v>0</v>
      </c>
      <c r="CX13" s="29">
        <f t="shared" si="62"/>
        <v>0</v>
      </c>
      <c r="CY13" s="29">
        <f t="shared" si="63"/>
        <v>0</v>
      </c>
      <c r="CZ13" s="29"/>
      <c r="DA13" s="14">
        <f t="shared" si="98"/>
        <v>0</v>
      </c>
      <c r="DB13" s="14">
        <f t="shared" si="64"/>
        <v>0</v>
      </c>
      <c r="DC13" s="14">
        <f t="shared" si="65"/>
        <v>0</v>
      </c>
      <c r="DD13" s="29">
        <f t="shared" si="66"/>
        <v>0</v>
      </c>
      <c r="DE13" s="29">
        <f t="shared" si="67"/>
        <v>0</v>
      </c>
      <c r="DF13" s="29"/>
      <c r="DG13" s="14">
        <f t="shared" si="99"/>
        <v>0</v>
      </c>
      <c r="DH13" s="14">
        <f t="shared" si="68"/>
        <v>0</v>
      </c>
      <c r="DI13" s="14">
        <f t="shared" si="69"/>
        <v>0</v>
      </c>
      <c r="DJ13" s="29">
        <f t="shared" si="70"/>
        <v>0</v>
      </c>
      <c r="DK13" s="29">
        <f t="shared" si="71"/>
        <v>0</v>
      </c>
      <c r="DL13" s="29"/>
      <c r="DM13" s="14">
        <f t="shared" si="100"/>
        <v>0</v>
      </c>
      <c r="DN13" s="29">
        <f t="shared" si="72"/>
        <v>0</v>
      </c>
      <c r="DO13" s="14">
        <f t="shared" si="73"/>
        <v>0</v>
      </c>
      <c r="DP13" s="29">
        <f t="shared" si="74"/>
        <v>0</v>
      </c>
      <c r="DQ13" s="29">
        <f t="shared" si="75"/>
        <v>0</v>
      </c>
      <c r="DR13" s="29"/>
      <c r="DS13" s="14">
        <f t="shared" si="101"/>
        <v>0</v>
      </c>
      <c r="DT13" s="14">
        <f t="shared" si="76"/>
        <v>0</v>
      </c>
      <c r="DU13" s="14">
        <f t="shared" si="77"/>
        <v>0</v>
      </c>
      <c r="DV13" s="29">
        <f t="shared" si="78"/>
        <v>0</v>
      </c>
      <c r="DW13" s="29">
        <f t="shared" si="79"/>
        <v>0</v>
      </c>
      <c r="DX13" s="29"/>
      <c r="DY13" s="14">
        <f t="shared" si="102"/>
        <v>0</v>
      </c>
      <c r="DZ13" s="14">
        <f t="shared" si="80"/>
        <v>0</v>
      </c>
      <c r="EA13" s="14">
        <f t="shared" si="81"/>
        <v>0</v>
      </c>
      <c r="EB13" s="29">
        <f t="shared" si="82"/>
        <v>0</v>
      </c>
      <c r="EC13" s="29">
        <f t="shared" si="83"/>
        <v>0</v>
      </c>
      <c r="ED13" s="29"/>
    </row>
    <row r="14" spans="1:134" s="31" customFormat="1" ht="12.75">
      <c r="A14" s="2">
        <v>45566</v>
      </c>
      <c r="B14"/>
      <c r="C14" s="15">
        <f>'2012A'!C14</f>
        <v>0</v>
      </c>
      <c r="D14" s="15">
        <f>'2012A'!D14</f>
        <v>0</v>
      </c>
      <c r="E14" s="15">
        <f t="shared" si="0"/>
        <v>0</v>
      </c>
      <c r="F14" s="15">
        <f>'2012A'!F14</f>
        <v>0</v>
      </c>
      <c r="G14" s="15">
        <f>'2012A'!G14</f>
        <v>0</v>
      </c>
      <c r="H14" s="29"/>
      <c r="I14" s="44">
        <f t="shared" si="1"/>
        <v>0</v>
      </c>
      <c r="J14" s="44">
        <f t="shared" si="1"/>
        <v>0</v>
      </c>
      <c r="K14" s="44">
        <f t="shared" si="2"/>
        <v>0</v>
      </c>
      <c r="L14" s="44">
        <f t="shared" si="3"/>
        <v>0</v>
      </c>
      <c r="M14" s="44">
        <f t="shared" si="3"/>
        <v>0</v>
      </c>
      <c r="N14" s="29"/>
      <c r="O14" s="14"/>
      <c r="P14" s="29">
        <f t="shared" si="4"/>
        <v>0</v>
      </c>
      <c r="Q14" s="29">
        <f t="shared" si="5"/>
        <v>0</v>
      </c>
      <c r="R14" s="29">
        <f t="shared" si="6"/>
        <v>0</v>
      </c>
      <c r="S14" s="29">
        <f t="shared" si="7"/>
        <v>0</v>
      </c>
      <c r="T14" s="29"/>
      <c r="U14" s="14"/>
      <c r="V14" s="14">
        <f t="shared" si="8"/>
        <v>0</v>
      </c>
      <c r="W14" s="14">
        <f t="shared" si="9"/>
        <v>0</v>
      </c>
      <c r="X14" s="29">
        <f t="shared" si="10"/>
        <v>0</v>
      </c>
      <c r="Y14" s="29">
        <f t="shared" si="11"/>
        <v>0</v>
      </c>
      <c r="Z14" s="29"/>
      <c r="AA14" s="29"/>
      <c r="AB14" s="14">
        <f t="shared" si="12"/>
        <v>0</v>
      </c>
      <c r="AC14" s="14">
        <f t="shared" si="13"/>
        <v>0</v>
      </c>
      <c r="AD14" s="29">
        <f t="shared" si="14"/>
        <v>0</v>
      </c>
      <c r="AE14" s="29">
        <f t="shared" si="15"/>
        <v>0</v>
      </c>
      <c r="AF14" s="29"/>
      <c r="AG14" s="14"/>
      <c r="AH14" s="14">
        <f t="shared" si="16"/>
        <v>0</v>
      </c>
      <c r="AI14" s="14">
        <f t="shared" si="17"/>
        <v>0</v>
      </c>
      <c r="AJ14" s="29">
        <f t="shared" si="18"/>
        <v>0</v>
      </c>
      <c r="AK14" s="29">
        <f t="shared" si="19"/>
        <v>0</v>
      </c>
      <c r="AL14" s="29"/>
      <c r="AM14" s="14"/>
      <c r="AN14" s="14">
        <f t="shared" si="20"/>
        <v>0</v>
      </c>
      <c r="AO14" s="14">
        <f t="shared" si="21"/>
        <v>0</v>
      </c>
      <c r="AP14" s="29">
        <f t="shared" si="22"/>
        <v>0</v>
      </c>
      <c r="AQ14" s="29">
        <f t="shared" si="23"/>
        <v>0</v>
      </c>
      <c r="AR14" s="14"/>
      <c r="AS14" s="14"/>
      <c r="AT14" s="14">
        <f t="shared" si="24"/>
        <v>0</v>
      </c>
      <c r="AU14" s="14">
        <f t="shared" si="25"/>
        <v>0</v>
      </c>
      <c r="AV14" s="29">
        <f t="shared" si="26"/>
        <v>0</v>
      </c>
      <c r="AW14" s="29">
        <f t="shared" si="27"/>
        <v>0</v>
      </c>
      <c r="AX14" s="29"/>
      <c r="AY14" s="14"/>
      <c r="AZ14" s="14">
        <f t="shared" si="28"/>
        <v>0</v>
      </c>
      <c r="BA14" s="14">
        <f t="shared" si="29"/>
        <v>0</v>
      </c>
      <c r="BB14" s="29">
        <f t="shared" si="30"/>
        <v>0</v>
      </c>
      <c r="BC14" s="29">
        <f t="shared" si="31"/>
        <v>0</v>
      </c>
      <c r="BD14" s="29"/>
      <c r="BE14" s="14"/>
      <c r="BF14" s="14">
        <f t="shared" si="32"/>
        <v>0</v>
      </c>
      <c r="BG14" s="14">
        <f t="shared" si="33"/>
        <v>0</v>
      </c>
      <c r="BH14" s="29">
        <f t="shared" si="34"/>
        <v>0</v>
      </c>
      <c r="BI14" s="29">
        <f t="shared" si="35"/>
        <v>0</v>
      </c>
      <c r="BJ14" s="29"/>
      <c r="BK14" s="14"/>
      <c r="BL14" s="14">
        <f t="shared" si="36"/>
        <v>0</v>
      </c>
      <c r="BM14" s="14">
        <f t="shared" si="37"/>
        <v>0</v>
      </c>
      <c r="BN14" s="29">
        <f t="shared" si="38"/>
        <v>0</v>
      </c>
      <c r="BO14" s="29">
        <f t="shared" si="39"/>
        <v>0</v>
      </c>
      <c r="BP14" s="29"/>
      <c r="BQ14" s="14"/>
      <c r="BR14" s="14">
        <f t="shared" si="40"/>
        <v>0</v>
      </c>
      <c r="BS14" s="14">
        <f t="shared" si="41"/>
        <v>0</v>
      </c>
      <c r="BT14" s="29">
        <f t="shared" si="42"/>
        <v>0</v>
      </c>
      <c r="BU14" s="29">
        <f t="shared" si="43"/>
        <v>0</v>
      </c>
      <c r="BV14" s="29"/>
      <c r="BW14" s="14"/>
      <c r="BX14" s="14">
        <f t="shared" si="44"/>
        <v>0</v>
      </c>
      <c r="BY14" s="14">
        <f t="shared" si="45"/>
        <v>0</v>
      </c>
      <c r="BZ14" s="29">
        <f t="shared" si="46"/>
        <v>0</v>
      </c>
      <c r="CA14" s="29">
        <f t="shared" si="47"/>
        <v>0</v>
      </c>
      <c r="CB14" s="14"/>
      <c r="CC14" s="14"/>
      <c r="CD14" s="14">
        <f t="shared" si="48"/>
        <v>0</v>
      </c>
      <c r="CE14" s="14">
        <f t="shared" si="49"/>
        <v>0</v>
      </c>
      <c r="CF14" s="29">
        <f t="shared" si="50"/>
        <v>0</v>
      </c>
      <c r="CG14" s="29">
        <f t="shared" si="51"/>
        <v>0</v>
      </c>
      <c r="CH14" s="29"/>
      <c r="CI14" s="14"/>
      <c r="CJ14" s="14">
        <f t="shared" si="52"/>
        <v>0</v>
      </c>
      <c r="CK14" s="14">
        <f t="shared" si="53"/>
        <v>0</v>
      </c>
      <c r="CL14" s="29">
        <f t="shared" si="54"/>
        <v>0</v>
      </c>
      <c r="CM14" s="29">
        <f t="shared" si="55"/>
        <v>0</v>
      </c>
      <c r="CN14" s="29"/>
      <c r="CO14" s="14"/>
      <c r="CP14" s="14">
        <f t="shared" si="56"/>
        <v>0</v>
      </c>
      <c r="CQ14" s="14">
        <f t="shared" si="57"/>
        <v>0</v>
      </c>
      <c r="CR14" s="29">
        <f t="shared" si="58"/>
        <v>0</v>
      </c>
      <c r="CS14" s="29">
        <f t="shared" si="59"/>
        <v>0</v>
      </c>
      <c r="CT14" s="29"/>
      <c r="CU14" s="14"/>
      <c r="CV14" s="14">
        <f t="shared" si="60"/>
        <v>0</v>
      </c>
      <c r="CW14" s="14">
        <f t="shared" si="61"/>
        <v>0</v>
      </c>
      <c r="CX14" s="29">
        <f t="shared" si="62"/>
        <v>0</v>
      </c>
      <c r="CY14" s="29">
        <f t="shared" si="63"/>
        <v>0</v>
      </c>
      <c r="CZ14" s="29"/>
      <c r="DA14" s="14"/>
      <c r="DB14" s="14">
        <f t="shared" si="64"/>
        <v>0</v>
      </c>
      <c r="DC14" s="14">
        <f t="shared" si="65"/>
        <v>0</v>
      </c>
      <c r="DD14" s="29">
        <f t="shared" si="66"/>
        <v>0</v>
      </c>
      <c r="DE14" s="29">
        <f t="shared" si="67"/>
        <v>0</v>
      </c>
      <c r="DF14" s="29"/>
      <c r="DG14" s="14"/>
      <c r="DH14" s="14">
        <f t="shared" si="68"/>
        <v>0</v>
      </c>
      <c r="DI14" s="14">
        <f t="shared" si="69"/>
        <v>0</v>
      </c>
      <c r="DJ14" s="29">
        <f t="shared" si="70"/>
        <v>0</v>
      </c>
      <c r="DK14" s="29">
        <f t="shared" si="71"/>
        <v>0</v>
      </c>
      <c r="DL14" s="29"/>
      <c r="DM14" s="14"/>
      <c r="DN14" s="29">
        <f t="shared" si="72"/>
        <v>0</v>
      </c>
      <c r="DO14" s="14">
        <f t="shared" si="73"/>
        <v>0</v>
      </c>
      <c r="DP14" s="29">
        <f t="shared" si="74"/>
        <v>0</v>
      </c>
      <c r="DQ14" s="29">
        <f t="shared" si="75"/>
        <v>0</v>
      </c>
      <c r="DR14" s="29"/>
      <c r="DS14" s="14"/>
      <c r="DT14" s="14">
        <f t="shared" si="76"/>
        <v>0</v>
      </c>
      <c r="DU14" s="14">
        <f t="shared" si="77"/>
        <v>0</v>
      </c>
      <c r="DV14" s="29">
        <f t="shared" si="78"/>
        <v>0</v>
      </c>
      <c r="DW14" s="29">
        <f t="shared" si="79"/>
        <v>0</v>
      </c>
      <c r="DX14" s="29"/>
      <c r="DY14" s="14"/>
      <c r="DZ14" s="14">
        <f t="shared" si="80"/>
        <v>0</v>
      </c>
      <c r="EA14" s="14">
        <f t="shared" si="81"/>
        <v>0</v>
      </c>
      <c r="EB14" s="29">
        <f t="shared" si="82"/>
        <v>0</v>
      </c>
      <c r="EC14" s="29">
        <f t="shared" si="83"/>
        <v>0</v>
      </c>
      <c r="ED14" s="29"/>
    </row>
    <row r="15" spans="1:134" s="31" customFormat="1" ht="12.75">
      <c r="A15" s="2">
        <v>45748</v>
      </c>
      <c r="B15"/>
      <c r="C15" s="15">
        <f>'2012A'!C15</f>
        <v>0</v>
      </c>
      <c r="D15" s="15">
        <f>'2012A'!D15</f>
        <v>0</v>
      </c>
      <c r="E15" s="15">
        <f t="shared" si="0"/>
        <v>0</v>
      </c>
      <c r="F15" s="15">
        <f>'2012A'!F15</f>
        <v>0</v>
      </c>
      <c r="G15" s="15">
        <f>'2012A'!G15</f>
        <v>0</v>
      </c>
      <c r="H15" s="29"/>
      <c r="I15" s="44">
        <f t="shared" si="1"/>
        <v>0</v>
      </c>
      <c r="J15" s="44">
        <f t="shared" si="1"/>
        <v>0</v>
      </c>
      <c r="K15" s="44">
        <f t="shared" si="2"/>
        <v>0</v>
      </c>
      <c r="L15" s="44">
        <f t="shared" si="3"/>
        <v>0</v>
      </c>
      <c r="M15" s="44">
        <f t="shared" si="3"/>
        <v>0</v>
      </c>
      <c r="N15" s="29"/>
      <c r="O15" s="14">
        <f t="shared" si="84"/>
        <v>0</v>
      </c>
      <c r="P15" s="29">
        <f t="shared" si="4"/>
        <v>0</v>
      </c>
      <c r="Q15" s="29">
        <f t="shared" si="5"/>
        <v>0</v>
      </c>
      <c r="R15" s="29">
        <f t="shared" si="6"/>
        <v>0</v>
      </c>
      <c r="S15" s="29">
        <f t="shared" si="7"/>
        <v>0</v>
      </c>
      <c r="T15" s="29"/>
      <c r="U15" s="14">
        <f t="shared" si="85"/>
        <v>0</v>
      </c>
      <c r="V15" s="14">
        <f t="shared" si="8"/>
        <v>0</v>
      </c>
      <c r="W15" s="14">
        <f t="shared" si="9"/>
        <v>0</v>
      </c>
      <c r="X15" s="29">
        <f t="shared" si="10"/>
        <v>0</v>
      </c>
      <c r="Y15" s="29">
        <f t="shared" si="11"/>
        <v>0</v>
      </c>
      <c r="Z15" s="29"/>
      <c r="AA15" s="29">
        <f t="shared" si="86"/>
        <v>0</v>
      </c>
      <c r="AB15" s="14">
        <f t="shared" si="12"/>
        <v>0</v>
      </c>
      <c r="AC15" s="14">
        <f t="shared" si="13"/>
        <v>0</v>
      </c>
      <c r="AD15" s="29">
        <f t="shared" si="14"/>
        <v>0</v>
      </c>
      <c r="AE15" s="29">
        <f t="shared" si="15"/>
        <v>0</v>
      </c>
      <c r="AF15" s="29"/>
      <c r="AG15" s="14">
        <f t="shared" si="87"/>
        <v>0</v>
      </c>
      <c r="AH15" s="14">
        <f t="shared" si="16"/>
        <v>0</v>
      </c>
      <c r="AI15" s="14">
        <f t="shared" si="17"/>
        <v>0</v>
      </c>
      <c r="AJ15" s="29">
        <f t="shared" si="18"/>
        <v>0</v>
      </c>
      <c r="AK15" s="29">
        <f t="shared" si="19"/>
        <v>0</v>
      </c>
      <c r="AL15" s="29"/>
      <c r="AM15" s="14">
        <f t="shared" si="88"/>
        <v>0</v>
      </c>
      <c r="AN15" s="14">
        <f t="shared" si="20"/>
        <v>0</v>
      </c>
      <c r="AO15" s="14">
        <f t="shared" si="21"/>
        <v>0</v>
      </c>
      <c r="AP15" s="29">
        <f t="shared" si="22"/>
        <v>0</v>
      </c>
      <c r="AQ15" s="29">
        <f t="shared" si="23"/>
        <v>0</v>
      </c>
      <c r="AR15" s="14"/>
      <c r="AS15" s="14">
        <f t="shared" si="89"/>
        <v>0</v>
      </c>
      <c r="AT15" s="14">
        <f t="shared" si="24"/>
        <v>0</v>
      </c>
      <c r="AU15" s="14">
        <f t="shared" si="25"/>
        <v>0</v>
      </c>
      <c r="AV15" s="29">
        <f t="shared" si="26"/>
        <v>0</v>
      </c>
      <c r="AW15" s="29">
        <f t="shared" si="27"/>
        <v>0</v>
      </c>
      <c r="AX15" s="29"/>
      <c r="AY15" s="14">
        <f t="shared" si="90"/>
        <v>0</v>
      </c>
      <c r="AZ15" s="14">
        <f t="shared" si="28"/>
        <v>0</v>
      </c>
      <c r="BA15" s="14">
        <f t="shared" si="29"/>
        <v>0</v>
      </c>
      <c r="BB15" s="29">
        <f t="shared" si="30"/>
        <v>0</v>
      </c>
      <c r="BC15" s="29">
        <f t="shared" si="31"/>
        <v>0</v>
      </c>
      <c r="BD15" s="29"/>
      <c r="BE15" s="14">
        <f t="shared" si="91"/>
        <v>0</v>
      </c>
      <c r="BF15" s="14">
        <f t="shared" si="32"/>
        <v>0</v>
      </c>
      <c r="BG15" s="14">
        <f t="shared" si="33"/>
        <v>0</v>
      </c>
      <c r="BH15" s="29">
        <f t="shared" si="34"/>
        <v>0</v>
      </c>
      <c r="BI15" s="29">
        <f t="shared" si="35"/>
        <v>0</v>
      </c>
      <c r="BJ15" s="29"/>
      <c r="BK15" s="14">
        <f t="shared" si="92"/>
        <v>0</v>
      </c>
      <c r="BL15" s="14">
        <f t="shared" si="36"/>
        <v>0</v>
      </c>
      <c r="BM15" s="14">
        <f t="shared" si="37"/>
        <v>0</v>
      </c>
      <c r="BN15" s="29">
        <f t="shared" si="38"/>
        <v>0</v>
      </c>
      <c r="BO15" s="29">
        <f t="shared" si="39"/>
        <v>0</v>
      </c>
      <c r="BP15" s="29"/>
      <c r="BQ15" s="14">
        <f t="shared" si="93"/>
        <v>0</v>
      </c>
      <c r="BR15" s="14">
        <f t="shared" si="40"/>
        <v>0</v>
      </c>
      <c r="BS15" s="14">
        <f t="shared" si="41"/>
        <v>0</v>
      </c>
      <c r="BT15" s="29">
        <f t="shared" si="42"/>
        <v>0</v>
      </c>
      <c r="BU15" s="29">
        <f t="shared" si="43"/>
        <v>0</v>
      </c>
      <c r="BV15" s="29"/>
      <c r="BW15" s="14">
        <f t="shared" si="94"/>
        <v>0</v>
      </c>
      <c r="BX15" s="14">
        <f t="shared" si="44"/>
        <v>0</v>
      </c>
      <c r="BY15" s="14">
        <f t="shared" si="45"/>
        <v>0</v>
      </c>
      <c r="BZ15" s="29">
        <f t="shared" si="46"/>
        <v>0</v>
      </c>
      <c r="CA15" s="29">
        <f t="shared" si="47"/>
        <v>0</v>
      </c>
      <c r="CB15" s="14"/>
      <c r="CC15" s="14">
        <f>C15*0.08071/100</f>
        <v>0</v>
      </c>
      <c r="CD15" s="14">
        <f t="shared" si="48"/>
        <v>0</v>
      </c>
      <c r="CE15" s="14">
        <f t="shared" si="49"/>
        <v>0</v>
      </c>
      <c r="CF15" s="29">
        <f t="shared" si="50"/>
        <v>0</v>
      </c>
      <c r="CG15" s="29">
        <f t="shared" si="51"/>
        <v>0</v>
      </c>
      <c r="CH15" s="29"/>
      <c r="CI15" s="14">
        <f t="shared" si="95"/>
        <v>0</v>
      </c>
      <c r="CJ15" s="14">
        <f t="shared" si="52"/>
        <v>0</v>
      </c>
      <c r="CK15" s="14">
        <f t="shared" si="53"/>
        <v>0</v>
      </c>
      <c r="CL15" s="29">
        <f t="shared" si="54"/>
        <v>0</v>
      </c>
      <c r="CM15" s="29">
        <f t="shared" si="55"/>
        <v>0</v>
      </c>
      <c r="CN15" s="29"/>
      <c r="CO15" s="14">
        <f t="shared" si="96"/>
        <v>0</v>
      </c>
      <c r="CP15" s="14">
        <f t="shared" si="56"/>
        <v>0</v>
      </c>
      <c r="CQ15" s="14">
        <f t="shared" si="57"/>
        <v>0</v>
      </c>
      <c r="CR15" s="29">
        <f t="shared" si="58"/>
        <v>0</v>
      </c>
      <c r="CS15" s="29">
        <f t="shared" si="59"/>
        <v>0</v>
      </c>
      <c r="CT15" s="29"/>
      <c r="CU15" s="14">
        <f t="shared" si="97"/>
        <v>0</v>
      </c>
      <c r="CV15" s="14">
        <f t="shared" si="60"/>
        <v>0</v>
      </c>
      <c r="CW15" s="14">
        <f t="shared" si="61"/>
        <v>0</v>
      </c>
      <c r="CX15" s="29">
        <f t="shared" si="62"/>
        <v>0</v>
      </c>
      <c r="CY15" s="29">
        <f t="shared" si="63"/>
        <v>0</v>
      </c>
      <c r="CZ15" s="29"/>
      <c r="DA15" s="14">
        <f t="shared" si="98"/>
        <v>0</v>
      </c>
      <c r="DB15" s="14">
        <f t="shared" si="64"/>
        <v>0</v>
      </c>
      <c r="DC15" s="14">
        <f t="shared" si="65"/>
        <v>0</v>
      </c>
      <c r="DD15" s="29">
        <f t="shared" si="66"/>
        <v>0</v>
      </c>
      <c r="DE15" s="29">
        <f t="shared" si="67"/>
        <v>0</v>
      </c>
      <c r="DF15" s="29"/>
      <c r="DG15" s="14">
        <f t="shared" si="99"/>
        <v>0</v>
      </c>
      <c r="DH15" s="14">
        <f t="shared" si="68"/>
        <v>0</v>
      </c>
      <c r="DI15" s="14">
        <f t="shared" si="69"/>
        <v>0</v>
      </c>
      <c r="DJ15" s="29">
        <f t="shared" si="70"/>
        <v>0</v>
      </c>
      <c r="DK15" s="29">
        <f t="shared" si="71"/>
        <v>0</v>
      </c>
      <c r="DL15" s="29"/>
      <c r="DM15" s="14">
        <f t="shared" si="100"/>
        <v>0</v>
      </c>
      <c r="DN15" s="29">
        <f t="shared" si="72"/>
        <v>0</v>
      </c>
      <c r="DO15" s="14">
        <f t="shared" si="73"/>
        <v>0</v>
      </c>
      <c r="DP15" s="29">
        <f t="shared" si="74"/>
        <v>0</v>
      </c>
      <c r="DQ15" s="29">
        <f t="shared" si="75"/>
        <v>0</v>
      </c>
      <c r="DR15" s="29"/>
      <c r="DS15" s="14">
        <f t="shared" si="101"/>
        <v>0</v>
      </c>
      <c r="DT15" s="14">
        <f t="shared" si="76"/>
        <v>0</v>
      </c>
      <c r="DU15" s="14">
        <f t="shared" si="77"/>
        <v>0</v>
      </c>
      <c r="DV15" s="29">
        <f t="shared" si="78"/>
        <v>0</v>
      </c>
      <c r="DW15" s="29">
        <f t="shared" si="79"/>
        <v>0</v>
      </c>
      <c r="DX15" s="29"/>
      <c r="DY15" s="14">
        <f t="shared" si="102"/>
        <v>0</v>
      </c>
      <c r="DZ15" s="14">
        <f t="shared" si="80"/>
        <v>0</v>
      </c>
      <c r="EA15" s="14">
        <f t="shared" si="81"/>
        <v>0</v>
      </c>
      <c r="EB15" s="29">
        <f t="shared" si="82"/>
        <v>0</v>
      </c>
      <c r="EC15" s="29">
        <f t="shared" si="83"/>
        <v>0</v>
      </c>
      <c r="ED15" s="29"/>
    </row>
    <row r="16" spans="3:27" ht="12.75">
      <c r="C16" s="21"/>
      <c r="D16" s="21"/>
      <c r="E16" s="21"/>
      <c r="F16" s="21"/>
      <c r="G16" s="21"/>
      <c r="I16" s="43"/>
      <c r="J16" s="44"/>
      <c r="K16" s="43"/>
      <c r="L16" s="43"/>
      <c r="M16" s="43"/>
      <c r="AA16" s="29"/>
    </row>
    <row r="17" spans="1:133" ht="13.5" thickBot="1">
      <c r="A17" s="12" t="s">
        <v>0</v>
      </c>
      <c r="C17" s="28">
        <f>SUM(C8:C16)</f>
        <v>5720000</v>
      </c>
      <c r="D17" s="28">
        <f>SUM(D8:D16)</f>
        <v>172200</v>
      </c>
      <c r="E17" s="28">
        <f>SUM(E8:E16)</f>
        <v>5892200</v>
      </c>
      <c r="F17" s="28">
        <f>SUM(F8:F16)</f>
        <v>136284</v>
      </c>
      <c r="G17" s="28">
        <f>SUM(G8:G16)</f>
        <v>217988</v>
      </c>
      <c r="I17" s="46">
        <f>SUM(I8:I16)</f>
        <v>3206589.6720000003</v>
      </c>
      <c r="J17" s="46">
        <f>SUM(J8:J16)</f>
        <v>96534.04572</v>
      </c>
      <c r="K17" s="46">
        <f>SUM(K8:K16)</f>
        <v>3303123.717720001</v>
      </c>
      <c r="L17" s="46">
        <f>SUM(L8:L16)</f>
        <v>76399.8018984</v>
      </c>
      <c r="M17" s="46">
        <f>SUM(M8:M16)</f>
        <v>122202.45968880002</v>
      </c>
      <c r="O17" s="28">
        <f>SUM(O8:O16)</f>
        <v>516080.136</v>
      </c>
      <c r="P17" s="28">
        <f>SUM(P8:P16)</f>
        <v>15536.53836</v>
      </c>
      <c r="Q17" s="28">
        <f>SUM(Q8:Q16)</f>
        <v>531616.6743600001</v>
      </c>
      <c r="R17" s="28">
        <f>SUM(R8:R16)</f>
        <v>12296.0603592</v>
      </c>
      <c r="S17" s="28">
        <f>SUM(S8:S16)</f>
        <v>19667.705714400003</v>
      </c>
      <c r="U17" s="28">
        <f>SUM(U8:U16)</f>
        <v>4849.415999999999</v>
      </c>
      <c r="V17" s="28">
        <f>SUM(V8:V16)</f>
        <v>145.99115999999998</v>
      </c>
      <c r="W17" s="28">
        <f>SUM(W8:W16)</f>
        <v>4995.407160000001</v>
      </c>
      <c r="X17" s="28">
        <f>SUM(X8:X16)</f>
        <v>115.5415752</v>
      </c>
      <c r="Y17" s="28">
        <f>SUM(Y8:Y16)</f>
        <v>184.8102264</v>
      </c>
      <c r="AA17" s="28">
        <f>SUM(AA8:AA16)</f>
        <v>155306.008</v>
      </c>
      <c r="AB17" s="28">
        <f>SUM(AB8:AB16)</f>
        <v>4675.47108</v>
      </c>
      <c r="AC17" s="28">
        <f>SUM(AC8:AC16)</f>
        <v>159981.47908</v>
      </c>
      <c r="AD17" s="28">
        <f>SUM(AD8:AD16)</f>
        <v>3700.3013975999997</v>
      </c>
      <c r="AE17" s="28">
        <f>SUM(AE8:AE16)</f>
        <v>5918.679383199999</v>
      </c>
      <c r="AG17" s="28">
        <f>SUM(AG8:AG16)</f>
        <v>1300667.94</v>
      </c>
      <c r="AH17" s="28">
        <f>SUM(AH8:AH16)</f>
        <v>39156.4719</v>
      </c>
      <c r="AI17" s="28">
        <f>SUM(AI8:AI16)</f>
        <v>1339824.4119000002</v>
      </c>
      <c r="AJ17" s="28">
        <f>SUM(AJ8:AJ16)</f>
        <v>30989.550617999997</v>
      </c>
      <c r="AK17" s="28">
        <f>SUM(AK8:AK16)</f>
        <v>49568.182326</v>
      </c>
      <c r="AM17" s="28">
        <f>SUM(AM8:AM16)</f>
        <v>336651.172</v>
      </c>
      <c r="AN17" s="28">
        <f>SUM(AN8:AN16)</f>
        <v>10134.84822</v>
      </c>
      <c r="AO17" s="28">
        <f>SUM(AO8:AO16)</f>
        <v>346786.02022000006</v>
      </c>
      <c r="AP17" s="28">
        <f>SUM(AP8:AP16)</f>
        <v>8021.0084484</v>
      </c>
      <c r="AQ17" s="28">
        <f>SUM(AQ8:AQ16)</f>
        <v>12829.7055388</v>
      </c>
      <c r="AR17" s="28"/>
      <c r="AS17" s="28">
        <f>SUM(AS8:AS16)</f>
        <v>227939.712</v>
      </c>
      <c r="AT17" s="28">
        <f>SUM(AT8:AT16)</f>
        <v>6862.10112</v>
      </c>
      <c r="AU17" s="28">
        <f>SUM(AU8:AU16)</f>
        <v>234801.81311999998</v>
      </c>
      <c r="AV17" s="28">
        <f>SUM(AV8:AV16)</f>
        <v>5430.8628864</v>
      </c>
      <c r="AW17" s="28">
        <f>SUM(AW8:AW16)</f>
        <v>8686.7346048</v>
      </c>
      <c r="AY17" s="28">
        <f>SUM(AY8:AY16)</f>
        <v>35060.168000000005</v>
      </c>
      <c r="AZ17" s="28">
        <f>SUM(AZ8:AZ16)</f>
        <v>1055.48268</v>
      </c>
      <c r="BA17" s="28">
        <f>SUM(BA8:BA16)</f>
        <v>36115.650680000006</v>
      </c>
      <c r="BB17" s="28">
        <f>SUM(BB8:BB16)</f>
        <v>835.3391496</v>
      </c>
      <c r="BC17" s="28">
        <f>SUM(BC8:BC16)</f>
        <v>1336.1356472</v>
      </c>
      <c r="BE17" s="28">
        <f>SUM(BE8:BE16)</f>
        <v>80263.04000000001</v>
      </c>
      <c r="BF17" s="28">
        <f>SUM(BF8:BF16)</f>
        <v>2416.3104</v>
      </c>
      <c r="BG17" s="28">
        <f>SUM(BG8:BG16)</f>
        <v>82679.3504</v>
      </c>
      <c r="BH17" s="28">
        <f>SUM(BH8:BH16)</f>
        <v>1912.337088</v>
      </c>
      <c r="BI17" s="28">
        <f>SUM(BI8:BI16)</f>
        <v>3058.807616</v>
      </c>
      <c r="BK17" s="28">
        <f>SUM(BK8:BK16)</f>
        <v>13457.444</v>
      </c>
      <c r="BL17" s="28">
        <f>SUM(BL8:BL16)</f>
        <v>405.1349399999999</v>
      </c>
      <c r="BM17" s="28">
        <f>SUM(BM8:BM16)</f>
        <v>13862.57894</v>
      </c>
      <c r="BN17" s="28">
        <f>SUM(BN8:BN16)</f>
        <v>320.63536680000004</v>
      </c>
      <c r="BO17" s="28">
        <f>SUM(BO8:BO16)</f>
        <v>512.8603676</v>
      </c>
      <c r="BQ17" s="28">
        <f>SUM(BQ8:BQ16)</f>
        <v>14556.827999999998</v>
      </c>
      <c r="BR17" s="28">
        <f>SUM(BR8:BR16)</f>
        <v>438.23177999999996</v>
      </c>
      <c r="BS17" s="28">
        <f>SUM(BS8:BS16)</f>
        <v>14995.05978</v>
      </c>
      <c r="BT17" s="28">
        <f>SUM(BT8:BT16)</f>
        <v>346.8291516</v>
      </c>
      <c r="BU17" s="28">
        <f>SUM(BU8:BU16)</f>
        <v>554.7576612</v>
      </c>
      <c r="BW17" s="28">
        <f>SUM(BW8:BW16)</f>
        <v>27798.627999999997</v>
      </c>
      <c r="BX17" s="28">
        <f>SUM(BX8:BX16)</f>
        <v>836.8747799999999</v>
      </c>
      <c r="BY17" s="28">
        <f>SUM(BY8:BY16)</f>
        <v>28635.502779999995</v>
      </c>
      <c r="BZ17" s="28">
        <f>SUM(BZ8:BZ16)</f>
        <v>662.3266116000001</v>
      </c>
      <c r="CA17" s="28">
        <f>SUM(CA8:CA16)</f>
        <v>1059.3998812</v>
      </c>
      <c r="CB17" s="21"/>
      <c r="CC17" s="28">
        <f>SUM(CC8:CC16)</f>
        <v>4616.612000000001</v>
      </c>
      <c r="CD17" s="28">
        <f>SUM(CD8:CD16)</f>
        <v>138.98262</v>
      </c>
      <c r="CE17" s="28">
        <f>SUM(CE8:CE16)</f>
        <v>4755.59462</v>
      </c>
      <c r="CF17" s="28">
        <f>SUM(CF8:CF16)</f>
        <v>109.9948164</v>
      </c>
      <c r="CG17" s="28">
        <f>SUM(CG8:CG16)</f>
        <v>175.93811480000002</v>
      </c>
      <c r="CI17" s="28">
        <f>SUM(CI8:CI16)</f>
        <v>80.08</v>
      </c>
      <c r="CJ17" s="28">
        <f>SUM(CJ8:CJ16)</f>
        <v>2.4107999999999996</v>
      </c>
      <c r="CK17" s="28">
        <f>SUM(CK8:CK16)</f>
        <v>82.49080000000001</v>
      </c>
      <c r="CL17" s="28">
        <f>SUM(CL8:CL16)</f>
        <v>1.907976</v>
      </c>
      <c r="CM17" s="28">
        <f>SUM(CM8:CM16)</f>
        <v>3.051832</v>
      </c>
      <c r="CO17" s="28">
        <f>SUM(CO8:CO16)</f>
        <v>29385.356</v>
      </c>
      <c r="CP17" s="28">
        <f>SUM(CP8:CP16)</f>
        <v>884.6430600000001</v>
      </c>
      <c r="CQ17" s="28">
        <f>SUM(CQ8:CQ16)</f>
        <v>30269.99906</v>
      </c>
      <c r="CR17" s="28">
        <f>SUM(CR8:CR16)</f>
        <v>700.1317932</v>
      </c>
      <c r="CS17" s="28">
        <f>SUM(CS8:CS16)</f>
        <v>1119.8697524</v>
      </c>
      <c r="CU17" s="28">
        <f>SUM(CU8:CU16)</f>
        <v>42577.39200000001</v>
      </c>
      <c r="CV17" s="28">
        <f>SUM(CV8:CV16)</f>
        <v>1281.78792</v>
      </c>
      <c r="CW17" s="28">
        <f>SUM(CW8:CW16)</f>
        <v>43859.17992000001</v>
      </c>
      <c r="CX17" s="28">
        <f>SUM(CX8:CX16)</f>
        <v>1014.4435824</v>
      </c>
      <c r="CY17" s="28">
        <f>SUM(CY8:CY16)</f>
        <v>1622.6154768</v>
      </c>
      <c r="DA17" s="28">
        <f>SUM(DA8:DA16)</f>
        <v>53872.676</v>
      </c>
      <c r="DB17" s="28">
        <f>SUM(DB8:DB16)</f>
        <v>1621.83126</v>
      </c>
      <c r="DC17" s="28">
        <f>SUM(DC8:DC16)</f>
        <v>55494.507260000006</v>
      </c>
      <c r="DD17" s="28">
        <f>SUM(DD8:DD16)</f>
        <v>1283.5635972</v>
      </c>
      <c r="DE17" s="28">
        <f>SUM(DE8:DE16)</f>
        <v>2053.0763804</v>
      </c>
      <c r="DG17" s="28">
        <f>SUM(DG8:DG16)</f>
        <v>5010.719999999999</v>
      </c>
      <c r="DH17" s="28">
        <f>SUM(DH8:DH16)</f>
        <v>150.84720000000002</v>
      </c>
      <c r="DI17" s="28">
        <f>SUM(DI8:DI16)</f>
        <v>5161.5671999999995</v>
      </c>
      <c r="DJ17" s="28">
        <f>SUM(DJ8:DJ16)</f>
        <v>119.38478400000001</v>
      </c>
      <c r="DK17" s="28">
        <f>SUM(DK8:DK16)</f>
        <v>190.957488</v>
      </c>
      <c r="DM17" s="28">
        <f>SUM(DM8:DM16)</f>
        <v>94680.29999999999</v>
      </c>
      <c r="DN17" s="28">
        <f>SUM(DN8:DN16)</f>
        <v>2850.3405000000002</v>
      </c>
      <c r="DO17" s="28">
        <f>SUM(DO8:DO16)</f>
        <v>97530.64050000001</v>
      </c>
      <c r="DP17" s="28">
        <f>SUM(DP8:DP16)</f>
        <v>2255.8409100000003</v>
      </c>
      <c r="DQ17" s="28">
        <f>SUM(DQ8:DQ16)</f>
        <v>3608.2463700000003</v>
      </c>
      <c r="DS17" s="28">
        <f>SUM(DS8:DS16)</f>
        <v>245640.82399999996</v>
      </c>
      <c r="DT17" s="28">
        <f>SUM(DT8:DT16)</f>
        <v>7394.991239999999</v>
      </c>
      <c r="DU17" s="28">
        <f>SUM(DU8:DU16)</f>
        <v>253035.81523999997</v>
      </c>
      <c r="DV17" s="28">
        <f>SUM(DV8:DV16)</f>
        <v>5852.607352800001</v>
      </c>
      <c r="DW17" s="28">
        <f>SUM(DW8:DW16)</f>
        <v>9361.3202696</v>
      </c>
      <c r="DY17" s="28">
        <f>SUM(DY8:DY16)</f>
        <v>18095.22</v>
      </c>
      <c r="DZ17" s="28">
        <f>SUM(DZ8:DZ16)</f>
        <v>544.7547000000001</v>
      </c>
      <c r="EA17" s="28">
        <f>SUM(EA8:EA16)</f>
        <v>18639.9747</v>
      </c>
      <c r="EB17" s="28">
        <f>SUM(EB8:EB16)</f>
        <v>431.134434</v>
      </c>
      <c r="EC17" s="28">
        <f>SUM(EC8:EC16)</f>
        <v>689.605038</v>
      </c>
    </row>
    <row r="18" ht="13.5" thickTop="1"/>
    <row r="31" spans="1:134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1:134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spans="1:134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1:134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1:134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1:134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1:1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</sheetData>
  <sheetProtection/>
  <printOptions/>
  <pageMargins left="0.75" right="0.75" top="1" bottom="1" header="0.5" footer="0.5"/>
  <pageSetup orientation="landscape" scale="74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Z57"/>
  <sheetViews>
    <sheetView zoomScale="150" zoomScaleNormal="150" zoomScalePageLayoutView="0" workbookViewId="0" topLeftCell="A1">
      <selection activeCell="D11" sqref="D11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3" width="12.28125" style="14" customWidth="1"/>
    <col min="4" max="4" width="11.7109375" style="14" customWidth="1"/>
    <col min="5" max="5" width="12.140625" style="14" customWidth="1"/>
    <col min="6" max="6" width="11.7109375" style="14" customWidth="1"/>
    <col min="7" max="7" width="15.421875" style="14" customWidth="1"/>
    <col min="8" max="8" width="3.7109375" style="14" customWidth="1"/>
    <col min="9" max="12" width="13.7109375" style="14" customWidth="1"/>
    <col min="13" max="13" width="15.42187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59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2012D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2012D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2012D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2012D</v>
      </c>
      <c r="CL3"/>
      <c r="CM3"/>
      <c r="CN3"/>
      <c r="CO3"/>
      <c r="CW3" s="24"/>
      <c r="DC3" s="24" t="str">
        <f>CK3</f>
        <v>2005 Series A Bond Funded Projects after 2012D</v>
      </c>
      <c r="DO3" s="24"/>
      <c r="DU3" s="24" t="str">
        <f>DC3</f>
        <v>2005 Series A Bond Funded Projects after 2012D</v>
      </c>
      <c r="EG3" s="24"/>
      <c r="EI3" s="41"/>
      <c r="EJ3" s="3"/>
      <c r="EK3" s="3"/>
      <c r="EL3" s="24" t="str">
        <f>DU3</f>
        <v>2005 Series A Bond Funded Projects after 2012D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2012D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2012D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7" t="s">
        <v>58</v>
      </c>
      <c r="D5" s="17"/>
      <c r="E5" s="18"/>
      <c r="F5" s="20"/>
      <c r="G5" s="20"/>
      <c r="I5" s="16" t="s">
        <v>22</v>
      </c>
      <c r="J5" s="17"/>
      <c r="K5" s="18"/>
      <c r="L5" s="20"/>
      <c r="M5" s="20"/>
      <c r="O5" s="16" t="s">
        <v>23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34</v>
      </c>
      <c r="AN5" s="6"/>
      <c r="AO5" s="7"/>
      <c r="AP5" s="20"/>
      <c r="AQ5" s="20"/>
      <c r="AS5" s="5" t="s">
        <v>35</v>
      </c>
      <c r="AT5" s="6"/>
      <c r="AU5" s="7"/>
      <c r="AV5" s="20"/>
      <c r="AW5" s="20"/>
      <c r="AY5" s="5" t="s">
        <v>36</v>
      </c>
      <c r="AZ5" s="6"/>
      <c r="BA5" s="7"/>
      <c r="BB5" s="20"/>
      <c r="BC5" s="20"/>
      <c r="BE5" s="5" t="s">
        <v>37</v>
      </c>
      <c r="BF5" s="6"/>
      <c r="BG5" s="7"/>
      <c r="BH5" s="20"/>
      <c r="BI5" s="20"/>
      <c r="BK5" s="5" t="s">
        <v>38</v>
      </c>
      <c r="BL5" s="6"/>
      <c r="BM5" s="7"/>
      <c r="BN5" s="20"/>
      <c r="BO5" s="20"/>
      <c r="BQ5" s="5" t="s">
        <v>39</v>
      </c>
      <c r="BR5" s="6"/>
      <c r="BS5" s="7"/>
      <c r="BT5" s="20"/>
      <c r="BU5" s="20"/>
      <c r="BW5" s="5" t="s">
        <v>40</v>
      </c>
      <c r="BX5" s="6"/>
      <c r="BY5" s="7"/>
      <c r="BZ5" s="20"/>
      <c r="CA5" s="20"/>
      <c r="CC5" s="33" t="s">
        <v>41</v>
      </c>
      <c r="CD5" s="6"/>
      <c r="CE5" s="7"/>
      <c r="CF5" s="20"/>
      <c r="CG5" s="20"/>
      <c r="CI5" s="5" t="s">
        <v>42</v>
      </c>
      <c r="CJ5" s="6"/>
      <c r="CK5" s="7"/>
      <c r="CL5" s="20"/>
      <c r="CM5" s="20"/>
      <c r="CO5" s="5" t="s">
        <v>43</v>
      </c>
      <c r="CP5" s="6"/>
      <c r="CQ5" s="7"/>
      <c r="CR5" s="20"/>
      <c r="CS5" s="20"/>
      <c r="CU5" s="33" t="s">
        <v>44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46</v>
      </c>
      <c r="DH5" s="6"/>
      <c r="DI5" s="7"/>
      <c r="DJ5" s="20"/>
      <c r="DK5" s="20"/>
      <c r="DL5" s="39"/>
      <c r="DM5" s="5" t="s">
        <v>47</v>
      </c>
      <c r="DN5" s="6"/>
      <c r="DO5" s="7"/>
      <c r="DP5" s="20"/>
      <c r="DQ5" s="20"/>
      <c r="DS5" s="5" t="s">
        <v>45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3" t="s">
        <v>7</v>
      </c>
      <c r="EF5" s="6"/>
      <c r="EG5" s="7"/>
      <c r="EH5" s="20"/>
    </row>
    <row r="6" spans="1:138" s="1" customFormat="1" ht="12.75">
      <c r="A6" s="25" t="s">
        <v>2</v>
      </c>
      <c r="C6" s="35" t="s">
        <v>60</v>
      </c>
      <c r="D6" s="34"/>
      <c r="E6" s="18"/>
      <c r="F6" s="20" t="s">
        <v>49</v>
      </c>
      <c r="G6" s="20" t="s">
        <v>49</v>
      </c>
      <c r="H6" s="14"/>
      <c r="I6" s="19"/>
      <c r="J6" s="38">
        <v>0.5605926</v>
      </c>
      <c r="K6" s="18"/>
      <c r="L6" s="20" t="s">
        <v>49</v>
      </c>
      <c r="M6" s="20" t="s">
        <v>49</v>
      </c>
      <c r="N6" s="14"/>
      <c r="O6" s="19"/>
      <c r="P6" s="32">
        <f>V6+AB6+AH6+AN6+AT6+AZ6+BF6+BL6+BR6+BX6+CD6+CJ6+CP6+CV6+DB6+DH6+DN6+EF6+DT6+DZ6</f>
        <v>0.4394074</v>
      </c>
      <c r="Q6" s="18"/>
      <c r="R6" s="20" t="s">
        <v>49</v>
      </c>
      <c r="S6" s="20" t="s">
        <v>49</v>
      </c>
      <c r="T6" s="14"/>
      <c r="U6" s="26"/>
      <c r="V6" s="13">
        <v>0.0074748</v>
      </c>
      <c r="W6" s="27"/>
      <c r="X6" s="20" t="s">
        <v>49</v>
      </c>
      <c r="Y6" s="20" t="s">
        <v>49</v>
      </c>
      <c r="AA6" s="26"/>
      <c r="AB6" s="13">
        <v>0.0034282</v>
      </c>
      <c r="AC6" s="27"/>
      <c r="AD6" s="20" t="s">
        <v>49</v>
      </c>
      <c r="AE6" s="20" t="s">
        <v>49</v>
      </c>
      <c r="AG6" s="26"/>
      <c r="AH6" s="13">
        <v>0.0007099</v>
      </c>
      <c r="AI6" s="27"/>
      <c r="AJ6" s="20" t="s">
        <v>49</v>
      </c>
      <c r="AK6" s="20" t="s">
        <v>49</v>
      </c>
      <c r="AM6" s="26"/>
      <c r="AN6" s="13">
        <v>0.0758946</v>
      </c>
      <c r="AO6" s="27"/>
      <c r="AP6" s="20" t="s">
        <v>49</v>
      </c>
      <c r="AQ6" s="20" t="s">
        <v>49</v>
      </c>
      <c r="AS6" s="26"/>
      <c r="AT6" s="13">
        <v>0.0004174</v>
      </c>
      <c r="AU6" s="27"/>
      <c r="AV6" s="20" t="s">
        <v>49</v>
      </c>
      <c r="AW6" s="20" t="s">
        <v>49</v>
      </c>
      <c r="AY6" s="26"/>
      <c r="AZ6" s="13">
        <v>0.0004407</v>
      </c>
      <c r="BA6" s="27"/>
      <c r="BB6" s="20" t="s">
        <v>49</v>
      </c>
      <c r="BC6" s="20" t="s">
        <v>49</v>
      </c>
      <c r="BE6" s="26"/>
      <c r="BF6" s="13">
        <v>0.0001236</v>
      </c>
      <c r="BG6" s="27"/>
      <c r="BH6" s="20" t="s">
        <v>49</v>
      </c>
      <c r="BI6" s="20" t="s">
        <v>49</v>
      </c>
      <c r="BK6" s="26"/>
      <c r="BL6" s="13">
        <v>0.0022776</v>
      </c>
      <c r="BM6" s="27"/>
      <c r="BN6" s="20" t="s">
        <v>49</v>
      </c>
      <c r="BO6" s="20" t="s">
        <v>49</v>
      </c>
      <c r="BQ6" s="26"/>
      <c r="BR6" s="13">
        <v>0.003395</v>
      </c>
      <c r="BS6" s="27"/>
      <c r="BT6" s="20" t="s">
        <v>49</v>
      </c>
      <c r="BU6" s="20" t="s">
        <v>49</v>
      </c>
      <c r="BW6" s="26"/>
      <c r="BX6" s="13">
        <v>0.04</v>
      </c>
      <c r="BY6" s="27"/>
      <c r="BZ6" s="20" t="s">
        <v>49</v>
      </c>
      <c r="CA6" s="20" t="s">
        <v>49</v>
      </c>
      <c r="CC6" s="26"/>
      <c r="CD6" s="13">
        <v>0.0019842</v>
      </c>
      <c r="CE6" s="27"/>
      <c r="CF6" s="20" t="s">
        <v>49</v>
      </c>
      <c r="CG6" s="20" t="s">
        <v>49</v>
      </c>
      <c r="CI6" s="26"/>
      <c r="CJ6" s="13">
        <v>0.0158629</v>
      </c>
      <c r="CK6" s="27"/>
      <c r="CL6" s="20" t="s">
        <v>49</v>
      </c>
      <c r="CM6" s="20" t="s">
        <v>49</v>
      </c>
      <c r="CO6" s="26"/>
      <c r="CP6" s="13">
        <v>0.0086838</v>
      </c>
      <c r="CQ6" s="27"/>
      <c r="CR6" s="20" t="s">
        <v>49</v>
      </c>
      <c r="CS6" s="20" t="s">
        <v>49</v>
      </c>
      <c r="CU6" s="26"/>
      <c r="CV6" s="13">
        <v>0.0008615</v>
      </c>
      <c r="CW6" s="27"/>
      <c r="CX6" s="20" t="s">
        <v>49</v>
      </c>
      <c r="CY6" s="20" t="s">
        <v>49</v>
      </c>
      <c r="DA6" s="26"/>
      <c r="DB6" s="13">
        <v>0.061203</v>
      </c>
      <c r="DC6" s="27"/>
      <c r="DD6" s="20" t="s">
        <v>49</v>
      </c>
      <c r="DE6" s="20" t="s">
        <v>49</v>
      </c>
      <c r="DG6" s="26"/>
      <c r="DH6" s="13">
        <v>0.0144306</v>
      </c>
      <c r="DI6" s="27"/>
      <c r="DJ6" s="20" t="s">
        <v>49</v>
      </c>
      <c r="DK6" s="20" t="s">
        <v>49</v>
      </c>
      <c r="DL6" s="10"/>
      <c r="DM6" s="26"/>
      <c r="DN6" s="13">
        <v>0.0024027</v>
      </c>
      <c r="DO6" s="27"/>
      <c r="DP6" s="20" t="s">
        <v>49</v>
      </c>
      <c r="DQ6" s="20" t="s">
        <v>49</v>
      </c>
      <c r="DS6" s="26"/>
      <c r="DT6" s="13">
        <v>0.0025862</v>
      </c>
      <c r="DU6" s="27"/>
      <c r="DV6" s="20" t="s">
        <v>49</v>
      </c>
      <c r="DW6" s="20" t="s">
        <v>49</v>
      </c>
      <c r="DY6" s="26"/>
      <c r="DZ6" s="13">
        <v>0.1972307</v>
      </c>
      <c r="EA6" s="27"/>
      <c r="EB6" s="20" t="s">
        <v>49</v>
      </c>
      <c r="EC6" s="20" t="s">
        <v>49</v>
      </c>
      <c r="EE6" s="26"/>
      <c r="EF6" s="13"/>
      <c r="EG6" s="27"/>
      <c r="EH6" s="20" t="s">
        <v>49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50</v>
      </c>
      <c r="G7" s="20" t="s">
        <v>51</v>
      </c>
      <c r="I7" s="20" t="s">
        <v>3</v>
      </c>
      <c r="J7" s="20" t="s">
        <v>4</v>
      </c>
      <c r="K7" s="20" t="s">
        <v>0</v>
      </c>
      <c r="L7" s="20" t="s">
        <v>50</v>
      </c>
      <c r="M7" s="20" t="s">
        <v>51</v>
      </c>
      <c r="O7" s="20" t="s">
        <v>3</v>
      </c>
      <c r="P7" s="20" t="s">
        <v>4</v>
      </c>
      <c r="Q7" s="20" t="s">
        <v>0</v>
      </c>
      <c r="R7" s="20" t="s">
        <v>50</v>
      </c>
      <c r="S7" s="20" t="s">
        <v>51</v>
      </c>
      <c r="U7" s="9" t="s">
        <v>3</v>
      </c>
      <c r="V7" s="9" t="s">
        <v>4</v>
      </c>
      <c r="W7" s="9" t="s">
        <v>0</v>
      </c>
      <c r="X7" s="20" t="s">
        <v>50</v>
      </c>
      <c r="Y7" s="20" t="s">
        <v>51</v>
      </c>
      <c r="AA7" s="9" t="s">
        <v>3</v>
      </c>
      <c r="AB7" s="9" t="s">
        <v>4</v>
      </c>
      <c r="AC7" s="9" t="s">
        <v>0</v>
      </c>
      <c r="AD7" s="20" t="s">
        <v>50</v>
      </c>
      <c r="AE7" s="20" t="s">
        <v>51</v>
      </c>
      <c r="AG7" s="9" t="s">
        <v>3</v>
      </c>
      <c r="AH7" s="9" t="s">
        <v>4</v>
      </c>
      <c r="AI7" s="9" t="s">
        <v>0</v>
      </c>
      <c r="AJ7" s="20" t="s">
        <v>50</v>
      </c>
      <c r="AK7" s="20" t="s">
        <v>51</v>
      </c>
      <c r="AM7" s="9" t="s">
        <v>3</v>
      </c>
      <c r="AN7" s="9" t="s">
        <v>4</v>
      </c>
      <c r="AO7" s="9" t="s">
        <v>0</v>
      </c>
      <c r="AP7" s="20" t="s">
        <v>50</v>
      </c>
      <c r="AQ7" s="20" t="s">
        <v>51</v>
      </c>
      <c r="AS7" s="9" t="s">
        <v>3</v>
      </c>
      <c r="AT7" s="9" t="s">
        <v>4</v>
      </c>
      <c r="AU7" s="9" t="s">
        <v>0</v>
      </c>
      <c r="AV7" s="20" t="s">
        <v>50</v>
      </c>
      <c r="AW7" s="20" t="s">
        <v>51</v>
      </c>
      <c r="AY7" s="9" t="s">
        <v>3</v>
      </c>
      <c r="AZ7" s="9" t="s">
        <v>4</v>
      </c>
      <c r="BA7" s="9" t="s">
        <v>0</v>
      </c>
      <c r="BB7" s="20" t="s">
        <v>50</v>
      </c>
      <c r="BC7" s="20" t="s">
        <v>51</v>
      </c>
      <c r="BE7" s="9" t="s">
        <v>3</v>
      </c>
      <c r="BF7" s="9" t="s">
        <v>4</v>
      </c>
      <c r="BG7" s="9" t="s">
        <v>0</v>
      </c>
      <c r="BH7" s="20" t="s">
        <v>50</v>
      </c>
      <c r="BI7" s="20" t="s">
        <v>51</v>
      </c>
      <c r="BK7" s="9" t="s">
        <v>3</v>
      </c>
      <c r="BL7" s="9" t="s">
        <v>4</v>
      </c>
      <c r="BM7" s="9" t="s">
        <v>0</v>
      </c>
      <c r="BN7" s="20" t="s">
        <v>50</v>
      </c>
      <c r="BO7" s="20" t="s">
        <v>51</v>
      </c>
      <c r="BQ7" s="9" t="s">
        <v>3</v>
      </c>
      <c r="BR7" s="9" t="s">
        <v>4</v>
      </c>
      <c r="BS7" s="9" t="s">
        <v>0</v>
      </c>
      <c r="BT7" s="20" t="s">
        <v>50</v>
      </c>
      <c r="BU7" s="20" t="s">
        <v>51</v>
      </c>
      <c r="BW7" s="9" t="s">
        <v>3</v>
      </c>
      <c r="BX7" s="9" t="s">
        <v>4</v>
      </c>
      <c r="BY7" s="9" t="s">
        <v>0</v>
      </c>
      <c r="BZ7" s="20" t="s">
        <v>50</v>
      </c>
      <c r="CA7" s="20" t="s">
        <v>51</v>
      </c>
      <c r="CC7" s="9" t="s">
        <v>3</v>
      </c>
      <c r="CD7" s="9" t="s">
        <v>4</v>
      </c>
      <c r="CE7" s="9" t="s">
        <v>0</v>
      </c>
      <c r="CF7" s="20" t="s">
        <v>50</v>
      </c>
      <c r="CG7" s="20" t="s">
        <v>51</v>
      </c>
      <c r="CI7" s="9" t="s">
        <v>3</v>
      </c>
      <c r="CJ7" s="9" t="s">
        <v>4</v>
      </c>
      <c r="CK7" s="9" t="s">
        <v>0</v>
      </c>
      <c r="CL7" s="20" t="s">
        <v>50</v>
      </c>
      <c r="CM7" s="20" t="s">
        <v>51</v>
      </c>
      <c r="CO7" s="9" t="s">
        <v>3</v>
      </c>
      <c r="CP7" s="9" t="s">
        <v>4</v>
      </c>
      <c r="CQ7" s="9" t="s">
        <v>0</v>
      </c>
      <c r="CR7" s="20" t="s">
        <v>50</v>
      </c>
      <c r="CS7" s="20" t="s">
        <v>51</v>
      </c>
      <c r="CU7" s="9" t="s">
        <v>3</v>
      </c>
      <c r="CV7" s="9" t="s">
        <v>4</v>
      </c>
      <c r="CW7" s="9" t="s">
        <v>0</v>
      </c>
      <c r="CX7" s="20" t="s">
        <v>50</v>
      </c>
      <c r="CY7" s="20" t="s">
        <v>51</v>
      </c>
      <c r="DA7" s="9" t="s">
        <v>3</v>
      </c>
      <c r="DB7" s="9" t="s">
        <v>4</v>
      </c>
      <c r="DC7" s="9" t="s">
        <v>0</v>
      </c>
      <c r="DD7" s="20" t="s">
        <v>50</v>
      </c>
      <c r="DE7" s="20" t="s">
        <v>51</v>
      </c>
      <c r="DG7" s="9" t="s">
        <v>3</v>
      </c>
      <c r="DH7" s="9" t="s">
        <v>4</v>
      </c>
      <c r="DI7" s="9" t="s">
        <v>0</v>
      </c>
      <c r="DJ7" s="20" t="s">
        <v>50</v>
      </c>
      <c r="DK7" s="20" t="s">
        <v>51</v>
      </c>
      <c r="DL7" s="40"/>
      <c r="DM7" s="9" t="s">
        <v>3</v>
      </c>
      <c r="DN7" s="9" t="s">
        <v>4</v>
      </c>
      <c r="DO7" s="9" t="s">
        <v>0</v>
      </c>
      <c r="DP7" s="20" t="s">
        <v>50</v>
      </c>
      <c r="DQ7" s="20" t="s">
        <v>51</v>
      </c>
      <c r="DS7" s="9" t="s">
        <v>3</v>
      </c>
      <c r="DT7" s="9" t="s">
        <v>4</v>
      </c>
      <c r="DU7" s="9" t="s">
        <v>0</v>
      </c>
      <c r="DV7" s="20" t="s">
        <v>50</v>
      </c>
      <c r="DW7" s="20" t="s">
        <v>51</v>
      </c>
      <c r="DY7" s="9" t="s">
        <v>3</v>
      </c>
      <c r="DZ7" s="9" t="s">
        <v>4</v>
      </c>
      <c r="EA7" s="9" t="s">
        <v>0</v>
      </c>
      <c r="EB7" s="20" t="s">
        <v>50</v>
      </c>
      <c r="EC7" s="20" t="s">
        <v>51</v>
      </c>
      <c r="EE7" s="9" t="s">
        <v>3</v>
      </c>
      <c r="EF7" s="9" t="s">
        <v>4</v>
      </c>
      <c r="EG7" s="9" t="s">
        <v>0</v>
      </c>
      <c r="EH7" s="20" t="s">
        <v>50</v>
      </c>
    </row>
    <row r="8" spans="1:139" s="31" customFormat="1" ht="12.75">
      <c r="A8" s="30">
        <v>44470</v>
      </c>
      <c r="C8" s="21"/>
      <c r="D8" s="21">
        <v>135100</v>
      </c>
      <c r="E8" s="42">
        <f aca="true" t="shared" si="0" ref="E8:E15">C8+D8</f>
        <v>135100</v>
      </c>
      <c r="F8" s="42">
        <v>76179</v>
      </c>
      <c r="G8" s="42">
        <v>29566</v>
      </c>
      <c r="H8" s="44"/>
      <c r="I8" s="44">
        <f>'2012D Academic'!I8</f>
        <v>0</v>
      </c>
      <c r="J8" s="44">
        <f>'2012D Academic'!J8</f>
        <v>75736.06026</v>
      </c>
      <c r="K8" s="44">
        <f aca="true" t="shared" si="1" ref="K8:K15">I8+J8</f>
        <v>75736.06026</v>
      </c>
      <c r="L8" s="44">
        <f>'2012D Academic'!L8</f>
        <v>42705.38367540001</v>
      </c>
      <c r="M8" s="44">
        <f>'2012D Academic'!M8</f>
        <v>16574.4808116</v>
      </c>
      <c r="N8" s="44"/>
      <c r="O8" s="43">
        <f aca="true" t="shared" si="2" ref="O8:O14">U8+AA8+AG8+AM8+AS8+AY8+BE8+BK8+BQ8+BW8+CC8+CI8+CO8+CU8+DA8+DG8+DM8+EE8+DS8+DY8</f>
        <v>0</v>
      </c>
      <c r="P8" s="45">
        <f aca="true" t="shared" si="3" ref="P8:P15">V8+AB8+AH8+AN8+AT8+AZ8+BF8+BL8+BR8+BX8+CD8+CJ8+CP8+CV8+DB8+DH8+DN8+EF8+DT8+DZ8</f>
        <v>59363.93974</v>
      </c>
      <c r="Q8" s="43">
        <f aca="true" t="shared" si="4" ref="Q8:Q15">O8+P8</f>
        <v>59363.93974</v>
      </c>
      <c r="R8" s="43">
        <f aca="true" t="shared" si="5" ref="R8:R15">X8+AD8+AJ8+AP8+AV8+BB8+BH8+BN8+BT8+BZ8+CF8+CL8+CR8+CX8+DD8+DJ8+DP8+DV8+EB8+EH8</f>
        <v>33473.6163246</v>
      </c>
      <c r="S8" s="45">
        <f aca="true" t="shared" si="6" ref="S8:S15">Y8+AE8+AK8+AQ8+AW8+BC8+BI8+BO8+BU8+CA8+CG8+CM8+CS8+CY8+DE8+DK8+DQ8+EI8+DW8+EC8</f>
        <v>12991.5191884</v>
      </c>
      <c r="T8" s="44"/>
      <c r="U8" s="44">
        <f aca="true" t="shared" si="7" ref="U8:U14">V$6*$C8</f>
        <v>0</v>
      </c>
      <c r="V8" s="45">
        <f aca="true" t="shared" si="8" ref="V8:V15">D8*0.74748/100</f>
        <v>1009.8454800000001</v>
      </c>
      <c r="W8" s="44">
        <f aca="true" t="shared" si="9" ref="W8:W15">U8+V8</f>
        <v>1009.8454800000001</v>
      </c>
      <c r="X8" s="44">
        <f aca="true" t="shared" si="10" ref="X8:X15">V$6*$F8</f>
        <v>569.4227892</v>
      </c>
      <c r="Y8" s="44">
        <f aca="true" t="shared" si="11" ref="Y8:Y15">V$6*$G8</f>
        <v>220.9999368</v>
      </c>
      <c r="Z8" s="44"/>
      <c r="AA8" s="44">
        <f aca="true" t="shared" si="12" ref="AA8:AA14">AB$6*$C8</f>
        <v>0</v>
      </c>
      <c r="AB8" s="44">
        <f aca="true" t="shared" si="13" ref="AB8:AB15">D8*0.34282/100</f>
        <v>463.14982000000003</v>
      </c>
      <c r="AC8" s="43">
        <f aca="true" t="shared" si="14" ref="AC8:AC15">AA8+AB8</f>
        <v>463.14982000000003</v>
      </c>
      <c r="AD8" s="44">
        <f aca="true" t="shared" si="15" ref="AD8:AD15">AB$6*$F8</f>
        <v>261.15684780000004</v>
      </c>
      <c r="AE8" s="44">
        <f aca="true" t="shared" si="16" ref="AE8:AE15">AB$6*$G8</f>
        <v>101.35816120000001</v>
      </c>
      <c r="AF8" s="44"/>
      <c r="AG8" s="44">
        <f aca="true" t="shared" si="17" ref="AG8:AG14">AH$6*$C8</f>
        <v>0</v>
      </c>
      <c r="AH8" s="44">
        <f aca="true" t="shared" si="18" ref="AH8:AH15">D8*0.07099/100</f>
        <v>95.90749</v>
      </c>
      <c r="AI8" s="43">
        <f aca="true" t="shared" si="19" ref="AI8:AI15">AG8+AH8</f>
        <v>95.90749</v>
      </c>
      <c r="AJ8" s="44">
        <f aca="true" t="shared" si="20" ref="AJ8:AJ15">AH$6*$F8</f>
        <v>54.0794721</v>
      </c>
      <c r="AK8" s="44">
        <f aca="true" t="shared" si="21" ref="AK8:AK15">AH$6*$G8</f>
        <v>20.988903399999998</v>
      </c>
      <c r="AL8" s="44"/>
      <c r="AM8" s="44">
        <f aca="true" t="shared" si="22" ref="AM8:AM14">AN$6*$C8</f>
        <v>0</v>
      </c>
      <c r="AN8" s="44">
        <f aca="true" t="shared" si="23" ref="AN8:AN15">D8*7.58946/100</f>
        <v>10253.36046</v>
      </c>
      <c r="AO8" s="43">
        <f aca="true" t="shared" si="24" ref="AO8:AO15">AM8+AN8</f>
        <v>10253.36046</v>
      </c>
      <c r="AP8" s="44">
        <f aca="true" t="shared" si="25" ref="AP8:AP15">AN$6*$F8</f>
        <v>5781.574733400001</v>
      </c>
      <c r="AQ8" s="44">
        <f aca="true" t="shared" si="26" ref="AQ8:AQ15">AN$6*$G8</f>
        <v>2243.8997436</v>
      </c>
      <c r="AR8" s="44"/>
      <c r="AS8" s="44">
        <f aca="true" t="shared" si="27" ref="AS8:AS14">AT$6*$C8</f>
        <v>0</v>
      </c>
      <c r="AT8" s="44">
        <f aca="true" t="shared" si="28" ref="AT8:AT15">D8*0.04174/100</f>
        <v>56.390739999999994</v>
      </c>
      <c r="AU8" s="43">
        <f aca="true" t="shared" si="29" ref="AU8:AU15">AS8+AT8</f>
        <v>56.390739999999994</v>
      </c>
      <c r="AV8" s="44">
        <f aca="true" t="shared" si="30" ref="AV8:AV15">AT$6*$F8</f>
        <v>31.7971146</v>
      </c>
      <c r="AW8" s="44">
        <f aca="true" t="shared" si="31" ref="AW8:AW15">AT$6*$G8</f>
        <v>12.3408484</v>
      </c>
      <c r="AX8" s="44"/>
      <c r="AY8" s="44">
        <f aca="true" t="shared" si="32" ref="AY8:AY14">AZ$6*$C8</f>
        <v>0</v>
      </c>
      <c r="AZ8" s="44">
        <f aca="true" t="shared" si="33" ref="AZ8:AZ15">D8*0.04407/100</f>
        <v>59.53857</v>
      </c>
      <c r="BA8" s="43">
        <f aca="true" t="shared" si="34" ref="BA8:BA15">AY8+AZ8</f>
        <v>59.53857</v>
      </c>
      <c r="BB8" s="44">
        <f aca="true" t="shared" si="35" ref="BB8:BB15">AZ$6*$F8</f>
        <v>33.5720853</v>
      </c>
      <c r="BC8" s="44">
        <f aca="true" t="shared" si="36" ref="BC8:BC15">AZ$6*$G8</f>
        <v>13.029736199999999</v>
      </c>
      <c r="BD8" s="44"/>
      <c r="BE8" s="44">
        <f aca="true" t="shared" si="37" ref="BE8:BE14">BF$6*$C8</f>
        <v>0</v>
      </c>
      <c r="BF8" s="44">
        <f aca="true" t="shared" si="38" ref="BF8:BF15">D8*0.01236/100</f>
        <v>16.69836</v>
      </c>
      <c r="BG8" s="43">
        <f aca="true" t="shared" si="39" ref="BG8:BG15">BE8+BF8</f>
        <v>16.69836</v>
      </c>
      <c r="BH8" s="44">
        <f aca="true" t="shared" si="40" ref="BH8:BH15">BF$6*$F8</f>
        <v>9.4157244</v>
      </c>
      <c r="BI8" s="44">
        <f aca="true" t="shared" si="41" ref="BI8:BI15">BF$6*$G8</f>
        <v>3.6543576</v>
      </c>
      <c r="BJ8" s="44"/>
      <c r="BK8" s="44">
        <f aca="true" t="shared" si="42" ref="BK8:BK14">BL$6*$C8</f>
        <v>0</v>
      </c>
      <c r="BL8" s="44">
        <f aca="true" t="shared" si="43" ref="BL8:BL15">D8*0.22776/100</f>
        <v>307.70376</v>
      </c>
      <c r="BM8" s="43">
        <f aca="true" t="shared" si="44" ref="BM8:BM15">BK8+BL8</f>
        <v>307.70376</v>
      </c>
      <c r="BN8" s="44">
        <f aca="true" t="shared" si="45" ref="BN8:BN15">BL$6*$F8</f>
        <v>173.50529039999998</v>
      </c>
      <c r="BO8" s="44">
        <f aca="true" t="shared" si="46" ref="BO8:BO15">BL$6*$G8</f>
        <v>67.3395216</v>
      </c>
      <c r="BP8" s="44"/>
      <c r="BQ8" s="44">
        <f aca="true" t="shared" si="47" ref="BQ8:BQ14">BR$6*$C8</f>
        <v>0</v>
      </c>
      <c r="BR8" s="44">
        <f aca="true" t="shared" si="48" ref="BR8:BR15">D8*0.3395/100</f>
        <v>458.66450000000003</v>
      </c>
      <c r="BS8" s="43">
        <f aca="true" t="shared" si="49" ref="BS8:BS15">BQ8+BR8</f>
        <v>458.66450000000003</v>
      </c>
      <c r="BT8" s="44">
        <f aca="true" t="shared" si="50" ref="BT8:BT15">BR$6*$F8</f>
        <v>258.627705</v>
      </c>
      <c r="BU8" s="44">
        <f aca="true" t="shared" si="51" ref="BU8:BU15">BR$6*$G8</f>
        <v>100.37657</v>
      </c>
      <c r="BV8" s="44"/>
      <c r="BW8" s="44">
        <f aca="true" t="shared" si="52" ref="BW8:BW14">BX$6*$C8</f>
        <v>0</v>
      </c>
      <c r="BX8" s="44">
        <f aca="true" t="shared" si="53" ref="BX8:BX15">D8*4/100</f>
        <v>5404</v>
      </c>
      <c r="BY8" s="43">
        <f aca="true" t="shared" si="54" ref="BY8:BY15">BW8+BX8</f>
        <v>5404</v>
      </c>
      <c r="BZ8" s="44">
        <f aca="true" t="shared" si="55" ref="BZ8:BZ15">BX$6*$F8</f>
        <v>3047.16</v>
      </c>
      <c r="CA8" s="44">
        <f aca="true" t="shared" si="56" ref="CA8:CA15">BX$6*$G8</f>
        <v>1182.64</v>
      </c>
      <c r="CB8" s="44"/>
      <c r="CC8" s="44">
        <f aca="true" t="shared" si="57" ref="CC8:CC14">CD$6*$C8</f>
        <v>0</v>
      </c>
      <c r="CD8" s="44">
        <f aca="true" t="shared" si="58" ref="CD8:CD15">D8*0.19842/100</f>
        <v>268.06542</v>
      </c>
      <c r="CE8" s="43">
        <f aca="true" t="shared" si="59" ref="CE8:CE15">CC8+CD8</f>
        <v>268.06542</v>
      </c>
      <c r="CF8" s="44">
        <f aca="true" t="shared" si="60" ref="CF8:CF15">CD$6*$F8</f>
        <v>151.1543718</v>
      </c>
      <c r="CG8" s="44">
        <f aca="true" t="shared" si="61" ref="CG8:CG15">CD$6*$G8</f>
        <v>58.66485720000001</v>
      </c>
      <c r="CH8" s="44"/>
      <c r="CI8" s="44">
        <f aca="true" t="shared" si="62" ref="CI8:CI14">CJ$6*$C8</f>
        <v>0</v>
      </c>
      <c r="CJ8" s="44">
        <f aca="true" t="shared" si="63" ref="CJ8:CJ15">D8*1.58629/100</f>
        <v>2143.0777900000003</v>
      </c>
      <c r="CK8" s="43">
        <f aca="true" t="shared" si="64" ref="CK8:CK15">CI8+CJ8</f>
        <v>2143.0777900000003</v>
      </c>
      <c r="CL8" s="44">
        <f aca="true" t="shared" si="65" ref="CL8:CL15">CJ$6*$F8</f>
        <v>1208.4198591</v>
      </c>
      <c r="CM8" s="44">
        <f aca="true" t="shared" si="66" ref="CM8:CM15">CJ$6*$G8</f>
        <v>469.00250139999997</v>
      </c>
      <c r="CN8" s="44"/>
      <c r="CO8" s="44">
        <f aca="true" t="shared" si="67" ref="CO8:CO14">CP$6*$C8</f>
        <v>0</v>
      </c>
      <c r="CP8" s="44">
        <f aca="true" t="shared" si="68" ref="CP8:CP15">D8*0.86838/100</f>
        <v>1173.18138</v>
      </c>
      <c r="CQ8" s="43">
        <f aca="true" t="shared" si="69" ref="CQ8:CQ15">CO8+CP8</f>
        <v>1173.18138</v>
      </c>
      <c r="CR8" s="44">
        <f aca="true" t="shared" si="70" ref="CR8:CR15">CP$6*$F8</f>
        <v>661.5232002</v>
      </c>
      <c r="CS8" s="44">
        <f aca="true" t="shared" si="71" ref="CS8:CS15">CP$6*$G8</f>
        <v>256.7452308</v>
      </c>
      <c r="CT8" s="44"/>
      <c r="CU8" s="44">
        <f aca="true" t="shared" si="72" ref="CU8:CU14">CV$6*$C8</f>
        <v>0</v>
      </c>
      <c r="CV8" s="44">
        <f aca="true" t="shared" si="73" ref="CV8:CV15">D8*0.08615/100</f>
        <v>116.38865</v>
      </c>
      <c r="CW8" s="43">
        <f aca="true" t="shared" si="74" ref="CW8:CW15">CU8+CV8</f>
        <v>116.38865</v>
      </c>
      <c r="CX8" s="44">
        <f aca="true" t="shared" si="75" ref="CX8:CX15">CV$6*$F8</f>
        <v>65.6282085</v>
      </c>
      <c r="CY8" s="44">
        <f aca="true" t="shared" si="76" ref="CY8:CY15">CV$6*$G8</f>
        <v>25.471109</v>
      </c>
      <c r="CZ8" s="44"/>
      <c r="DA8" s="44">
        <f aca="true" t="shared" si="77" ref="DA8:DA14">DB$6*$C8</f>
        <v>0</v>
      </c>
      <c r="DB8" s="44">
        <f aca="true" t="shared" si="78" ref="DB8:DB15">D8*6.1203/100</f>
        <v>8268.525300000001</v>
      </c>
      <c r="DC8" s="43">
        <f aca="true" t="shared" si="79" ref="DC8:DC15">DA8+DB8</f>
        <v>8268.525300000001</v>
      </c>
      <c r="DD8" s="44">
        <f aca="true" t="shared" si="80" ref="DD8:DD15">DB$6*$F8</f>
        <v>4662.383337</v>
      </c>
      <c r="DE8" s="44">
        <f aca="true" t="shared" si="81" ref="DE8:DE15">DB$6*$G8</f>
        <v>1809.527898</v>
      </c>
      <c r="DF8" s="44"/>
      <c r="DG8" s="44">
        <f aca="true" t="shared" si="82" ref="DG8:DG14">DH$6*$C8</f>
        <v>0</v>
      </c>
      <c r="DH8" s="44">
        <f aca="true" t="shared" si="83" ref="DH8:DH15">D8*1.44306/100</f>
        <v>1949.57406</v>
      </c>
      <c r="DI8" s="43">
        <f aca="true" t="shared" si="84" ref="DI8:DI15">DG8+DH8</f>
        <v>1949.57406</v>
      </c>
      <c r="DJ8" s="44">
        <f aca="true" t="shared" si="85" ref="DJ8:DJ15">DH$6*$F8</f>
        <v>1099.3086774</v>
      </c>
      <c r="DK8" s="44">
        <f aca="true" t="shared" si="86" ref="DK8:DK15">DH$6*$G8</f>
        <v>426.6551196</v>
      </c>
      <c r="DL8" s="43"/>
      <c r="DM8" s="44">
        <f aca="true" t="shared" si="87" ref="DM8:DM14">DN$6*$C8</f>
        <v>0</v>
      </c>
      <c r="DN8" s="43">
        <f aca="true" t="shared" si="88" ref="DN8:DN15">D8*0.24027/100</f>
        <v>324.60477000000003</v>
      </c>
      <c r="DO8" s="43">
        <f aca="true" t="shared" si="89" ref="DO8:DO15">DM8+DN8</f>
        <v>324.60477000000003</v>
      </c>
      <c r="DP8" s="44">
        <f aca="true" t="shared" si="90" ref="DP8:DP15">DN$6*$F8</f>
        <v>183.03528329999997</v>
      </c>
      <c r="DQ8" s="44">
        <f aca="true" t="shared" si="91" ref="DQ8:DQ15">DN$6*$G8</f>
        <v>71.03822819999999</v>
      </c>
      <c r="DR8" s="44"/>
      <c r="DS8" s="44">
        <f aca="true" t="shared" si="92" ref="DS8:DS14">DT$6*$C8</f>
        <v>0</v>
      </c>
      <c r="DT8" s="44">
        <f aca="true" t="shared" si="93" ref="DT8:DT15">D8*0.25862/100</f>
        <v>349.39562000000006</v>
      </c>
      <c r="DU8" s="43">
        <f aca="true" t="shared" si="94" ref="DU8:DU15">DS8+DT8</f>
        <v>349.39562000000006</v>
      </c>
      <c r="DV8" s="44">
        <f aca="true" t="shared" si="95" ref="DV8:DV15">DT$6*$F8</f>
        <v>197.01412979999998</v>
      </c>
      <c r="DW8" s="44">
        <f aca="true" t="shared" si="96" ref="DW8:DW15">DT$6*$G8</f>
        <v>76.4635892</v>
      </c>
      <c r="DX8" s="44"/>
      <c r="DY8" s="44">
        <f aca="true" t="shared" si="97" ref="DY8:DY14">DZ$6*$C8</f>
        <v>0</v>
      </c>
      <c r="DZ8" s="44">
        <f aca="true" t="shared" si="98" ref="DZ8:DZ15">D8*19.72307/100</f>
        <v>26645.867570000002</v>
      </c>
      <c r="EA8" s="43">
        <f aca="true" t="shared" si="99" ref="EA8:EA15">DY8+DZ8</f>
        <v>26645.867570000002</v>
      </c>
      <c r="EB8" s="44">
        <f aca="true" t="shared" si="100" ref="EB8:EB15">DZ$6*$F8</f>
        <v>15024.8374953</v>
      </c>
      <c r="EC8" s="44">
        <f aca="true" t="shared" si="101" ref="EC8:EC15">DZ$6*$G8</f>
        <v>5831.3228762</v>
      </c>
      <c r="ED8" s="44"/>
      <c r="EE8" s="43"/>
      <c r="EF8" s="43"/>
      <c r="EG8" s="43">
        <f aca="true" t="shared" si="102" ref="EG8:EG15">EE8+EF8</f>
        <v>0</v>
      </c>
      <c r="EH8" s="43"/>
      <c r="EI8" s="44"/>
    </row>
    <row r="9" spans="1:139" s="31" customFormat="1" ht="12.75">
      <c r="A9" s="30">
        <v>44652</v>
      </c>
      <c r="C9" s="21"/>
      <c r="D9" s="21">
        <v>135100</v>
      </c>
      <c r="E9" s="42">
        <f t="shared" si="0"/>
        <v>135100</v>
      </c>
      <c r="F9" s="42">
        <v>76179</v>
      </c>
      <c r="G9" s="42">
        <v>29566</v>
      </c>
      <c r="H9" s="44"/>
      <c r="I9" s="44">
        <f>'2012D Academic'!I9</f>
        <v>0</v>
      </c>
      <c r="J9" s="44">
        <f>'2012D Academic'!J9</f>
        <v>75736.06026</v>
      </c>
      <c r="K9" s="44">
        <f t="shared" si="1"/>
        <v>75736.06026</v>
      </c>
      <c r="L9" s="44">
        <f>'2012D Academic'!L9</f>
        <v>42705.38367540001</v>
      </c>
      <c r="M9" s="44">
        <f>'2012D Academic'!M9</f>
        <v>16574.4808116</v>
      </c>
      <c r="N9" s="44"/>
      <c r="O9" s="43"/>
      <c r="P9" s="45">
        <f t="shared" si="3"/>
        <v>59363.93974</v>
      </c>
      <c r="Q9" s="43">
        <f t="shared" si="4"/>
        <v>59363.93974</v>
      </c>
      <c r="R9" s="43">
        <f t="shared" si="5"/>
        <v>33473.6163246</v>
      </c>
      <c r="S9" s="45">
        <f t="shared" si="6"/>
        <v>12991.5191884</v>
      </c>
      <c r="T9" s="44"/>
      <c r="U9" s="44"/>
      <c r="V9" s="45">
        <f t="shared" si="8"/>
        <v>1009.8454800000001</v>
      </c>
      <c r="W9" s="44">
        <f t="shared" si="9"/>
        <v>1009.8454800000001</v>
      </c>
      <c r="X9" s="44">
        <f t="shared" si="10"/>
        <v>569.4227892</v>
      </c>
      <c r="Y9" s="44">
        <f t="shared" si="11"/>
        <v>220.9999368</v>
      </c>
      <c r="Z9" s="44"/>
      <c r="AA9" s="44"/>
      <c r="AB9" s="44">
        <f t="shared" si="13"/>
        <v>463.14982000000003</v>
      </c>
      <c r="AC9" s="43">
        <f t="shared" si="14"/>
        <v>463.14982000000003</v>
      </c>
      <c r="AD9" s="44">
        <f t="shared" si="15"/>
        <v>261.15684780000004</v>
      </c>
      <c r="AE9" s="44">
        <f t="shared" si="16"/>
        <v>101.35816120000001</v>
      </c>
      <c r="AF9" s="44"/>
      <c r="AG9" s="44"/>
      <c r="AH9" s="44">
        <f t="shared" si="18"/>
        <v>95.90749</v>
      </c>
      <c r="AI9" s="43">
        <f t="shared" si="19"/>
        <v>95.90749</v>
      </c>
      <c r="AJ9" s="44">
        <f t="shared" si="20"/>
        <v>54.0794721</v>
      </c>
      <c r="AK9" s="44">
        <f t="shared" si="21"/>
        <v>20.988903399999998</v>
      </c>
      <c r="AL9" s="44"/>
      <c r="AM9" s="44"/>
      <c r="AN9" s="44">
        <f t="shared" si="23"/>
        <v>10253.36046</v>
      </c>
      <c r="AO9" s="43">
        <f t="shared" si="24"/>
        <v>10253.36046</v>
      </c>
      <c r="AP9" s="44">
        <f t="shared" si="25"/>
        <v>5781.574733400001</v>
      </c>
      <c r="AQ9" s="44">
        <f t="shared" si="26"/>
        <v>2243.8997436</v>
      </c>
      <c r="AR9" s="44"/>
      <c r="AS9" s="44"/>
      <c r="AT9" s="44">
        <f t="shared" si="28"/>
        <v>56.390739999999994</v>
      </c>
      <c r="AU9" s="43">
        <f t="shared" si="29"/>
        <v>56.390739999999994</v>
      </c>
      <c r="AV9" s="44">
        <f t="shared" si="30"/>
        <v>31.7971146</v>
      </c>
      <c r="AW9" s="44">
        <f t="shared" si="31"/>
        <v>12.3408484</v>
      </c>
      <c r="AX9" s="44"/>
      <c r="AY9" s="44"/>
      <c r="AZ9" s="44">
        <f t="shared" si="33"/>
        <v>59.53857</v>
      </c>
      <c r="BA9" s="43">
        <f t="shared" si="34"/>
        <v>59.53857</v>
      </c>
      <c r="BB9" s="44">
        <f t="shared" si="35"/>
        <v>33.5720853</v>
      </c>
      <c r="BC9" s="44">
        <f t="shared" si="36"/>
        <v>13.029736199999999</v>
      </c>
      <c r="BD9" s="44"/>
      <c r="BE9" s="44"/>
      <c r="BF9" s="44">
        <f t="shared" si="38"/>
        <v>16.69836</v>
      </c>
      <c r="BG9" s="43">
        <f t="shared" si="39"/>
        <v>16.69836</v>
      </c>
      <c r="BH9" s="44">
        <f t="shared" si="40"/>
        <v>9.4157244</v>
      </c>
      <c r="BI9" s="44">
        <f t="shared" si="41"/>
        <v>3.6543576</v>
      </c>
      <c r="BJ9" s="44"/>
      <c r="BK9" s="44"/>
      <c r="BL9" s="44">
        <f t="shared" si="43"/>
        <v>307.70376</v>
      </c>
      <c r="BM9" s="43">
        <f t="shared" si="44"/>
        <v>307.70376</v>
      </c>
      <c r="BN9" s="44">
        <f t="shared" si="45"/>
        <v>173.50529039999998</v>
      </c>
      <c r="BO9" s="44">
        <f t="shared" si="46"/>
        <v>67.3395216</v>
      </c>
      <c r="BP9" s="44"/>
      <c r="BQ9" s="44"/>
      <c r="BR9" s="44">
        <f t="shared" si="48"/>
        <v>458.66450000000003</v>
      </c>
      <c r="BS9" s="43">
        <f t="shared" si="49"/>
        <v>458.66450000000003</v>
      </c>
      <c r="BT9" s="44">
        <f t="shared" si="50"/>
        <v>258.627705</v>
      </c>
      <c r="BU9" s="44">
        <f t="shared" si="51"/>
        <v>100.37657</v>
      </c>
      <c r="BV9" s="44"/>
      <c r="BW9" s="44"/>
      <c r="BX9" s="44">
        <f t="shared" si="53"/>
        <v>5404</v>
      </c>
      <c r="BY9" s="43">
        <f t="shared" si="54"/>
        <v>5404</v>
      </c>
      <c r="BZ9" s="44">
        <f t="shared" si="55"/>
        <v>3047.16</v>
      </c>
      <c r="CA9" s="44">
        <f t="shared" si="56"/>
        <v>1182.64</v>
      </c>
      <c r="CB9" s="44"/>
      <c r="CC9" s="44"/>
      <c r="CD9" s="44">
        <f t="shared" si="58"/>
        <v>268.06542</v>
      </c>
      <c r="CE9" s="43">
        <f t="shared" si="59"/>
        <v>268.06542</v>
      </c>
      <c r="CF9" s="44">
        <f t="shared" si="60"/>
        <v>151.1543718</v>
      </c>
      <c r="CG9" s="44">
        <f t="shared" si="61"/>
        <v>58.66485720000001</v>
      </c>
      <c r="CH9" s="44"/>
      <c r="CI9" s="44"/>
      <c r="CJ9" s="44">
        <f t="shared" si="63"/>
        <v>2143.0777900000003</v>
      </c>
      <c r="CK9" s="43">
        <f t="shared" si="64"/>
        <v>2143.0777900000003</v>
      </c>
      <c r="CL9" s="44">
        <f t="shared" si="65"/>
        <v>1208.4198591</v>
      </c>
      <c r="CM9" s="44">
        <f t="shared" si="66"/>
        <v>469.00250139999997</v>
      </c>
      <c r="CN9" s="44"/>
      <c r="CO9" s="44"/>
      <c r="CP9" s="44">
        <f t="shared" si="68"/>
        <v>1173.18138</v>
      </c>
      <c r="CQ9" s="43">
        <f t="shared" si="69"/>
        <v>1173.18138</v>
      </c>
      <c r="CR9" s="44">
        <f t="shared" si="70"/>
        <v>661.5232002</v>
      </c>
      <c r="CS9" s="44">
        <f t="shared" si="71"/>
        <v>256.7452308</v>
      </c>
      <c r="CT9" s="44"/>
      <c r="CU9" s="44"/>
      <c r="CV9" s="44">
        <f t="shared" si="73"/>
        <v>116.38865</v>
      </c>
      <c r="CW9" s="43">
        <f t="shared" si="74"/>
        <v>116.38865</v>
      </c>
      <c r="CX9" s="44">
        <f t="shared" si="75"/>
        <v>65.6282085</v>
      </c>
      <c r="CY9" s="44">
        <f t="shared" si="76"/>
        <v>25.471109</v>
      </c>
      <c r="CZ9" s="44"/>
      <c r="DA9" s="44"/>
      <c r="DB9" s="44">
        <f t="shared" si="78"/>
        <v>8268.525300000001</v>
      </c>
      <c r="DC9" s="43">
        <f t="shared" si="79"/>
        <v>8268.525300000001</v>
      </c>
      <c r="DD9" s="44">
        <f t="shared" si="80"/>
        <v>4662.383337</v>
      </c>
      <c r="DE9" s="44">
        <f t="shared" si="81"/>
        <v>1809.527898</v>
      </c>
      <c r="DF9" s="44"/>
      <c r="DG9" s="44"/>
      <c r="DH9" s="44">
        <f t="shared" si="83"/>
        <v>1949.57406</v>
      </c>
      <c r="DI9" s="43">
        <f t="shared" si="84"/>
        <v>1949.57406</v>
      </c>
      <c r="DJ9" s="44">
        <f t="shared" si="85"/>
        <v>1099.3086774</v>
      </c>
      <c r="DK9" s="44">
        <f t="shared" si="86"/>
        <v>426.6551196</v>
      </c>
      <c r="DL9" s="43"/>
      <c r="DM9" s="44"/>
      <c r="DN9" s="43">
        <f t="shared" si="88"/>
        <v>324.60477000000003</v>
      </c>
      <c r="DO9" s="43">
        <f t="shared" si="89"/>
        <v>324.60477000000003</v>
      </c>
      <c r="DP9" s="44">
        <f t="shared" si="90"/>
        <v>183.03528329999997</v>
      </c>
      <c r="DQ9" s="44">
        <f t="shared" si="91"/>
        <v>71.03822819999999</v>
      </c>
      <c r="DR9" s="44"/>
      <c r="DS9" s="44"/>
      <c r="DT9" s="44">
        <f t="shared" si="93"/>
        <v>349.39562000000006</v>
      </c>
      <c r="DU9" s="43">
        <f t="shared" si="94"/>
        <v>349.39562000000006</v>
      </c>
      <c r="DV9" s="44">
        <f t="shared" si="95"/>
        <v>197.01412979999998</v>
      </c>
      <c r="DW9" s="44">
        <f t="shared" si="96"/>
        <v>76.4635892</v>
      </c>
      <c r="DX9" s="44"/>
      <c r="DY9" s="44"/>
      <c r="DZ9" s="44">
        <f t="shared" si="98"/>
        <v>26645.867570000002</v>
      </c>
      <c r="EA9" s="43">
        <f t="shared" si="99"/>
        <v>26645.867570000002</v>
      </c>
      <c r="EB9" s="44">
        <f t="shared" si="100"/>
        <v>15024.8374953</v>
      </c>
      <c r="EC9" s="44">
        <f t="shared" si="101"/>
        <v>5831.3228762</v>
      </c>
      <c r="ED9" s="44"/>
      <c r="EE9" s="43"/>
      <c r="EF9" s="43"/>
      <c r="EG9" s="43">
        <f t="shared" si="102"/>
        <v>0</v>
      </c>
      <c r="EH9" s="43"/>
      <c r="EI9" s="44"/>
    </row>
    <row r="10" spans="1:139" s="31" customFormat="1" ht="12.75">
      <c r="A10" s="30">
        <v>44835</v>
      </c>
      <c r="C10" s="21"/>
      <c r="D10" s="21">
        <v>135100</v>
      </c>
      <c r="E10" s="42">
        <f t="shared" si="0"/>
        <v>135100</v>
      </c>
      <c r="F10" s="42">
        <v>76179</v>
      </c>
      <c r="G10" s="42">
        <v>29566</v>
      </c>
      <c r="H10" s="44"/>
      <c r="I10" s="44">
        <f>'2012D Academic'!I10</f>
        <v>0</v>
      </c>
      <c r="J10" s="44">
        <f>'2012D Academic'!J10</f>
        <v>75736.06026</v>
      </c>
      <c r="K10" s="44">
        <f t="shared" si="1"/>
        <v>75736.06026</v>
      </c>
      <c r="L10" s="44">
        <f>'2012D Academic'!L10</f>
        <v>42705.38367540001</v>
      </c>
      <c r="M10" s="44">
        <f>'2012D Academic'!M10</f>
        <v>16574.4808116</v>
      </c>
      <c r="N10" s="44"/>
      <c r="O10" s="43">
        <f t="shared" si="2"/>
        <v>0</v>
      </c>
      <c r="P10" s="45">
        <f t="shared" si="3"/>
        <v>59363.93974</v>
      </c>
      <c r="Q10" s="43">
        <f t="shared" si="4"/>
        <v>59363.93974</v>
      </c>
      <c r="R10" s="43">
        <f t="shared" si="5"/>
        <v>33473.6163246</v>
      </c>
      <c r="S10" s="45">
        <f t="shared" si="6"/>
        <v>12991.5191884</v>
      </c>
      <c r="T10" s="44"/>
      <c r="U10" s="44">
        <f t="shared" si="7"/>
        <v>0</v>
      </c>
      <c r="V10" s="45">
        <f t="shared" si="8"/>
        <v>1009.8454800000001</v>
      </c>
      <c r="W10" s="44">
        <f t="shared" si="9"/>
        <v>1009.8454800000001</v>
      </c>
      <c r="X10" s="44">
        <f t="shared" si="10"/>
        <v>569.4227892</v>
      </c>
      <c r="Y10" s="44">
        <f t="shared" si="11"/>
        <v>220.9999368</v>
      </c>
      <c r="Z10" s="44"/>
      <c r="AA10" s="44">
        <f t="shared" si="12"/>
        <v>0</v>
      </c>
      <c r="AB10" s="44">
        <f t="shared" si="13"/>
        <v>463.14982000000003</v>
      </c>
      <c r="AC10" s="43">
        <f t="shared" si="14"/>
        <v>463.14982000000003</v>
      </c>
      <c r="AD10" s="44">
        <f t="shared" si="15"/>
        <v>261.15684780000004</v>
      </c>
      <c r="AE10" s="44">
        <f t="shared" si="16"/>
        <v>101.35816120000001</v>
      </c>
      <c r="AF10" s="44"/>
      <c r="AG10" s="44">
        <f t="shared" si="17"/>
        <v>0</v>
      </c>
      <c r="AH10" s="44">
        <f t="shared" si="18"/>
        <v>95.90749</v>
      </c>
      <c r="AI10" s="43">
        <f t="shared" si="19"/>
        <v>95.90749</v>
      </c>
      <c r="AJ10" s="44">
        <f t="shared" si="20"/>
        <v>54.0794721</v>
      </c>
      <c r="AK10" s="44">
        <f t="shared" si="21"/>
        <v>20.988903399999998</v>
      </c>
      <c r="AL10" s="44"/>
      <c r="AM10" s="44">
        <f t="shared" si="22"/>
        <v>0</v>
      </c>
      <c r="AN10" s="44">
        <f t="shared" si="23"/>
        <v>10253.36046</v>
      </c>
      <c r="AO10" s="43">
        <f t="shared" si="24"/>
        <v>10253.36046</v>
      </c>
      <c r="AP10" s="44">
        <f t="shared" si="25"/>
        <v>5781.574733400001</v>
      </c>
      <c r="AQ10" s="44">
        <f t="shared" si="26"/>
        <v>2243.8997436</v>
      </c>
      <c r="AR10" s="44"/>
      <c r="AS10" s="44">
        <f t="shared" si="27"/>
        <v>0</v>
      </c>
      <c r="AT10" s="44">
        <f t="shared" si="28"/>
        <v>56.390739999999994</v>
      </c>
      <c r="AU10" s="43">
        <f t="shared" si="29"/>
        <v>56.390739999999994</v>
      </c>
      <c r="AV10" s="44">
        <f t="shared" si="30"/>
        <v>31.7971146</v>
      </c>
      <c r="AW10" s="44">
        <f t="shared" si="31"/>
        <v>12.3408484</v>
      </c>
      <c r="AX10" s="44"/>
      <c r="AY10" s="44">
        <f t="shared" si="32"/>
        <v>0</v>
      </c>
      <c r="AZ10" s="44">
        <f t="shared" si="33"/>
        <v>59.53857</v>
      </c>
      <c r="BA10" s="43">
        <f t="shared" si="34"/>
        <v>59.53857</v>
      </c>
      <c r="BB10" s="44">
        <f t="shared" si="35"/>
        <v>33.5720853</v>
      </c>
      <c r="BC10" s="44">
        <f t="shared" si="36"/>
        <v>13.029736199999999</v>
      </c>
      <c r="BD10" s="44"/>
      <c r="BE10" s="44">
        <f t="shared" si="37"/>
        <v>0</v>
      </c>
      <c r="BF10" s="44">
        <f t="shared" si="38"/>
        <v>16.69836</v>
      </c>
      <c r="BG10" s="43">
        <f t="shared" si="39"/>
        <v>16.69836</v>
      </c>
      <c r="BH10" s="44">
        <f t="shared" si="40"/>
        <v>9.4157244</v>
      </c>
      <c r="BI10" s="44">
        <f t="shared" si="41"/>
        <v>3.6543576</v>
      </c>
      <c r="BJ10" s="44"/>
      <c r="BK10" s="44">
        <f t="shared" si="42"/>
        <v>0</v>
      </c>
      <c r="BL10" s="44">
        <f t="shared" si="43"/>
        <v>307.70376</v>
      </c>
      <c r="BM10" s="43">
        <f t="shared" si="44"/>
        <v>307.70376</v>
      </c>
      <c r="BN10" s="44">
        <f t="shared" si="45"/>
        <v>173.50529039999998</v>
      </c>
      <c r="BO10" s="44">
        <f t="shared" si="46"/>
        <v>67.3395216</v>
      </c>
      <c r="BP10" s="44"/>
      <c r="BQ10" s="44">
        <f t="shared" si="47"/>
        <v>0</v>
      </c>
      <c r="BR10" s="44">
        <f t="shared" si="48"/>
        <v>458.66450000000003</v>
      </c>
      <c r="BS10" s="43">
        <f t="shared" si="49"/>
        <v>458.66450000000003</v>
      </c>
      <c r="BT10" s="44">
        <f t="shared" si="50"/>
        <v>258.627705</v>
      </c>
      <c r="BU10" s="44">
        <f t="shared" si="51"/>
        <v>100.37657</v>
      </c>
      <c r="BV10" s="44"/>
      <c r="BW10" s="44">
        <f t="shared" si="52"/>
        <v>0</v>
      </c>
      <c r="BX10" s="44">
        <f t="shared" si="53"/>
        <v>5404</v>
      </c>
      <c r="BY10" s="43">
        <f t="shared" si="54"/>
        <v>5404</v>
      </c>
      <c r="BZ10" s="44">
        <f t="shared" si="55"/>
        <v>3047.16</v>
      </c>
      <c r="CA10" s="44">
        <f t="shared" si="56"/>
        <v>1182.64</v>
      </c>
      <c r="CB10" s="44"/>
      <c r="CC10" s="44">
        <f t="shared" si="57"/>
        <v>0</v>
      </c>
      <c r="CD10" s="44">
        <f t="shared" si="58"/>
        <v>268.06542</v>
      </c>
      <c r="CE10" s="43">
        <f t="shared" si="59"/>
        <v>268.06542</v>
      </c>
      <c r="CF10" s="44">
        <f t="shared" si="60"/>
        <v>151.1543718</v>
      </c>
      <c r="CG10" s="44">
        <f t="shared" si="61"/>
        <v>58.66485720000001</v>
      </c>
      <c r="CH10" s="44"/>
      <c r="CI10" s="44">
        <f t="shared" si="62"/>
        <v>0</v>
      </c>
      <c r="CJ10" s="44">
        <f t="shared" si="63"/>
        <v>2143.0777900000003</v>
      </c>
      <c r="CK10" s="43">
        <f t="shared" si="64"/>
        <v>2143.0777900000003</v>
      </c>
      <c r="CL10" s="44">
        <f t="shared" si="65"/>
        <v>1208.4198591</v>
      </c>
      <c r="CM10" s="44">
        <f t="shared" si="66"/>
        <v>469.00250139999997</v>
      </c>
      <c r="CN10" s="44"/>
      <c r="CO10" s="44">
        <f t="shared" si="67"/>
        <v>0</v>
      </c>
      <c r="CP10" s="44">
        <f t="shared" si="68"/>
        <v>1173.18138</v>
      </c>
      <c r="CQ10" s="43">
        <f t="shared" si="69"/>
        <v>1173.18138</v>
      </c>
      <c r="CR10" s="44">
        <f t="shared" si="70"/>
        <v>661.5232002</v>
      </c>
      <c r="CS10" s="44">
        <f t="shared" si="71"/>
        <v>256.7452308</v>
      </c>
      <c r="CT10" s="44"/>
      <c r="CU10" s="44">
        <f t="shared" si="72"/>
        <v>0</v>
      </c>
      <c r="CV10" s="44">
        <f t="shared" si="73"/>
        <v>116.38865</v>
      </c>
      <c r="CW10" s="43">
        <f t="shared" si="74"/>
        <v>116.38865</v>
      </c>
      <c r="CX10" s="44">
        <f t="shared" si="75"/>
        <v>65.6282085</v>
      </c>
      <c r="CY10" s="44">
        <f t="shared" si="76"/>
        <v>25.471109</v>
      </c>
      <c r="CZ10" s="44"/>
      <c r="DA10" s="44">
        <f t="shared" si="77"/>
        <v>0</v>
      </c>
      <c r="DB10" s="44">
        <f t="shared" si="78"/>
        <v>8268.525300000001</v>
      </c>
      <c r="DC10" s="43">
        <f t="shared" si="79"/>
        <v>8268.525300000001</v>
      </c>
      <c r="DD10" s="44">
        <f t="shared" si="80"/>
        <v>4662.383337</v>
      </c>
      <c r="DE10" s="44">
        <f t="shared" si="81"/>
        <v>1809.527898</v>
      </c>
      <c r="DF10" s="44"/>
      <c r="DG10" s="44">
        <f t="shared" si="82"/>
        <v>0</v>
      </c>
      <c r="DH10" s="44">
        <f t="shared" si="83"/>
        <v>1949.57406</v>
      </c>
      <c r="DI10" s="43">
        <f t="shared" si="84"/>
        <v>1949.57406</v>
      </c>
      <c r="DJ10" s="44">
        <f t="shared" si="85"/>
        <v>1099.3086774</v>
      </c>
      <c r="DK10" s="44">
        <f t="shared" si="86"/>
        <v>426.6551196</v>
      </c>
      <c r="DL10" s="43"/>
      <c r="DM10" s="44">
        <f t="shared" si="87"/>
        <v>0</v>
      </c>
      <c r="DN10" s="43">
        <f t="shared" si="88"/>
        <v>324.60477000000003</v>
      </c>
      <c r="DO10" s="43">
        <f t="shared" si="89"/>
        <v>324.60477000000003</v>
      </c>
      <c r="DP10" s="44">
        <f t="shared" si="90"/>
        <v>183.03528329999997</v>
      </c>
      <c r="DQ10" s="44">
        <f t="shared" si="91"/>
        <v>71.03822819999999</v>
      </c>
      <c r="DR10" s="44"/>
      <c r="DS10" s="44">
        <f t="shared" si="92"/>
        <v>0</v>
      </c>
      <c r="DT10" s="44">
        <f t="shared" si="93"/>
        <v>349.39562000000006</v>
      </c>
      <c r="DU10" s="43">
        <f t="shared" si="94"/>
        <v>349.39562000000006</v>
      </c>
      <c r="DV10" s="44">
        <f t="shared" si="95"/>
        <v>197.01412979999998</v>
      </c>
      <c r="DW10" s="44">
        <f t="shared" si="96"/>
        <v>76.4635892</v>
      </c>
      <c r="DX10" s="44"/>
      <c r="DY10" s="44">
        <f t="shared" si="97"/>
        <v>0</v>
      </c>
      <c r="DZ10" s="44">
        <f t="shared" si="98"/>
        <v>26645.867570000002</v>
      </c>
      <c r="EA10" s="43">
        <f t="shared" si="99"/>
        <v>26645.867570000002</v>
      </c>
      <c r="EB10" s="44">
        <f t="shared" si="100"/>
        <v>15024.8374953</v>
      </c>
      <c r="EC10" s="44">
        <f t="shared" si="101"/>
        <v>5831.3228762</v>
      </c>
      <c r="ED10" s="44"/>
      <c r="EE10" s="43"/>
      <c r="EF10" s="43"/>
      <c r="EG10" s="43">
        <f t="shared" si="102"/>
        <v>0</v>
      </c>
      <c r="EH10" s="43"/>
      <c r="EI10" s="44"/>
    </row>
    <row r="11" spans="1:139" s="31" customFormat="1" ht="12.75">
      <c r="A11" s="30">
        <v>45017</v>
      </c>
      <c r="C11" s="21"/>
      <c r="D11" s="21">
        <v>135100</v>
      </c>
      <c r="E11" s="42">
        <f t="shared" si="0"/>
        <v>135100</v>
      </c>
      <c r="F11" s="42">
        <v>76179</v>
      </c>
      <c r="G11" s="42">
        <v>29566</v>
      </c>
      <c r="H11" s="44"/>
      <c r="I11" s="44">
        <f>'2012D Academic'!I11</f>
        <v>0</v>
      </c>
      <c r="J11" s="44">
        <f>'2012D Academic'!J11</f>
        <v>75736.06026</v>
      </c>
      <c r="K11" s="44">
        <f t="shared" si="1"/>
        <v>75736.06026</v>
      </c>
      <c r="L11" s="44">
        <f>'2012D Academic'!L11</f>
        <v>42705.38367540001</v>
      </c>
      <c r="M11" s="44">
        <f>'2012D Academic'!M11</f>
        <v>16574.4808116</v>
      </c>
      <c r="N11" s="44"/>
      <c r="O11" s="43"/>
      <c r="P11" s="45">
        <f t="shared" si="3"/>
        <v>59363.93974</v>
      </c>
      <c r="Q11" s="43">
        <f t="shared" si="4"/>
        <v>59363.93974</v>
      </c>
      <c r="R11" s="43">
        <f t="shared" si="5"/>
        <v>33473.6163246</v>
      </c>
      <c r="S11" s="45">
        <f t="shared" si="6"/>
        <v>12991.5191884</v>
      </c>
      <c r="T11" s="44"/>
      <c r="U11" s="44"/>
      <c r="V11" s="45">
        <f t="shared" si="8"/>
        <v>1009.8454800000001</v>
      </c>
      <c r="W11" s="44">
        <f t="shared" si="9"/>
        <v>1009.8454800000001</v>
      </c>
      <c r="X11" s="44">
        <f t="shared" si="10"/>
        <v>569.4227892</v>
      </c>
      <c r="Y11" s="44">
        <f t="shared" si="11"/>
        <v>220.9999368</v>
      </c>
      <c r="Z11" s="44"/>
      <c r="AA11" s="44"/>
      <c r="AB11" s="44">
        <f t="shared" si="13"/>
        <v>463.14982000000003</v>
      </c>
      <c r="AC11" s="43">
        <f t="shared" si="14"/>
        <v>463.14982000000003</v>
      </c>
      <c r="AD11" s="44">
        <f t="shared" si="15"/>
        <v>261.15684780000004</v>
      </c>
      <c r="AE11" s="44">
        <f t="shared" si="16"/>
        <v>101.35816120000001</v>
      </c>
      <c r="AF11" s="44"/>
      <c r="AG11" s="44"/>
      <c r="AH11" s="44">
        <f t="shared" si="18"/>
        <v>95.90749</v>
      </c>
      <c r="AI11" s="43">
        <f t="shared" si="19"/>
        <v>95.90749</v>
      </c>
      <c r="AJ11" s="44">
        <f t="shared" si="20"/>
        <v>54.0794721</v>
      </c>
      <c r="AK11" s="44">
        <f t="shared" si="21"/>
        <v>20.988903399999998</v>
      </c>
      <c r="AL11" s="44"/>
      <c r="AM11" s="44"/>
      <c r="AN11" s="44">
        <f t="shared" si="23"/>
        <v>10253.36046</v>
      </c>
      <c r="AO11" s="43">
        <f t="shared" si="24"/>
        <v>10253.36046</v>
      </c>
      <c r="AP11" s="44">
        <f t="shared" si="25"/>
        <v>5781.574733400001</v>
      </c>
      <c r="AQ11" s="44">
        <f t="shared" si="26"/>
        <v>2243.8997436</v>
      </c>
      <c r="AR11" s="44"/>
      <c r="AS11" s="44"/>
      <c r="AT11" s="44">
        <f t="shared" si="28"/>
        <v>56.390739999999994</v>
      </c>
      <c r="AU11" s="43">
        <f t="shared" si="29"/>
        <v>56.390739999999994</v>
      </c>
      <c r="AV11" s="44">
        <f t="shared" si="30"/>
        <v>31.7971146</v>
      </c>
      <c r="AW11" s="44">
        <f t="shared" si="31"/>
        <v>12.3408484</v>
      </c>
      <c r="AX11" s="44"/>
      <c r="AY11" s="44"/>
      <c r="AZ11" s="44">
        <f t="shared" si="33"/>
        <v>59.53857</v>
      </c>
      <c r="BA11" s="43">
        <f t="shared" si="34"/>
        <v>59.53857</v>
      </c>
      <c r="BB11" s="44">
        <f t="shared" si="35"/>
        <v>33.5720853</v>
      </c>
      <c r="BC11" s="44">
        <f t="shared" si="36"/>
        <v>13.029736199999999</v>
      </c>
      <c r="BD11" s="44"/>
      <c r="BE11" s="44"/>
      <c r="BF11" s="44">
        <f t="shared" si="38"/>
        <v>16.69836</v>
      </c>
      <c r="BG11" s="43">
        <f t="shared" si="39"/>
        <v>16.69836</v>
      </c>
      <c r="BH11" s="44">
        <f t="shared" si="40"/>
        <v>9.4157244</v>
      </c>
      <c r="BI11" s="44">
        <f t="shared" si="41"/>
        <v>3.6543576</v>
      </c>
      <c r="BJ11" s="44"/>
      <c r="BK11" s="44"/>
      <c r="BL11" s="44">
        <f t="shared" si="43"/>
        <v>307.70376</v>
      </c>
      <c r="BM11" s="43">
        <f t="shared" si="44"/>
        <v>307.70376</v>
      </c>
      <c r="BN11" s="44">
        <f t="shared" si="45"/>
        <v>173.50529039999998</v>
      </c>
      <c r="BO11" s="44">
        <f t="shared" si="46"/>
        <v>67.3395216</v>
      </c>
      <c r="BP11" s="44"/>
      <c r="BQ11" s="44"/>
      <c r="BR11" s="44">
        <f t="shared" si="48"/>
        <v>458.66450000000003</v>
      </c>
      <c r="BS11" s="43">
        <f t="shared" si="49"/>
        <v>458.66450000000003</v>
      </c>
      <c r="BT11" s="44">
        <f t="shared" si="50"/>
        <v>258.627705</v>
      </c>
      <c r="BU11" s="44">
        <f t="shared" si="51"/>
        <v>100.37657</v>
      </c>
      <c r="BV11" s="44"/>
      <c r="BW11" s="44"/>
      <c r="BX11" s="44">
        <f t="shared" si="53"/>
        <v>5404</v>
      </c>
      <c r="BY11" s="43">
        <f t="shared" si="54"/>
        <v>5404</v>
      </c>
      <c r="BZ11" s="44">
        <f t="shared" si="55"/>
        <v>3047.16</v>
      </c>
      <c r="CA11" s="44">
        <f t="shared" si="56"/>
        <v>1182.64</v>
      </c>
      <c r="CB11" s="44"/>
      <c r="CC11" s="44"/>
      <c r="CD11" s="44">
        <f t="shared" si="58"/>
        <v>268.06542</v>
      </c>
      <c r="CE11" s="43">
        <f t="shared" si="59"/>
        <v>268.06542</v>
      </c>
      <c r="CF11" s="44">
        <f t="shared" si="60"/>
        <v>151.1543718</v>
      </c>
      <c r="CG11" s="44">
        <f t="shared" si="61"/>
        <v>58.66485720000001</v>
      </c>
      <c r="CH11" s="44"/>
      <c r="CI11" s="44"/>
      <c r="CJ11" s="44">
        <f t="shared" si="63"/>
        <v>2143.0777900000003</v>
      </c>
      <c r="CK11" s="43">
        <f t="shared" si="64"/>
        <v>2143.0777900000003</v>
      </c>
      <c r="CL11" s="44">
        <f t="shared" si="65"/>
        <v>1208.4198591</v>
      </c>
      <c r="CM11" s="44">
        <f t="shared" si="66"/>
        <v>469.00250139999997</v>
      </c>
      <c r="CN11" s="44"/>
      <c r="CO11" s="44"/>
      <c r="CP11" s="44">
        <f t="shared" si="68"/>
        <v>1173.18138</v>
      </c>
      <c r="CQ11" s="43">
        <f t="shared" si="69"/>
        <v>1173.18138</v>
      </c>
      <c r="CR11" s="44">
        <f t="shared" si="70"/>
        <v>661.5232002</v>
      </c>
      <c r="CS11" s="44">
        <f t="shared" si="71"/>
        <v>256.7452308</v>
      </c>
      <c r="CT11" s="44"/>
      <c r="CU11" s="44"/>
      <c r="CV11" s="44">
        <f t="shared" si="73"/>
        <v>116.38865</v>
      </c>
      <c r="CW11" s="43">
        <f t="shared" si="74"/>
        <v>116.38865</v>
      </c>
      <c r="CX11" s="44">
        <f t="shared" si="75"/>
        <v>65.6282085</v>
      </c>
      <c r="CY11" s="44">
        <f t="shared" si="76"/>
        <v>25.471109</v>
      </c>
      <c r="CZ11" s="44"/>
      <c r="DA11" s="44"/>
      <c r="DB11" s="44">
        <f t="shared" si="78"/>
        <v>8268.525300000001</v>
      </c>
      <c r="DC11" s="43">
        <f t="shared" si="79"/>
        <v>8268.525300000001</v>
      </c>
      <c r="DD11" s="44">
        <f t="shared" si="80"/>
        <v>4662.383337</v>
      </c>
      <c r="DE11" s="44">
        <f t="shared" si="81"/>
        <v>1809.527898</v>
      </c>
      <c r="DF11" s="44"/>
      <c r="DG11" s="44"/>
      <c r="DH11" s="44">
        <f t="shared" si="83"/>
        <v>1949.57406</v>
      </c>
      <c r="DI11" s="43">
        <f t="shared" si="84"/>
        <v>1949.57406</v>
      </c>
      <c r="DJ11" s="44">
        <f t="shared" si="85"/>
        <v>1099.3086774</v>
      </c>
      <c r="DK11" s="44">
        <f t="shared" si="86"/>
        <v>426.6551196</v>
      </c>
      <c r="DL11" s="43"/>
      <c r="DM11" s="44"/>
      <c r="DN11" s="43">
        <f t="shared" si="88"/>
        <v>324.60477000000003</v>
      </c>
      <c r="DO11" s="43">
        <f t="shared" si="89"/>
        <v>324.60477000000003</v>
      </c>
      <c r="DP11" s="44">
        <f t="shared" si="90"/>
        <v>183.03528329999997</v>
      </c>
      <c r="DQ11" s="44">
        <f t="shared" si="91"/>
        <v>71.03822819999999</v>
      </c>
      <c r="DR11" s="44"/>
      <c r="DS11" s="44"/>
      <c r="DT11" s="44">
        <f t="shared" si="93"/>
        <v>349.39562000000006</v>
      </c>
      <c r="DU11" s="43">
        <f t="shared" si="94"/>
        <v>349.39562000000006</v>
      </c>
      <c r="DV11" s="44">
        <f t="shared" si="95"/>
        <v>197.01412979999998</v>
      </c>
      <c r="DW11" s="44">
        <f t="shared" si="96"/>
        <v>76.4635892</v>
      </c>
      <c r="DX11" s="44"/>
      <c r="DY11" s="44"/>
      <c r="DZ11" s="44">
        <f t="shared" si="98"/>
        <v>26645.867570000002</v>
      </c>
      <c r="EA11" s="43">
        <f t="shared" si="99"/>
        <v>26645.867570000002</v>
      </c>
      <c r="EB11" s="44">
        <f t="shared" si="100"/>
        <v>15024.8374953</v>
      </c>
      <c r="EC11" s="44">
        <f t="shared" si="101"/>
        <v>5831.3228762</v>
      </c>
      <c r="ED11" s="44"/>
      <c r="EE11" s="43"/>
      <c r="EF11" s="43"/>
      <c r="EG11" s="43">
        <f t="shared" si="102"/>
        <v>0</v>
      </c>
      <c r="EH11" s="43"/>
      <c r="EI11" s="44"/>
    </row>
    <row r="12" spans="1:139" s="31" customFormat="1" ht="12.75">
      <c r="A12" s="30">
        <v>45200</v>
      </c>
      <c r="C12" s="21">
        <v>3310000</v>
      </c>
      <c r="D12" s="21">
        <v>135100</v>
      </c>
      <c r="E12" s="42">
        <f t="shared" si="0"/>
        <v>3445100</v>
      </c>
      <c r="F12" s="42">
        <v>76179</v>
      </c>
      <c r="G12" s="42">
        <v>29566</v>
      </c>
      <c r="H12" s="44"/>
      <c r="I12" s="44">
        <f>'2012D Academic'!I12</f>
        <v>1855561.506</v>
      </c>
      <c r="J12" s="44">
        <f>'2012D Academic'!J12</f>
        <v>75736.06026</v>
      </c>
      <c r="K12" s="44">
        <f t="shared" si="1"/>
        <v>1931297.56626</v>
      </c>
      <c r="L12" s="44">
        <f>'2012D Academic'!L12</f>
        <v>42705.38367540001</v>
      </c>
      <c r="M12" s="44">
        <f>'2012D Academic'!M12</f>
        <v>16574.4808116</v>
      </c>
      <c r="N12" s="44"/>
      <c r="O12" s="43">
        <f t="shared" si="2"/>
        <v>1454438.494</v>
      </c>
      <c r="P12" s="45">
        <f t="shared" si="3"/>
        <v>59363.93974</v>
      </c>
      <c r="Q12" s="43">
        <f t="shared" si="4"/>
        <v>1513802.43374</v>
      </c>
      <c r="R12" s="43">
        <f t="shared" si="5"/>
        <v>33473.6163246</v>
      </c>
      <c r="S12" s="45">
        <f t="shared" si="6"/>
        <v>12991.5191884</v>
      </c>
      <c r="T12" s="44"/>
      <c r="U12" s="44">
        <f t="shared" si="7"/>
        <v>24741.588</v>
      </c>
      <c r="V12" s="45">
        <f t="shared" si="8"/>
        <v>1009.8454800000001</v>
      </c>
      <c r="W12" s="44">
        <f t="shared" si="9"/>
        <v>25751.43348</v>
      </c>
      <c r="X12" s="44">
        <f t="shared" si="10"/>
        <v>569.4227892</v>
      </c>
      <c r="Y12" s="44">
        <f t="shared" si="11"/>
        <v>220.9999368</v>
      </c>
      <c r="Z12" s="44"/>
      <c r="AA12" s="44">
        <f t="shared" si="12"/>
        <v>11347.342</v>
      </c>
      <c r="AB12" s="44">
        <f t="shared" si="13"/>
        <v>463.14982000000003</v>
      </c>
      <c r="AC12" s="43">
        <f t="shared" si="14"/>
        <v>11810.491820000001</v>
      </c>
      <c r="AD12" s="44">
        <f t="shared" si="15"/>
        <v>261.15684780000004</v>
      </c>
      <c r="AE12" s="44">
        <f t="shared" si="16"/>
        <v>101.35816120000001</v>
      </c>
      <c r="AF12" s="44"/>
      <c r="AG12" s="44">
        <f t="shared" si="17"/>
        <v>2349.769</v>
      </c>
      <c r="AH12" s="44">
        <f t="shared" si="18"/>
        <v>95.90749</v>
      </c>
      <c r="AI12" s="43">
        <f t="shared" si="19"/>
        <v>2445.67649</v>
      </c>
      <c r="AJ12" s="44">
        <f t="shared" si="20"/>
        <v>54.0794721</v>
      </c>
      <c r="AK12" s="44">
        <f t="shared" si="21"/>
        <v>20.988903399999998</v>
      </c>
      <c r="AL12" s="44"/>
      <c r="AM12" s="44">
        <f t="shared" si="22"/>
        <v>251211.12600000002</v>
      </c>
      <c r="AN12" s="44">
        <f t="shared" si="23"/>
        <v>10253.36046</v>
      </c>
      <c r="AO12" s="43">
        <f t="shared" si="24"/>
        <v>261464.48646000001</v>
      </c>
      <c r="AP12" s="44">
        <f t="shared" si="25"/>
        <v>5781.574733400001</v>
      </c>
      <c r="AQ12" s="44">
        <f t="shared" si="26"/>
        <v>2243.8997436</v>
      </c>
      <c r="AR12" s="44"/>
      <c r="AS12" s="44">
        <f t="shared" si="27"/>
        <v>1381.594</v>
      </c>
      <c r="AT12" s="44">
        <f t="shared" si="28"/>
        <v>56.390739999999994</v>
      </c>
      <c r="AU12" s="43">
        <f t="shared" si="29"/>
        <v>1437.98474</v>
      </c>
      <c r="AV12" s="44">
        <f t="shared" si="30"/>
        <v>31.7971146</v>
      </c>
      <c r="AW12" s="44">
        <f t="shared" si="31"/>
        <v>12.3408484</v>
      </c>
      <c r="AX12" s="44"/>
      <c r="AY12" s="44">
        <f t="shared" si="32"/>
        <v>1458.7169999999999</v>
      </c>
      <c r="AZ12" s="44">
        <f t="shared" si="33"/>
        <v>59.53857</v>
      </c>
      <c r="BA12" s="43">
        <f t="shared" si="34"/>
        <v>1518.2555699999998</v>
      </c>
      <c r="BB12" s="44">
        <f t="shared" si="35"/>
        <v>33.5720853</v>
      </c>
      <c r="BC12" s="44">
        <f t="shared" si="36"/>
        <v>13.029736199999999</v>
      </c>
      <c r="BD12" s="44"/>
      <c r="BE12" s="44">
        <f t="shared" si="37"/>
        <v>409.116</v>
      </c>
      <c r="BF12" s="44">
        <f t="shared" si="38"/>
        <v>16.69836</v>
      </c>
      <c r="BG12" s="43">
        <f t="shared" si="39"/>
        <v>425.81435999999997</v>
      </c>
      <c r="BH12" s="44">
        <f t="shared" si="40"/>
        <v>9.4157244</v>
      </c>
      <c r="BI12" s="44">
        <f t="shared" si="41"/>
        <v>3.6543576</v>
      </c>
      <c r="BJ12" s="44"/>
      <c r="BK12" s="44">
        <f t="shared" si="42"/>
        <v>7538.856</v>
      </c>
      <c r="BL12" s="44">
        <f t="shared" si="43"/>
        <v>307.70376</v>
      </c>
      <c r="BM12" s="43">
        <f t="shared" si="44"/>
        <v>7846.55976</v>
      </c>
      <c r="BN12" s="44">
        <f t="shared" si="45"/>
        <v>173.50529039999998</v>
      </c>
      <c r="BO12" s="44">
        <f t="shared" si="46"/>
        <v>67.3395216</v>
      </c>
      <c r="BP12" s="44"/>
      <c r="BQ12" s="44">
        <f t="shared" si="47"/>
        <v>11237.45</v>
      </c>
      <c r="BR12" s="44">
        <f t="shared" si="48"/>
        <v>458.66450000000003</v>
      </c>
      <c r="BS12" s="43">
        <f t="shared" si="49"/>
        <v>11696.114500000001</v>
      </c>
      <c r="BT12" s="44">
        <f t="shared" si="50"/>
        <v>258.627705</v>
      </c>
      <c r="BU12" s="44">
        <f t="shared" si="51"/>
        <v>100.37657</v>
      </c>
      <c r="BV12" s="44"/>
      <c r="BW12" s="44">
        <f t="shared" si="52"/>
        <v>132400</v>
      </c>
      <c r="BX12" s="44">
        <f t="shared" si="53"/>
        <v>5404</v>
      </c>
      <c r="BY12" s="43">
        <f t="shared" si="54"/>
        <v>137804</v>
      </c>
      <c r="BZ12" s="44">
        <f t="shared" si="55"/>
        <v>3047.16</v>
      </c>
      <c r="CA12" s="44">
        <f t="shared" si="56"/>
        <v>1182.64</v>
      </c>
      <c r="CB12" s="44"/>
      <c r="CC12" s="44">
        <f t="shared" si="57"/>
        <v>6567.702</v>
      </c>
      <c r="CD12" s="44">
        <f t="shared" si="58"/>
        <v>268.06542</v>
      </c>
      <c r="CE12" s="43">
        <f t="shared" si="59"/>
        <v>6835.76742</v>
      </c>
      <c r="CF12" s="44">
        <f t="shared" si="60"/>
        <v>151.1543718</v>
      </c>
      <c r="CG12" s="44">
        <f t="shared" si="61"/>
        <v>58.66485720000001</v>
      </c>
      <c r="CH12" s="44"/>
      <c r="CI12" s="44">
        <f t="shared" si="62"/>
        <v>52506.199</v>
      </c>
      <c r="CJ12" s="44">
        <f t="shared" si="63"/>
        <v>2143.0777900000003</v>
      </c>
      <c r="CK12" s="43">
        <f t="shared" si="64"/>
        <v>54649.27679</v>
      </c>
      <c r="CL12" s="44">
        <f t="shared" si="65"/>
        <v>1208.4198591</v>
      </c>
      <c r="CM12" s="44">
        <f t="shared" si="66"/>
        <v>469.00250139999997</v>
      </c>
      <c r="CN12" s="44"/>
      <c r="CO12" s="44">
        <f t="shared" si="67"/>
        <v>28743.378</v>
      </c>
      <c r="CP12" s="44">
        <f t="shared" si="68"/>
        <v>1173.18138</v>
      </c>
      <c r="CQ12" s="43">
        <f t="shared" si="69"/>
        <v>29916.55938</v>
      </c>
      <c r="CR12" s="44">
        <f t="shared" si="70"/>
        <v>661.5232002</v>
      </c>
      <c r="CS12" s="44">
        <f t="shared" si="71"/>
        <v>256.7452308</v>
      </c>
      <c r="CT12" s="44"/>
      <c r="CU12" s="44">
        <f t="shared" si="72"/>
        <v>2851.565</v>
      </c>
      <c r="CV12" s="44">
        <f t="shared" si="73"/>
        <v>116.38865</v>
      </c>
      <c r="CW12" s="43">
        <f t="shared" si="74"/>
        <v>2967.95365</v>
      </c>
      <c r="CX12" s="44">
        <f t="shared" si="75"/>
        <v>65.6282085</v>
      </c>
      <c r="CY12" s="44">
        <f t="shared" si="76"/>
        <v>25.471109</v>
      </c>
      <c r="CZ12" s="44"/>
      <c r="DA12" s="44">
        <f t="shared" si="77"/>
        <v>202581.93</v>
      </c>
      <c r="DB12" s="44">
        <f t="shared" si="78"/>
        <v>8268.525300000001</v>
      </c>
      <c r="DC12" s="43">
        <f t="shared" si="79"/>
        <v>210850.4553</v>
      </c>
      <c r="DD12" s="44">
        <f t="shared" si="80"/>
        <v>4662.383337</v>
      </c>
      <c r="DE12" s="44">
        <f t="shared" si="81"/>
        <v>1809.527898</v>
      </c>
      <c r="DF12" s="44"/>
      <c r="DG12" s="44">
        <f t="shared" si="82"/>
        <v>47765.286</v>
      </c>
      <c r="DH12" s="44">
        <f t="shared" si="83"/>
        <v>1949.57406</v>
      </c>
      <c r="DI12" s="43">
        <f t="shared" si="84"/>
        <v>49714.86006</v>
      </c>
      <c r="DJ12" s="44">
        <f t="shared" si="85"/>
        <v>1099.3086774</v>
      </c>
      <c r="DK12" s="44">
        <f t="shared" si="86"/>
        <v>426.6551196</v>
      </c>
      <c r="DL12" s="43"/>
      <c r="DM12" s="44">
        <f t="shared" si="87"/>
        <v>7952.936999999999</v>
      </c>
      <c r="DN12" s="43">
        <f t="shared" si="88"/>
        <v>324.60477000000003</v>
      </c>
      <c r="DO12" s="43">
        <f t="shared" si="89"/>
        <v>8277.54177</v>
      </c>
      <c r="DP12" s="44">
        <f t="shared" si="90"/>
        <v>183.03528329999997</v>
      </c>
      <c r="DQ12" s="44">
        <f t="shared" si="91"/>
        <v>71.03822819999999</v>
      </c>
      <c r="DR12" s="44"/>
      <c r="DS12" s="44">
        <f t="shared" si="92"/>
        <v>8560.322</v>
      </c>
      <c r="DT12" s="44">
        <f t="shared" si="93"/>
        <v>349.39562000000006</v>
      </c>
      <c r="DU12" s="43">
        <f t="shared" si="94"/>
        <v>8909.71762</v>
      </c>
      <c r="DV12" s="44">
        <f t="shared" si="95"/>
        <v>197.01412979999998</v>
      </c>
      <c r="DW12" s="44">
        <f t="shared" si="96"/>
        <v>76.4635892</v>
      </c>
      <c r="DX12" s="44"/>
      <c r="DY12" s="44">
        <f t="shared" si="97"/>
        <v>652833.6170000001</v>
      </c>
      <c r="DZ12" s="44">
        <f t="shared" si="98"/>
        <v>26645.867570000002</v>
      </c>
      <c r="EA12" s="43">
        <f t="shared" si="99"/>
        <v>679479.4845700001</v>
      </c>
      <c r="EB12" s="44">
        <f t="shared" si="100"/>
        <v>15024.8374953</v>
      </c>
      <c r="EC12" s="44">
        <f t="shared" si="101"/>
        <v>5831.3228762</v>
      </c>
      <c r="ED12" s="44"/>
      <c r="EE12" s="43"/>
      <c r="EF12" s="43"/>
      <c r="EG12" s="43">
        <f t="shared" si="102"/>
        <v>0</v>
      </c>
      <c r="EH12" s="43"/>
      <c r="EI12" s="44"/>
    </row>
    <row r="13" spans="1:139" s="31" customFormat="1" ht="12.75">
      <c r="A13" s="30">
        <v>45383</v>
      </c>
      <c r="C13" s="21"/>
      <c r="D13" s="21">
        <v>68900</v>
      </c>
      <c r="E13" s="42">
        <f t="shared" si="0"/>
        <v>68900</v>
      </c>
      <c r="F13" s="42">
        <v>76179</v>
      </c>
      <c r="G13" s="42">
        <v>29566</v>
      </c>
      <c r="H13" s="44"/>
      <c r="I13" s="44">
        <f>'2012D Academic'!I13</f>
        <v>0</v>
      </c>
      <c r="J13" s="44">
        <f>'2012D Academic'!J13</f>
        <v>38624.830140000005</v>
      </c>
      <c r="K13" s="44">
        <f t="shared" si="1"/>
        <v>38624.830140000005</v>
      </c>
      <c r="L13" s="44">
        <f>'2012D Academic'!L13</f>
        <v>42705.38367540001</v>
      </c>
      <c r="M13" s="44">
        <f>'2012D Academic'!M13</f>
        <v>16574.4808116</v>
      </c>
      <c r="N13" s="44"/>
      <c r="O13" s="43"/>
      <c r="P13" s="45">
        <f t="shared" si="3"/>
        <v>30275.16986</v>
      </c>
      <c r="Q13" s="43">
        <f t="shared" si="4"/>
        <v>30275.16986</v>
      </c>
      <c r="R13" s="43">
        <f t="shared" si="5"/>
        <v>33473.6163246</v>
      </c>
      <c r="S13" s="45">
        <f t="shared" si="6"/>
        <v>12991.5191884</v>
      </c>
      <c r="T13" s="44"/>
      <c r="U13" s="44"/>
      <c r="V13" s="45">
        <f t="shared" si="8"/>
        <v>515.01372</v>
      </c>
      <c r="W13" s="44">
        <f t="shared" si="9"/>
        <v>515.01372</v>
      </c>
      <c r="X13" s="44">
        <f t="shared" si="10"/>
        <v>569.4227892</v>
      </c>
      <c r="Y13" s="44">
        <f t="shared" si="11"/>
        <v>220.9999368</v>
      </c>
      <c r="Z13" s="44"/>
      <c r="AA13" s="44"/>
      <c r="AB13" s="44">
        <f t="shared" si="13"/>
        <v>236.20298000000003</v>
      </c>
      <c r="AC13" s="43">
        <f t="shared" si="14"/>
        <v>236.20298000000003</v>
      </c>
      <c r="AD13" s="44">
        <f t="shared" si="15"/>
        <v>261.15684780000004</v>
      </c>
      <c r="AE13" s="44">
        <f t="shared" si="16"/>
        <v>101.35816120000001</v>
      </c>
      <c r="AF13" s="44"/>
      <c r="AG13" s="44"/>
      <c r="AH13" s="44">
        <f t="shared" si="18"/>
        <v>48.912110000000006</v>
      </c>
      <c r="AI13" s="43">
        <f t="shared" si="19"/>
        <v>48.912110000000006</v>
      </c>
      <c r="AJ13" s="44">
        <f t="shared" si="20"/>
        <v>54.0794721</v>
      </c>
      <c r="AK13" s="44">
        <f t="shared" si="21"/>
        <v>20.988903399999998</v>
      </c>
      <c r="AL13" s="44"/>
      <c r="AM13" s="44"/>
      <c r="AN13" s="44">
        <f t="shared" si="23"/>
        <v>5229.13794</v>
      </c>
      <c r="AO13" s="43">
        <f t="shared" si="24"/>
        <v>5229.13794</v>
      </c>
      <c r="AP13" s="44">
        <f t="shared" si="25"/>
        <v>5781.574733400001</v>
      </c>
      <c r="AQ13" s="44">
        <f t="shared" si="26"/>
        <v>2243.8997436</v>
      </c>
      <c r="AR13" s="44"/>
      <c r="AS13" s="44"/>
      <c r="AT13" s="44">
        <f t="shared" si="28"/>
        <v>28.75886</v>
      </c>
      <c r="AU13" s="43">
        <f t="shared" si="29"/>
        <v>28.75886</v>
      </c>
      <c r="AV13" s="44">
        <f t="shared" si="30"/>
        <v>31.7971146</v>
      </c>
      <c r="AW13" s="44">
        <f t="shared" si="31"/>
        <v>12.3408484</v>
      </c>
      <c r="AX13" s="44"/>
      <c r="AY13" s="44"/>
      <c r="AZ13" s="44">
        <f t="shared" si="33"/>
        <v>30.36423</v>
      </c>
      <c r="BA13" s="43">
        <f t="shared" si="34"/>
        <v>30.36423</v>
      </c>
      <c r="BB13" s="44">
        <f t="shared" si="35"/>
        <v>33.5720853</v>
      </c>
      <c r="BC13" s="44">
        <f t="shared" si="36"/>
        <v>13.029736199999999</v>
      </c>
      <c r="BD13" s="44"/>
      <c r="BE13" s="44"/>
      <c r="BF13" s="44">
        <f t="shared" si="38"/>
        <v>8.516039999999998</v>
      </c>
      <c r="BG13" s="43">
        <f t="shared" si="39"/>
        <v>8.516039999999998</v>
      </c>
      <c r="BH13" s="44">
        <f t="shared" si="40"/>
        <v>9.4157244</v>
      </c>
      <c r="BI13" s="44">
        <f t="shared" si="41"/>
        <v>3.6543576</v>
      </c>
      <c r="BJ13" s="44"/>
      <c r="BK13" s="44"/>
      <c r="BL13" s="44">
        <f t="shared" si="43"/>
        <v>156.92664</v>
      </c>
      <c r="BM13" s="43">
        <f t="shared" si="44"/>
        <v>156.92664</v>
      </c>
      <c r="BN13" s="44">
        <f t="shared" si="45"/>
        <v>173.50529039999998</v>
      </c>
      <c r="BO13" s="44">
        <f t="shared" si="46"/>
        <v>67.3395216</v>
      </c>
      <c r="BP13" s="44"/>
      <c r="BQ13" s="44"/>
      <c r="BR13" s="44">
        <f t="shared" si="48"/>
        <v>233.91550000000004</v>
      </c>
      <c r="BS13" s="43">
        <f t="shared" si="49"/>
        <v>233.91550000000004</v>
      </c>
      <c r="BT13" s="44">
        <f t="shared" si="50"/>
        <v>258.627705</v>
      </c>
      <c r="BU13" s="44">
        <f t="shared" si="51"/>
        <v>100.37657</v>
      </c>
      <c r="BV13" s="44"/>
      <c r="BW13" s="44"/>
      <c r="BX13" s="44">
        <f t="shared" si="53"/>
        <v>2756</v>
      </c>
      <c r="BY13" s="43">
        <f t="shared" si="54"/>
        <v>2756</v>
      </c>
      <c r="BZ13" s="44">
        <f t="shared" si="55"/>
        <v>3047.16</v>
      </c>
      <c r="CA13" s="44">
        <f t="shared" si="56"/>
        <v>1182.64</v>
      </c>
      <c r="CB13" s="44"/>
      <c r="CC13" s="44"/>
      <c r="CD13" s="44">
        <f t="shared" si="58"/>
        <v>136.71138000000002</v>
      </c>
      <c r="CE13" s="43">
        <f t="shared" si="59"/>
        <v>136.71138000000002</v>
      </c>
      <c r="CF13" s="44">
        <f t="shared" si="60"/>
        <v>151.1543718</v>
      </c>
      <c r="CG13" s="44">
        <f t="shared" si="61"/>
        <v>58.66485720000001</v>
      </c>
      <c r="CH13" s="44"/>
      <c r="CI13" s="44"/>
      <c r="CJ13" s="44">
        <f t="shared" si="63"/>
        <v>1092.95381</v>
      </c>
      <c r="CK13" s="43">
        <f t="shared" si="64"/>
        <v>1092.95381</v>
      </c>
      <c r="CL13" s="44">
        <f t="shared" si="65"/>
        <v>1208.4198591</v>
      </c>
      <c r="CM13" s="44">
        <f t="shared" si="66"/>
        <v>469.00250139999997</v>
      </c>
      <c r="CN13" s="44"/>
      <c r="CO13" s="44"/>
      <c r="CP13" s="44">
        <f t="shared" si="68"/>
        <v>598.3138200000001</v>
      </c>
      <c r="CQ13" s="43">
        <f t="shared" si="69"/>
        <v>598.3138200000001</v>
      </c>
      <c r="CR13" s="44">
        <f t="shared" si="70"/>
        <v>661.5232002</v>
      </c>
      <c r="CS13" s="44">
        <f t="shared" si="71"/>
        <v>256.7452308</v>
      </c>
      <c r="CT13" s="44"/>
      <c r="CU13" s="44"/>
      <c r="CV13" s="44">
        <f t="shared" si="73"/>
        <v>59.357350000000004</v>
      </c>
      <c r="CW13" s="43">
        <f t="shared" si="74"/>
        <v>59.357350000000004</v>
      </c>
      <c r="CX13" s="44">
        <f t="shared" si="75"/>
        <v>65.6282085</v>
      </c>
      <c r="CY13" s="44">
        <f t="shared" si="76"/>
        <v>25.471109</v>
      </c>
      <c r="CZ13" s="44"/>
      <c r="DA13" s="44"/>
      <c r="DB13" s="44">
        <f t="shared" si="78"/>
        <v>4216.8867</v>
      </c>
      <c r="DC13" s="43">
        <f t="shared" si="79"/>
        <v>4216.8867</v>
      </c>
      <c r="DD13" s="44">
        <f t="shared" si="80"/>
        <v>4662.383337</v>
      </c>
      <c r="DE13" s="44">
        <f t="shared" si="81"/>
        <v>1809.527898</v>
      </c>
      <c r="DF13" s="44"/>
      <c r="DG13" s="44"/>
      <c r="DH13" s="44">
        <f t="shared" si="83"/>
        <v>994.2683400000001</v>
      </c>
      <c r="DI13" s="43">
        <f t="shared" si="84"/>
        <v>994.2683400000001</v>
      </c>
      <c r="DJ13" s="44">
        <f t="shared" si="85"/>
        <v>1099.3086774</v>
      </c>
      <c r="DK13" s="44">
        <f t="shared" si="86"/>
        <v>426.6551196</v>
      </c>
      <c r="DL13" s="43"/>
      <c r="DM13" s="44"/>
      <c r="DN13" s="43">
        <f t="shared" si="88"/>
        <v>165.54603</v>
      </c>
      <c r="DO13" s="43">
        <f t="shared" si="89"/>
        <v>165.54603</v>
      </c>
      <c r="DP13" s="44">
        <f t="shared" si="90"/>
        <v>183.03528329999997</v>
      </c>
      <c r="DQ13" s="44">
        <f t="shared" si="91"/>
        <v>71.03822819999999</v>
      </c>
      <c r="DR13" s="44"/>
      <c r="DS13" s="44"/>
      <c r="DT13" s="44">
        <f t="shared" si="93"/>
        <v>178.18918000000002</v>
      </c>
      <c r="DU13" s="43">
        <f t="shared" si="94"/>
        <v>178.18918000000002</v>
      </c>
      <c r="DV13" s="44">
        <f t="shared" si="95"/>
        <v>197.01412979999998</v>
      </c>
      <c r="DW13" s="44">
        <f t="shared" si="96"/>
        <v>76.4635892</v>
      </c>
      <c r="DX13" s="44"/>
      <c r="DY13" s="44"/>
      <c r="DZ13" s="44">
        <f t="shared" si="98"/>
        <v>13589.195230000001</v>
      </c>
      <c r="EA13" s="43">
        <f t="shared" si="99"/>
        <v>13589.195230000001</v>
      </c>
      <c r="EB13" s="44">
        <f t="shared" si="100"/>
        <v>15024.8374953</v>
      </c>
      <c r="EC13" s="44">
        <f t="shared" si="101"/>
        <v>5831.3228762</v>
      </c>
      <c r="ED13" s="44"/>
      <c r="EE13" s="43"/>
      <c r="EF13" s="43"/>
      <c r="EG13" s="43">
        <f t="shared" si="102"/>
        <v>0</v>
      </c>
      <c r="EH13" s="43"/>
      <c r="EI13" s="44"/>
    </row>
    <row r="14" spans="1:139" ht="12.75">
      <c r="A14" s="2">
        <v>45566</v>
      </c>
      <c r="C14" s="21">
        <v>3445000</v>
      </c>
      <c r="D14" s="21">
        <v>68900</v>
      </c>
      <c r="E14" s="42">
        <f t="shared" si="0"/>
        <v>3513900</v>
      </c>
      <c r="F14" s="42">
        <v>76179</v>
      </c>
      <c r="G14" s="42">
        <v>29566</v>
      </c>
      <c r="H14" s="43"/>
      <c r="I14" s="44">
        <f>'2012D Academic'!I14</f>
        <v>1931241.5070000004</v>
      </c>
      <c r="J14" s="44">
        <f>'2012D Academic'!J14</f>
        <v>38624.830140000005</v>
      </c>
      <c r="K14" s="44">
        <f t="shared" si="1"/>
        <v>1969866.3371400004</v>
      </c>
      <c r="L14" s="44">
        <f>'2012D Academic'!L14</f>
        <v>42705.38367540001</v>
      </c>
      <c r="M14" s="44">
        <f>'2012D Academic'!M14</f>
        <v>16574.4808116</v>
      </c>
      <c r="N14" s="43"/>
      <c r="O14" s="43">
        <f t="shared" si="2"/>
        <v>1513758.4930000002</v>
      </c>
      <c r="P14" s="45">
        <f t="shared" si="3"/>
        <v>30275.16986</v>
      </c>
      <c r="Q14" s="43">
        <f t="shared" si="4"/>
        <v>1544033.6628600003</v>
      </c>
      <c r="R14" s="43">
        <f t="shared" si="5"/>
        <v>33473.6163246</v>
      </c>
      <c r="S14" s="45">
        <f t="shared" si="6"/>
        <v>12991.5191884</v>
      </c>
      <c r="T14" s="43"/>
      <c r="U14" s="44">
        <f t="shared" si="7"/>
        <v>25750.686</v>
      </c>
      <c r="V14" s="45">
        <f t="shared" si="8"/>
        <v>515.01372</v>
      </c>
      <c r="W14" s="44">
        <f t="shared" si="9"/>
        <v>26265.69972</v>
      </c>
      <c r="X14" s="44">
        <f t="shared" si="10"/>
        <v>569.4227892</v>
      </c>
      <c r="Y14" s="44">
        <f t="shared" si="11"/>
        <v>220.9999368</v>
      </c>
      <c r="Z14" s="43"/>
      <c r="AA14" s="44">
        <f t="shared" si="12"/>
        <v>11810.149000000001</v>
      </c>
      <c r="AB14" s="44">
        <f t="shared" si="13"/>
        <v>236.20298000000003</v>
      </c>
      <c r="AC14" s="43">
        <f t="shared" si="14"/>
        <v>12046.351980000001</v>
      </c>
      <c r="AD14" s="44">
        <f t="shared" si="15"/>
        <v>261.15684780000004</v>
      </c>
      <c r="AE14" s="44">
        <f t="shared" si="16"/>
        <v>101.35816120000001</v>
      </c>
      <c r="AF14" s="43"/>
      <c r="AG14" s="44">
        <f t="shared" si="17"/>
        <v>2445.6054999999997</v>
      </c>
      <c r="AH14" s="44">
        <f t="shared" si="18"/>
        <v>48.912110000000006</v>
      </c>
      <c r="AI14" s="43">
        <f t="shared" si="19"/>
        <v>2494.51761</v>
      </c>
      <c r="AJ14" s="44">
        <f t="shared" si="20"/>
        <v>54.0794721</v>
      </c>
      <c r="AK14" s="44">
        <f t="shared" si="21"/>
        <v>20.988903399999998</v>
      </c>
      <c r="AL14" s="43"/>
      <c r="AM14" s="44">
        <f t="shared" si="22"/>
        <v>261456.89700000003</v>
      </c>
      <c r="AN14" s="44">
        <f t="shared" si="23"/>
        <v>5229.13794</v>
      </c>
      <c r="AO14" s="43">
        <f t="shared" si="24"/>
        <v>266686.03494000004</v>
      </c>
      <c r="AP14" s="44">
        <f t="shared" si="25"/>
        <v>5781.574733400001</v>
      </c>
      <c r="AQ14" s="44">
        <f t="shared" si="26"/>
        <v>2243.8997436</v>
      </c>
      <c r="AR14" s="43"/>
      <c r="AS14" s="44">
        <f t="shared" si="27"/>
        <v>1437.943</v>
      </c>
      <c r="AT14" s="44">
        <f t="shared" si="28"/>
        <v>28.75886</v>
      </c>
      <c r="AU14" s="43">
        <f t="shared" si="29"/>
        <v>1466.70186</v>
      </c>
      <c r="AV14" s="44">
        <f t="shared" si="30"/>
        <v>31.7971146</v>
      </c>
      <c r="AW14" s="44">
        <f t="shared" si="31"/>
        <v>12.3408484</v>
      </c>
      <c r="AX14" s="43"/>
      <c r="AY14" s="44">
        <f t="shared" si="32"/>
        <v>1518.2115</v>
      </c>
      <c r="AZ14" s="44">
        <f t="shared" si="33"/>
        <v>30.36423</v>
      </c>
      <c r="BA14" s="43">
        <f t="shared" si="34"/>
        <v>1548.5757299999998</v>
      </c>
      <c r="BB14" s="44">
        <f t="shared" si="35"/>
        <v>33.5720853</v>
      </c>
      <c r="BC14" s="44">
        <f t="shared" si="36"/>
        <v>13.029736199999999</v>
      </c>
      <c r="BD14" s="43"/>
      <c r="BE14" s="44">
        <f t="shared" si="37"/>
        <v>425.80199999999996</v>
      </c>
      <c r="BF14" s="44">
        <f t="shared" si="38"/>
        <v>8.516039999999998</v>
      </c>
      <c r="BG14" s="43">
        <f t="shared" si="39"/>
        <v>434.31803999999994</v>
      </c>
      <c r="BH14" s="44">
        <f t="shared" si="40"/>
        <v>9.4157244</v>
      </c>
      <c r="BI14" s="44">
        <f t="shared" si="41"/>
        <v>3.6543576</v>
      </c>
      <c r="BJ14" s="43"/>
      <c r="BK14" s="44">
        <f t="shared" si="42"/>
        <v>7846.331999999999</v>
      </c>
      <c r="BL14" s="44">
        <f t="shared" si="43"/>
        <v>156.92664</v>
      </c>
      <c r="BM14" s="43">
        <f t="shared" si="44"/>
        <v>8003.258639999999</v>
      </c>
      <c r="BN14" s="44">
        <f t="shared" si="45"/>
        <v>173.50529039999998</v>
      </c>
      <c r="BO14" s="44">
        <f t="shared" si="46"/>
        <v>67.3395216</v>
      </c>
      <c r="BP14" s="43"/>
      <c r="BQ14" s="44">
        <f t="shared" si="47"/>
        <v>11695.775</v>
      </c>
      <c r="BR14" s="44">
        <f t="shared" si="48"/>
        <v>233.91550000000004</v>
      </c>
      <c r="BS14" s="43">
        <f t="shared" si="49"/>
        <v>11929.690499999999</v>
      </c>
      <c r="BT14" s="44">
        <f t="shared" si="50"/>
        <v>258.627705</v>
      </c>
      <c r="BU14" s="44">
        <f t="shared" si="51"/>
        <v>100.37657</v>
      </c>
      <c r="BV14" s="43"/>
      <c r="BW14" s="44">
        <f t="shared" si="52"/>
        <v>137800</v>
      </c>
      <c r="BX14" s="44">
        <f t="shared" si="53"/>
        <v>2756</v>
      </c>
      <c r="BY14" s="43">
        <f t="shared" si="54"/>
        <v>140556</v>
      </c>
      <c r="BZ14" s="44">
        <f t="shared" si="55"/>
        <v>3047.16</v>
      </c>
      <c r="CA14" s="44">
        <f t="shared" si="56"/>
        <v>1182.64</v>
      </c>
      <c r="CB14" s="43"/>
      <c r="CC14" s="44">
        <f t="shared" si="57"/>
        <v>6835.569</v>
      </c>
      <c r="CD14" s="44">
        <f t="shared" si="58"/>
        <v>136.71138000000002</v>
      </c>
      <c r="CE14" s="43">
        <f t="shared" si="59"/>
        <v>6972.28038</v>
      </c>
      <c r="CF14" s="44">
        <f t="shared" si="60"/>
        <v>151.1543718</v>
      </c>
      <c r="CG14" s="44">
        <f t="shared" si="61"/>
        <v>58.66485720000001</v>
      </c>
      <c r="CH14" s="43"/>
      <c r="CI14" s="44">
        <f t="shared" si="62"/>
        <v>54647.6905</v>
      </c>
      <c r="CJ14" s="44">
        <f t="shared" si="63"/>
        <v>1092.95381</v>
      </c>
      <c r="CK14" s="43">
        <f t="shared" si="64"/>
        <v>55740.644309999996</v>
      </c>
      <c r="CL14" s="44">
        <f t="shared" si="65"/>
        <v>1208.4198591</v>
      </c>
      <c r="CM14" s="44">
        <f t="shared" si="66"/>
        <v>469.00250139999997</v>
      </c>
      <c r="CN14" s="43"/>
      <c r="CO14" s="44">
        <f t="shared" si="67"/>
        <v>29915.691</v>
      </c>
      <c r="CP14" s="44">
        <f t="shared" si="68"/>
        <v>598.3138200000001</v>
      </c>
      <c r="CQ14" s="43">
        <f t="shared" si="69"/>
        <v>30514.00482</v>
      </c>
      <c r="CR14" s="44">
        <f t="shared" si="70"/>
        <v>661.5232002</v>
      </c>
      <c r="CS14" s="44">
        <f t="shared" si="71"/>
        <v>256.7452308</v>
      </c>
      <c r="CT14" s="43"/>
      <c r="CU14" s="44">
        <f t="shared" si="72"/>
        <v>2967.8675</v>
      </c>
      <c r="CV14" s="44">
        <f t="shared" si="73"/>
        <v>59.357350000000004</v>
      </c>
      <c r="CW14" s="43">
        <f t="shared" si="74"/>
        <v>3027.22485</v>
      </c>
      <c r="CX14" s="44">
        <f t="shared" si="75"/>
        <v>65.6282085</v>
      </c>
      <c r="CY14" s="44">
        <f t="shared" si="76"/>
        <v>25.471109</v>
      </c>
      <c r="CZ14" s="43"/>
      <c r="DA14" s="44">
        <f t="shared" si="77"/>
        <v>210844.335</v>
      </c>
      <c r="DB14" s="44">
        <f t="shared" si="78"/>
        <v>4216.8867</v>
      </c>
      <c r="DC14" s="43">
        <f t="shared" si="79"/>
        <v>215061.2217</v>
      </c>
      <c r="DD14" s="44">
        <f t="shared" si="80"/>
        <v>4662.383337</v>
      </c>
      <c r="DE14" s="44">
        <f t="shared" si="81"/>
        <v>1809.527898</v>
      </c>
      <c r="DF14" s="43"/>
      <c r="DG14" s="44">
        <f t="shared" si="82"/>
        <v>49713.417</v>
      </c>
      <c r="DH14" s="44">
        <f t="shared" si="83"/>
        <v>994.2683400000001</v>
      </c>
      <c r="DI14" s="43">
        <f t="shared" si="84"/>
        <v>50707.68534</v>
      </c>
      <c r="DJ14" s="44">
        <f t="shared" si="85"/>
        <v>1099.3086774</v>
      </c>
      <c r="DK14" s="44">
        <f t="shared" si="86"/>
        <v>426.6551196</v>
      </c>
      <c r="DL14" s="43"/>
      <c r="DM14" s="44">
        <f t="shared" si="87"/>
        <v>8277.3015</v>
      </c>
      <c r="DN14" s="43">
        <f t="shared" si="88"/>
        <v>165.54603</v>
      </c>
      <c r="DO14" s="43">
        <f t="shared" si="89"/>
        <v>8442.84753</v>
      </c>
      <c r="DP14" s="44">
        <f t="shared" si="90"/>
        <v>183.03528329999997</v>
      </c>
      <c r="DQ14" s="44">
        <f t="shared" si="91"/>
        <v>71.03822819999999</v>
      </c>
      <c r="DR14" s="43"/>
      <c r="DS14" s="44">
        <f t="shared" si="92"/>
        <v>8909.458999999999</v>
      </c>
      <c r="DT14" s="44">
        <f t="shared" si="93"/>
        <v>178.18918000000002</v>
      </c>
      <c r="DU14" s="43">
        <f t="shared" si="94"/>
        <v>9087.648179999998</v>
      </c>
      <c r="DV14" s="44">
        <f t="shared" si="95"/>
        <v>197.01412979999998</v>
      </c>
      <c r="DW14" s="44">
        <f t="shared" si="96"/>
        <v>76.4635892</v>
      </c>
      <c r="DX14" s="43"/>
      <c r="DY14" s="44">
        <f t="shared" si="97"/>
        <v>679459.7615</v>
      </c>
      <c r="DZ14" s="44">
        <f t="shared" si="98"/>
        <v>13589.195230000001</v>
      </c>
      <c r="EA14" s="43">
        <f t="shared" si="99"/>
        <v>693048.95673</v>
      </c>
      <c r="EB14" s="44">
        <f t="shared" si="100"/>
        <v>15024.8374953</v>
      </c>
      <c r="EC14" s="44">
        <f t="shared" si="101"/>
        <v>5831.3228762</v>
      </c>
      <c r="ED14" s="43"/>
      <c r="EE14" s="43"/>
      <c r="EF14" s="43"/>
      <c r="EG14" s="43">
        <f t="shared" si="102"/>
        <v>0</v>
      </c>
      <c r="EH14" s="43"/>
      <c r="EI14" s="43"/>
    </row>
    <row r="15" spans="1:139" ht="12.75">
      <c r="A15" s="2">
        <v>45748</v>
      </c>
      <c r="C15" s="45"/>
      <c r="D15" s="45"/>
      <c r="E15" s="42">
        <f t="shared" si="0"/>
        <v>0</v>
      </c>
      <c r="F15" s="42"/>
      <c r="G15" s="42"/>
      <c r="H15" s="43"/>
      <c r="I15" s="44">
        <f>'2012D Academic'!I15</f>
        <v>0</v>
      </c>
      <c r="J15" s="44">
        <f>'2012D Academic'!J15</f>
        <v>0</v>
      </c>
      <c r="K15" s="44">
        <f t="shared" si="1"/>
        <v>0</v>
      </c>
      <c r="L15" s="44">
        <f>'2012D Academic'!L15</f>
        <v>0</v>
      </c>
      <c r="M15" s="44">
        <f>'2012D Academic'!M15</f>
        <v>0</v>
      </c>
      <c r="N15" s="43"/>
      <c r="O15" s="43"/>
      <c r="P15" s="45">
        <f t="shared" si="3"/>
        <v>0</v>
      </c>
      <c r="Q15" s="43">
        <f t="shared" si="4"/>
        <v>0</v>
      </c>
      <c r="R15" s="43">
        <f t="shared" si="5"/>
        <v>0</v>
      </c>
      <c r="S15" s="45">
        <f t="shared" si="6"/>
        <v>0</v>
      </c>
      <c r="T15" s="43"/>
      <c r="U15" s="44"/>
      <c r="V15" s="45">
        <f t="shared" si="8"/>
        <v>0</v>
      </c>
      <c r="W15" s="44">
        <f t="shared" si="9"/>
        <v>0</v>
      </c>
      <c r="X15" s="44">
        <f t="shared" si="10"/>
        <v>0</v>
      </c>
      <c r="Y15" s="44">
        <f t="shared" si="11"/>
        <v>0</v>
      </c>
      <c r="Z15" s="43"/>
      <c r="AA15" s="44">
        <f>C15*0.34282/100</f>
        <v>0</v>
      </c>
      <c r="AB15" s="44">
        <f t="shared" si="13"/>
        <v>0</v>
      </c>
      <c r="AC15" s="43">
        <f t="shared" si="14"/>
        <v>0</v>
      </c>
      <c r="AD15" s="44">
        <f t="shared" si="15"/>
        <v>0</v>
      </c>
      <c r="AE15" s="44">
        <f t="shared" si="16"/>
        <v>0</v>
      </c>
      <c r="AF15" s="43"/>
      <c r="AG15" s="44"/>
      <c r="AH15" s="44">
        <f t="shared" si="18"/>
        <v>0</v>
      </c>
      <c r="AI15" s="43">
        <f t="shared" si="19"/>
        <v>0</v>
      </c>
      <c r="AJ15" s="44">
        <f t="shared" si="20"/>
        <v>0</v>
      </c>
      <c r="AK15" s="44">
        <f t="shared" si="21"/>
        <v>0</v>
      </c>
      <c r="AL15" s="43"/>
      <c r="AM15" s="44"/>
      <c r="AN15" s="44">
        <f t="shared" si="23"/>
        <v>0</v>
      </c>
      <c r="AO15" s="43">
        <f t="shared" si="24"/>
        <v>0</v>
      </c>
      <c r="AP15" s="44">
        <f t="shared" si="25"/>
        <v>0</v>
      </c>
      <c r="AQ15" s="44">
        <f t="shared" si="26"/>
        <v>0</v>
      </c>
      <c r="AR15" s="43"/>
      <c r="AS15" s="44"/>
      <c r="AT15" s="44">
        <f t="shared" si="28"/>
        <v>0</v>
      </c>
      <c r="AU15" s="43">
        <f t="shared" si="29"/>
        <v>0</v>
      </c>
      <c r="AV15" s="44">
        <f t="shared" si="30"/>
        <v>0</v>
      </c>
      <c r="AW15" s="44">
        <f t="shared" si="31"/>
        <v>0</v>
      </c>
      <c r="AX15" s="43"/>
      <c r="AY15" s="44"/>
      <c r="AZ15" s="44">
        <f t="shared" si="33"/>
        <v>0</v>
      </c>
      <c r="BA15" s="43">
        <f t="shared" si="34"/>
        <v>0</v>
      </c>
      <c r="BB15" s="44">
        <f t="shared" si="35"/>
        <v>0</v>
      </c>
      <c r="BC15" s="44">
        <f t="shared" si="36"/>
        <v>0</v>
      </c>
      <c r="BD15" s="43"/>
      <c r="BE15" s="44"/>
      <c r="BF15" s="44">
        <f t="shared" si="38"/>
        <v>0</v>
      </c>
      <c r="BG15" s="43">
        <f t="shared" si="39"/>
        <v>0</v>
      </c>
      <c r="BH15" s="44">
        <f t="shared" si="40"/>
        <v>0</v>
      </c>
      <c r="BI15" s="44">
        <f t="shared" si="41"/>
        <v>0</v>
      </c>
      <c r="BJ15" s="43"/>
      <c r="BK15" s="44"/>
      <c r="BL15" s="44">
        <f t="shared" si="43"/>
        <v>0</v>
      </c>
      <c r="BM15" s="43">
        <f t="shared" si="44"/>
        <v>0</v>
      </c>
      <c r="BN15" s="44">
        <f t="shared" si="45"/>
        <v>0</v>
      </c>
      <c r="BO15" s="44">
        <f t="shared" si="46"/>
        <v>0</v>
      </c>
      <c r="BP15" s="43"/>
      <c r="BQ15" s="44"/>
      <c r="BR15" s="44">
        <f t="shared" si="48"/>
        <v>0</v>
      </c>
      <c r="BS15" s="43">
        <f t="shared" si="49"/>
        <v>0</v>
      </c>
      <c r="BT15" s="44">
        <f t="shared" si="50"/>
        <v>0</v>
      </c>
      <c r="BU15" s="44">
        <f t="shared" si="51"/>
        <v>0</v>
      </c>
      <c r="BV15" s="43"/>
      <c r="BW15" s="44"/>
      <c r="BX15" s="44">
        <f t="shared" si="53"/>
        <v>0</v>
      </c>
      <c r="BY15" s="43">
        <f t="shared" si="54"/>
        <v>0</v>
      </c>
      <c r="BZ15" s="44">
        <f t="shared" si="55"/>
        <v>0</v>
      </c>
      <c r="CA15" s="44">
        <f t="shared" si="56"/>
        <v>0</v>
      </c>
      <c r="CB15" s="43"/>
      <c r="CC15" s="44"/>
      <c r="CD15" s="44">
        <f t="shared" si="58"/>
        <v>0</v>
      </c>
      <c r="CE15" s="43">
        <f t="shared" si="59"/>
        <v>0</v>
      </c>
      <c r="CF15" s="44">
        <f t="shared" si="60"/>
        <v>0</v>
      </c>
      <c r="CG15" s="44">
        <f t="shared" si="61"/>
        <v>0</v>
      </c>
      <c r="CH15" s="43"/>
      <c r="CI15" s="44"/>
      <c r="CJ15" s="44">
        <f t="shared" si="63"/>
        <v>0</v>
      </c>
      <c r="CK15" s="43">
        <f t="shared" si="64"/>
        <v>0</v>
      </c>
      <c r="CL15" s="44">
        <f t="shared" si="65"/>
        <v>0</v>
      </c>
      <c r="CM15" s="44">
        <f t="shared" si="66"/>
        <v>0</v>
      </c>
      <c r="CN15" s="43"/>
      <c r="CO15" s="44"/>
      <c r="CP15" s="44">
        <f t="shared" si="68"/>
        <v>0</v>
      </c>
      <c r="CQ15" s="43">
        <f t="shared" si="69"/>
        <v>0</v>
      </c>
      <c r="CR15" s="44">
        <f t="shared" si="70"/>
        <v>0</v>
      </c>
      <c r="CS15" s="44">
        <f t="shared" si="71"/>
        <v>0</v>
      </c>
      <c r="CT15" s="43"/>
      <c r="CU15" s="44"/>
      <c r="CV15" s="44">
        <f t="shared" si="73"/>
        <v>0</v>
      </c>
      <c r="CW15" s="43">
        <f t="shared" si="74"/>
        <v>0</v>
      </c>
      <c r="CX15" s="44">
        <f t="shared" si="75"/>
        <v>0</v>
      </c>
      <c r="CY15" s="44">
        <f t="shared" si="76"/>
        <v>0</v>
      </c>
      <c r="CZ15" s="43"/>
      <c r="DA15" s="44"/>
      <c r="DB15" s="44">
        <f t="shared" si="78"/>
        <v>0</v>
      </c>
      <c r="DC15" s="43">
        <f t="shared" si="79"/>
        <v>0</v>
      </c>
      <c r="DD15" s="44">
        <f t="shared" si="80"/>
        <v>0</v>
      </c>
      <c r="DE15" s="44">
        <f t="shared" si="81"/>
        <v>0</v>
      </c>
      <c r="DF15" s="43"/>
      <c r="DG15" s="44"/>
      <c r="DH15" s="44">
        <f t="shared" si="83"/>
        <v>0</v>
      </c>
      <c r="DI15" s="43">
        <f t="shared" si="84"/>
        <v>0</v>
      </c>
      <c r="DJ15" s="44">
        <f t="shared" si="85"/>
        <v>0</v>
      </c>
      <c r="DK15" s="44">
        <f t="shared" si="86"/>
        <v>0</v>
      </c>
      <c r="DL15" s="43"/>
      <c r="DM15" s="44"/>
      <c r="DN15" s="43">
        <f t="shared" si="88"/>
        <v>0</v>
      </c>
      <c r="DO15" s="43">
        <f t="shared" si="89"/>
        <v>0</v>
      </c>
      <c r="DP15" s="44">
        <f t="shared" si="90"/>
        <v>0</v>
      </c>
      <c r="DQ15" s="44">
        <f t="shared" si="91"/>
        <v>0</v>
      </c>
      <c r="DR15" s="43"/>
      <c r="DS15" s="44"/>
      <c r="DT15" s="44">
        <f t="shared" si="93"/>
        <v>0</v>
      </c>
      <c r="DU15" s="43">
        <f t="shared" si="94"/>
        <v>0</v>
      </c>
      <c r="DV15" s="44">
        <f t="shared" si="95"/>
        <v>0</v>
      </c>
      <c r="DW15" s="44">
        <f t="shared" si="96"/>
        <v>0</v>
      </c>
      <c r="DX15" s="43"/>
      <c r="DY15" s="44"/>
      <c r="DZ15" s="44">
        <f t="shared" si="98"/>
        <v>0</v>
      </c>
      <c r="EA15" s="43">
        <f t="shared" si="99"/>
        <v>0</v>
      </c>
      <c r="EB15" s="44">
        <f t="shared" si="100"/>
        <v>0</v>
      </c>
      <c r="EC15" s="44">
        <f t="shared" si="101"/>
        <v>0</v>
      </c>
      <c r="ED15" s="43"/>
      <c r="EE15" s="43"/>
      <c r="EF15" s="43"/>
      <c r="EG15" s="43">
        <f t="shared" si="102"/>
        <v>0</v>
      </c>
      <c r="EH15" s="43"/>
      <c r="EI15" s="43"/>
    </row>
    <row r="16" spans="3:139" ht="12.75">
      <c r="C16" s="45"/>
      <c r="D16" s="45"/>
      <c r="E16" s="45"/>
      <c r="F16" s="45"/>
      <c r="G16" s="45"/>
      <c r="H16" s="43"/>
      <c r="I16" s="43"/>
      <c r="J16" s="44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</row>
    <row r="17" spans="1:139" ht="13.5" thickBot="1">
      <c r="A17" s="12" t="s">
        <v>0</v>
      </c>
      <c r="C17" s="46">
        <f>SUM(C8:C16)</f>
        <v>6755000</v>
      </c>
      <c r="D17" s="46">
        <f>SUM(D8:D16)</f>
        <v>813300</v>
      </c>
      <c r="E17" s="46">
        <f>SUM(E8:E16)</f>
        <v>7568300</v>
      </c>
      <c r="F17" s="46">
        <f>SUM(F8:F16)</f>
        <v>533253</v>
      </c>
      <c r="G17" s="46">
        <f>SUM(G8:G16)</f>
        <v>206962</v>
      </c>
      <c r="H17" s="43"/>
      <c r="I17" s="46">
        <f>SUM(I8:I16)</f>
        <v>3786803.0130000003</v>
      </c>
      <c r="J17" s="46">
        <f>SUM(J8:J16)</f>
        <v>455929.96158</v>
      </c>
      <c r="K17" s="46">
        <f>SUM(K8:K16)</f>
        <v>4242732.974580001</v>
      </c>
      <c r="L17" s="46">
        <f>SUM(L8:L16)</f>
        <v>298937.6857278</v>
      </c>
      <c r="M17" s="46">
        <f>SUM(M8:M16)</f>
        <v>116021.36568119997</v>
      </c>
      <c r="N17" s="43"/>
      <c r="O17" s="46">
        <f>SUM(O8:O16)</f>
        <v>2968196.987</v>
      </c>
      <c r="P17" s="46">
        <f>SUM(P8:P16)</f>
        <v>357370.03842000006</v>
      </c>
      <c r="Q17" s="46">
        <f>SUM(Q8:Q16)</f>
        <v>3325567.0254200003</v>
      </c>
      <c r="R17" s="46">
        <f>SUM(R8:R16)</f>
        <v>234315.31427220002</v>
      </c>
      <c r="S17" s="46">
        <f>SUM(S8:S16)</f>
        <v>90940.63431879999</v>
      </c>
      <c r="T17" s="43"/>
      <c r="U17" s="46">
        <f>SUM(U8:U16)</f>
        <v>50492.274000000005</v>
      </c>
      <c r="V17" s="46">
        <f>SUM(V8:V16)</f>
        <v>6079.2548400000005</v>
      </c>
      <c r="W17" s="46">
        <f>SUM(W8:W16)</f>
        <v>56571.52884</v>
      </c>
      <c r="X17" s="46">
        <f>SUM(X8:X16)</f>
        <v>3985.9595243999997</v>
      </c>
      <c r="Y17" s="46">
        <f>SUM(Y8:Y16)</f>
        <v>1546.9995575999997</v>
      </c>
      <c r="Z17" s="43"/>
      <c r="AA17" s="46">
        <f>SUM(AA8:AA16)</f>
        <v>23157.491</v>
      </c>
      <c r="AB17" s="46">
        <f>SUM(AB8:AB16)</f>
        <v>2788.15506</v>
      </c>
      <c r="AC17" s="46">
        <f>SUM(AC8:AC16)</f>
        <v>25945.646060000003</v>
      </c>
      <c r="AD17" s="46">
        <f>SUM(AD8:AD16)</f>
        <v>1828.0979346</v>
      </c>
      <c r="AE17" s="46">
        <f>SUM(AE8:AE16)</f>
        <v>709.5071284000002</v>
      </c>
      <c r="AF17" s="43"/>
      <c r="AG17" s="46">
        <f>SUM(AG8:AG16)</f>
        <v>4795.3745</v>
      </c>
      <c r="AH17" s="46">
        <f>SUM(AH8:AH16)</f>
        <v>577.36167</v>
      </c>
      <c r="AI17" s="46">
        <f>SUM(AI8:AI16)</f>
        <v>5372.73617</v>
      </c>
      <c r="AJ17" s="46">
        <f>SUM(AJ8:AJ16)</f>
        <v>378.55630469999994</v>
      </c>
      <c r="AK17" s="46">
        <f>SUM(AK8:AK16)</f>
        <v>146.9223238</v>
      </c>
      <c r="AL17" s="43"/>
      <c r="AM17" s="46">
        <f>SUM(AM8:AM16)</f>
        <v>512668.02300000004</v>
      </c>
      <c r="AN17" s="46">
        <f>SUM(AN8:AN16)</f>
        <v>61725.07818</v>
      </c>
      <c r="AO17" s="46">
        <f>SUM(AO8:AO16)</f>
        <v>574393.10118</v>
      </c>
      <c r="AP17" s="46">
        <f>SUM(AP8:AP16)</f>
        <v>40471.0231338</v>
      </c>
      <c r="AQ17" s="46">
        <f>SUM(AQ8:AQ16)</f>
        <v>15707.298205199997</v>
      </c>
      <c r="AR17" s="43"/>
      <c r="AS17" s="46">
        <f>SUM(AS8:AS16)</f>
        <v>2819.5370000000003</v>
      </c>
      <c r="AT17" s="46">
        <f>SUM(AT8:AT16)</f>
        <v>339.47141999999997</v>
      </c>
      <c r="AU17" s="46">
        <f>SUM(AU8:AU16)</f>
        <v>3159.00842</v>
      </c>
      <c r="AV17" s="46">
        <f>SUM(AV8:AV16)</f>
        <v>222.57980219999996</v>
      </c>
      <c r="AW17" s="46">
        <f>SUM(AW8:AW16)</f>
        <v>86.3859388</v>
      </c>
      <c r="AX17" s="43"/>
      <c r="AY17" s="46">
        <f>SUM(AY8:AY16)</f>
        <v>2976.9285</v>
      </c>
      <c r="AZ17" s="46">
        <f>SUM(AZ8:AZ16)</f>
        <v>358.42131000000006</v>
      </c>
      <c r="BA17" s="46">
        <f>SUM(BA8:BA16)</f>
        <v>3335.3498099999997</v>
      </c>
      <c r="BB17" s="46">
        <f>SUM(BB8:BB16)</f>
        <v>235.00459709999998</v>
      </c>
      <c r="BC17" s="46">
        <f>SUM(BC8:BC16)</f>
        <v>91.2081534</v>
      </c>
      <c r="BD17" s="43"/>
      <c r="BE17" s="46">
        <f>SUM(BE8:BE16)</f>
        <v>834.9179999999999</v>
      </c>
      <c r="BF17" s="46">
        <f>SUM(BF8:BF16)</f>
        <v>100.52388000000002</v>
      </c>
      <c r="BG17" s="46">
        <f>SUM(BG8:BG16)</f>
        <v>935.4418799999999</v>
      </c>
      <c r="BH17" s="46">
        <f>SUM(BH8:BH16)</f>
        <v>65.9100708</v>
      </c>
      <c r="BI17" s="46">
        <f>SUM(BI8:BI16)</f>
        <v>25.580503200000003</v>
      </c>
      <c r="BJ17" s="43"/>
      <c r="BK17" s="46">
        <f>SUM(BK8:BK16)</f>
        <v>15385.187999999998</v>
      </c>
      <c r="BL17" s="46">
        <f>SUM(BL8:BL16)</f>
        <v>1852.3720799999996</v>
      </c>
      <c r="BM17" s="46">
        <f>SUM(BM8:BM16)</f>
        <v>17237.56008</v>
      </c>
      <c r="BN17" s="46">
        <f>SUM(BN8:BN16)</f>
        <v>1214.5370327999997</v>
      </c>
      <c r="BO17" s="46">
        <f>SUM(BO8:BO16)</f>
        <v>471.3766512</v>
      </c>
      <c r="BP17" s="43"/>
      <c r="BQ17" s="46">
        <f>SUM(BQ8:BQ16)</f>
        <v>22933.225</v>
      </c>
      <c r="BR17" s="46">
        <f>SUM(BR8:BR16)</f>
        <v>2761.1535000000003</v>
      </c>
      <c r="BS17" s="46">
        <f>SUM(BS8:BS16)</f>
        <v>25694.3785</v>
      </c>
      <c r="BT17" s="46">
        <f>SUM(BT8:BT16)</f>
        <v>1810.3939349999996</v>
      </c>
      <c r="BU17" s="46">
        <f>SUM(BU8:BU16)</f>
        <v>702.63599</v>
      </c>
      <c r="BV17" s="43"/>
      <c r="BW17" s="46">
        <f>SUM(BW8:BW16)</f>
        <v>270200</v>
      </c>
      <c r="BX17" s="46">
        <f>SUM(BX8:BX16)</f>
        <v>32532</v>
      </c>
      <c r="BY17" s="46">
        <f>SUM(BY8:BY16)</f>
        <v>302732</v>
      </c>
      <c r="BZ17" s="46">
        <f>SUM(BZ8:BZ16)</f>
        <v>21330.12</v>
      </c>
      <c r="CA17" s="46">
        <f>SUM(CA8:CA16)</f>
        <v>8278.480000000001</v>
      </c>
      <c r="CB17" s="43"/>
      <c r="CC17" s="46">
        <f>SUM(CC8:CC16)</f>
        <v>13403.271</v>
      </c>
      <c r="CD17" s="46">
        <f>SUM(CD8:CD16)</f>
        <v>1613.74986</v>
      </c>
      <c r="CE17" s="46">
        <f>SUM(CE8:CE16)</f>
        <v>15017.02086</v>
      </c>
      <c r="CF17" s="46">
        <f>SUM(CF8:CF16)</f>
        <v>1058.0806026</v>
      </c>
      <c r="CG17" s="46">
        <f>SUM(CG8:CG16)</f>
        <v>410.6540004000001</v>
      </c>
      <c r="CH17" s="43"/>
      <c r="CI17" s="46">
        <f>SUM(CI8:CI16)</f>
        <v>107153.88949999999</v>
      </c>
      <c r="CJ17" s="46">
        <f>SUM(CJ8:CJ16)</f>
        <v>12901.296569999999</v>
      </c>
      <c r="CK17" s="46">
        <f>SUM(CK8:CK16)</f>
        <v>120055.18607</v>
      </c>
      <c r="CL17" s="46">
        <f>SUM(CL8:CL16)</f>
        <v>8458.939013700001</v>
      </c>
      <c r="CM17" s="46">
        <f>SUM(CM8:CM16)</f>
        <v>3283.0175097999995</v>
      </c>
      <c r="CN17" s="43"/>
      <c r="CO17" s="46">
        <f>SUM(CO8:CO16)</f>
        <v>58659.069</v>
      </c>
      <c r="CP17" s="46">
        <f>SUM(CP8:CP16)</f>
        <v>7062.534540000001</v>
      </c>
      <c r="CQ17" s="46">
        <f>SUM(CQ8:CQ16)</f>
        <v>65721.60354</v>
      </c>
      <c r="CR17" s="46">
        <f>SUM(CR8:CR16)</f>
        <v>4630.662401400001</v>
      </c>
      <c r="CS17" s="46">
        <f>SUM(CS8:CS16)</f>
        <v>1797.2166155999998</v>
      </c>
      <c r="CT17" s="43"/>
      <c r="CU17" s="46">
        <f>SUM(CU8:CU16)</f>
        <v>5819.4325</v>
      </c>
      <c r="CV17" s="46">
        <f>SUM(CV8:CV16)</f>
        <v>700.65795</v>
      </c>
      <c r="CW17" s="46">
        <f>SUM(CW8:CW16)</f>
        <v>6520.09045</v>
      </c>
      <c r="CX17" s="46">
        <f>SUM(CX8:CX16)</f>
        <v>459.3974595000001</v>
      </c>
      <c r="CY17" s="46">
        <f>SUM(CY8:CY16)</f>
        <v>178.29776299999997</v>
      </c>
      <c r="CZ17" s="43"/>
      <c r="DA17" s="46">
        <f>SUM(DA8:DA16)</f>
        <v>413426.265</v>
      </c>
      <c r="DB17" s="46">
        <f>SUM(DB8:DB16)</f>
        <v>49776.39990000001</v>
      </c>
      <c r="DC17" s="46">
        <f>SUM(DC8:DC16)</f>
        <v>463202.6649</v>
      </c>
      <c r="DD17" s="46">
        <f>SUM(DD8:DD16)</f>
        <v>32636.683359</v>
      </c>
      <c r="DE17" s="46">
        <f>SUM(DE8:DE16)</f>
        <v>12666.695286</v>
      </c>
      <c r="DF17" s="43"/>
      <c r="DG17" s="46">
        <f>SUM(DG8:DG16)</f>
        <v>97478.70300000001</v>
      </c>
      <c r="DH17" s="46">
        <f>SUM(DH8:DH16)</f>
        <v>11736.40698</v>
      </c>
      <c r="DI17" s="46">
        <f>SUM(DI8:DI16)</f>
        <v>109215.10998000001</v>
      </c>
      <c r="DJ17" s="46">
        <f>SUM(DJ8:DJ16)</f>
        <v>7695.160741800001</v>
      </c>
      <c r="DK17" s="46">
        <f>SUM(DK8:DK16)</f>
        <v>2986.5858372</v>
      </c>
      <c r="DL17" s="45"/>
      <c r="DM17" s="46">
        <f>SUM(DM8:DM16)</f>
        <v>16230.2385</v>
      </c>
      <c r="DN17" s="46">
        <f>SUM(DN8:DN16)</f>
        <v>1954.11591</v>
      </c>
      <c r="DO17" s="46">
        <f>SUM(DO8:DO16)</f>
        <v>18184.35441</v>
      </c>
      <c r="DP17" s="46">
        <f>SUM(DP8:DP16)</f>
        <v>1281.2469830999999</v>
      </c>
      <c r="DQ17" s="46">
        <f>SUM(DQ8:DQ16)</f>
        <v>497.26759739999994</v>
      </c>
      <c r="DR17" s="43"/>
      <c r="DS17" s="46">
        <f>SUM(DS8:DS16)</f>
        <v>17469.781</v>
      </c>
      <c r="DT17" s="46">
        <f>SUM(DT8:DT16)</f>
        <v>2103.3564600000004</v>
      </c>
      <c r="DU17" s="46">
        <f>SUM(DU8:DU16)</f>
        <v>19573.137459999998</v>
      </c>
      <c r="DV17" s="46">
        <f>SUM(DV8:DV16)</f>
        <v>1379.0989086</v>
      </c>
      <c r="DW17" s="46">
        <f>SUM(DW8:DW16)</f>
        <v>535.2451244</v>
      </c>
      <c r="DX17" s="43"/>
      <c r="DY17" s="46">
        <f>SUM(DY8:DY16)</f>
        <v>1332293.3785</v>
      </c>
      <c r="DZ17" s="46">
        <f>SUM(DZ8:DZ16)</f>
        <v>160407.72831000003</v>
      </c>
      <c r="EA17" s="46">
        <f>SUM(EA8:EA16)</f>
        <v>1492701.10681</v>
      </c>
      <c r="EB17" s="46">
        <f>SUM(EB8:EB16)</f>
        <v>105173.8624671</v>
      </c>
      <c r="EC17" s="46">
        <f>SUM(EC8:EC16)</f>
        <v>40819.2601334</v>
      </c>
      <c r="ED17" s="43"/>
      <c r="EE17" s="46">
        <f>SUM(EE8:EE16)</f>
        <v>0</v>
      </c>
      <c r="EF17" s="46">
        <f>SUM(EF8:EF16)</f>
        <v>0</v>
      </c>
      <c r="EG17" s="46">
        <f>SUM(EG8:EG16)</f>
        <v>0</v>
      </c>
      <c r="EH17" s="45"/>
      <c r="EI17" s="43"/>
    </row>
    <row r="18" spans="33:43" ht="13.5" thickTop="1">
      <c r="AG18" s="14"/>
      <c r="AH18" s="14"/>
      <c r="AI18" s="14"/>
      <c r="AJ18" s="14"/>
      <c r="AK18" s="14"/>
      <c r="AM18" s="3"/>
      <c r="AN18" s="3"/>
      <c r="AO18" s="3"/>
      <c r="AP18" s="3"/>
      <c r="AQ18" s="3"/>
    </row>
    <row r="19" spans="3:43" ht="12.75">
      <c r="C19" s="14">
        <f>I17+O17</f>
        <v>6755000</v>
      </c>
      <c r="D19" s="14">
        <f>J17+P17</f>
        <v>813300</v>
      </c>
      <c r="F19" s="14">
        <f>L17+R17</f>
        <v>533253</v>
      </c>
      <c r="G19" s="14">
        <f>M17+S17</f>
        <v>206961.99999999994</v>
      </c>
      <c r="P19" s="14"/>
      <c r="AG19" s="14"/>
      <c r="AH19" s="14"/>
      <c r="AI19" s="14"/>
      <c r="AJ19" s="14"/>
      <c r="AK19" s="14"/>
      <c r="AM19" s="3"/>
      <c r="AN19" s="3"/>
      <c r="AO19" s="3"/>
      <c r="AP19" s="3"/>
      <c r="AQ19" s="3"/>
    </row>
    <row r="20" spans="33:43" ht="12.75">
      <c r="AG20" s="14"/>
      <c r="AH20" s="14"/>
      <c r="AI20" s="14"/>
      <c r="AJ20" s="14"/>
      <c r="AK20" s="14"/>
      <c r="AM20" s="3"/>
      <c r="AN20" s="3"/>
      <c r="AO20" s="3"/>
      <c r="AP20" s="3"/>
      <c r="AQ20" s="3"/>
    </row>
    <row r="21" spans="33:43" ht="12.75">
      <c r="AG21" s="14"/>
      <c r="AH21" s="14"/>
      <c r="AI21" s="14"/>
      <c r="AJ21" s="14"/>
      <c r="AK21" s="14"/>
      <c r="AM21" s="3"/>
      <c r="AN21" s="3"/>
      <c r="AO21" s="3"/>
      <c r="AP21" s="3"/>
      <c r="AQ21" s="3"/>
    </row>
    <row r="22" spans="33:43" ht="12.75">
      <c r="AG22" s="14"/>
      <c r="AH22" s="14"/>
      <c r="AI22" s="14"/>
      <c r="AJ22" s="14"/>
      <c r="AK22" s="14"/>
      <c r="AM22" s="3"/>
      <c r="AN22" s="3"/>
      <c r="AO22" s="3"/>
      <c r="AP22" s="3"/>
      <c r="AQ22" s="3"/>
    </row>
    <row r="23" spans="33:43" ht="12.75">
      <c r="AG23" s="14"/>
      <c r="AH23" s="14"/>
      <c r="AI23" s="14"/>
      <c r="AJ23" s="14"/>
      <c r="AK23" s="14"/>
      <c r="AM23" s="3"/>
      <c r="AN23" s="3"/>
      <c r="AO23" s="3"/>
      <c r="AP23" s="3"/>
      <c r="AQ23" s="3"/>
    </row>
    <row r="24" spans="33:43" ht="12.75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3:43" ht="12.75">
      <c r="AG25" s="14"/>
      <c r="AH25" s="14"/>
      <c r="AI25" s="14"/>
      <c r="AJ25" s="14"/>
      <c r="AK25" s="14"/>
      <c r="AM25" s="3"/>
      <c r="AN25" s="3"/>
      <c r="AO25" s="3"/>
      <c r="AP25" s="3"/>
      <c r="AQ25" s="3"/>
    </row>
    <row r="26" spans="33:43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3:138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</row>
    <row r="28" spans="33:138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</row>
    <row r="29" spans="33:138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33:138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1:13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14"/>
      <c r="AH31" s="14"/>
      <c r="AI31" s="14"/>
      <c r="AJ31" s="14"/>
      <c r="AK31" s="14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1:13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14"/>
      <c r="AH32" s="14"/>
      <c r="AI32" s="14"/>
      <c r="AJ32" s="14"/>
      <c r="AK32" s="14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</sheetData>
  <sheetProtection/>
  <printOptions/>
  <pageMargins left="0.75" right="0.75" top="1" bottom="1" header="0.5" footer="0.5"/>
  <pageSetup orientation="landscape" scale="75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F57"/>
  <sheetViews>
    <sheetView zoomScale="150" zoomScaleNormal="150" zoomScalePageLayoutView="0" workbookViewId="0" topLeftCell="A1">
      <selection activeCell="K7" sqref="K7"/>
    </sheetView>
  </sheetViews>
  <sheetFormatPr defaultColWidth="8.7109375" defaultRowHeight="12.75"/>
  <cols>
    <col min="1" max="1" width="9.7109375" style="2" customWidth="1"/>
    <col min="2" max="2" width="3.7109375" style="0" hidden="1" customWidth="1"/>
    <col min="3" max="6" width="13.7109375" style="14" hidden="1" customWidth="1"/>
    <col min="7" max="7" width="17.7109375" style="14" hidden="1" customWidth="1"/>
    <col min="8" max="8" width="3.7109375" style="14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59</v>
      </c>
      <c r="AM3" s="24" t="str">
        <f>Q3</f>
        <v>2005 Series A Bond Funded Projects after 2012D</v>
      </c>
      <c r="BH3" s="24" t="str">
        <f>AM3</f>
        <v>2005 Series A Bond Funded Projects after 2012D</v>
      </c>
      <c r="BI3" s="24"/>
      <c r="BT3" s="24"/>
      <c r="BU3" s="24"/>
      <c r="BV3" s="1"/>
      <c r="BW3"/>
      <c r="BX3"/>
      <c r="BZ3" s="24" t="str">
        <f>BH3</f>
        <v>2005 Series A Bond Funded Projects after 2012D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2012D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2012D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2012D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1"/>
      <c r="EP3" s="3"/>
      <c r="EQ3" s="3"/>
      <c r="ER3" s="24" t="str">
        <f>EB3</f>
        <v>2005 Series A Bond Funded Projects after 2012D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2012D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2012D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7" t="s">
        <v>58</v>
      </c>
      <c r="D5" s="17"/>
      <c r="E5" s="18"/>
      <c r="F5" s="20"/>
      <c r="G5" s="20"/>
      <c r="I5" s="16" t="s">
        <v>22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24</v>
      </c>
      <c r="V5" s="17"/>
      <c r="W5" s="18"/>
      <c r="X5" s="20"/>
      <c r="Y5" s="20"/>
      <c r="AA5" s="35" t="s">
        <v>25</v>
      </c>
      <c r="AB5" s="17"/>
      <c r="AC5" s="18"/>
      <c r="AD5" s="20"/>
      <c r="AE5" s="20"/>
      <c r="AG5" s="35" t="s">
        <v>26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6"/>
      <c r="AS5" s="16" t="s">
        <v>9</v>
      </c>
      <c r="AT5" s="17"/>
      <c r="AU5" s="18"/>
      <c r="AV5" s="20"/>
      <c r="AW5" s="20"/>
      <c r="AY5" s="16" t="s">
        <v>27</v>
      </c>
      <c r="AZ5" s="17"/>
      <c r="BA5" s="18"/>
      <c r="BB5" s="20"/>
      <c r="BC5" s="20"/>
      <c r="BE5" s="16" t="s">
        <v>28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29</v>
      </c>
      <c r="BR5" s="17"/>
      <c r="BS5" s="18"/>
      <c r="BT5" s="20"/>
      <c r="BU5" s="20"/>
      <c r="BW5" s="16" t="s">
        <v>30</v>
      </c>
      <c r="BX5" s="17"/>
      <c r="BY5" s="18"/>
      <c r="BZ5" s="20"/>
      <c r="CA5" s="20"/>
      <c r="CB5" s="36"/>
      <c r="CC5" s="16" t="s">
        <v>48</v>
      </c>
      <c r="CD5" s="17"/>
      <c r="CE5" s="18"/>
      <c r="CF5" s="20"/>
      <c r="CG5" s="20"/>
      <c r="CI5" s="16" t="s">
        <v>31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32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33</v>
      </c>
      <c r="DZ5" s="17"/>
      <c r="EA5" s="18"/>
      <c r="EB5" s="20"/>
      <c r="EC5" s="20"/>
    </row>
    <row r="6" spans="1:134" s="1" customFormat="1" ht="12.75">
      <c r="A6" s="25" t="s">
        <v>2</v>
      </c>
      <c r="C6" s="35" t="s">
        <v>60</v>
      </c>
      <c r="D6" s="34"/>
      <c r="E6" s="18"/>
      <c r="F6" s="20" t="s">
        <v>49</v>
      </c>
      <c r="G6" s="20" t="s">
        <v>49</v>
      </c>
      <c r="H6" s="14"/>
      <c r="I6" s="19"/>
      <c r="J6" s="38">
        <v>0.5605926</v>
      </c>
      <c r="K6" s="18"/>
      <c r="L6" s="20" t="s">
        <v>49</v>
      </c>
      <c r="M6" s="20" t="s">
        <v>49</v>
      </c>
      <c r="N6" s="14"/>
      <c r="O6" s="19"/>
      <c r="P6" s="32">
        <v>0.0902238</v>
      </c>
      <c r="Q6" s="18"/>
      <c r="R6" s="20" t="s">
        <v>49</v>
      </c>
      <c r="S6" s="20" t="s">
        <v>49</v>
      </c>
      <c r="T6" s="14"/>
      <c r="U6" s="19"/>
      <c r="V6" s="32">
        <v>0.0008478</v>
      </c>
      <c r="W6" s="18"/>
      <c r="X6" s="20" t="s">
        <v>49</v>
      </c>
      <c r="Y6" s="20" t="s">
        <v>49</v>
      </c>
      <c r="Z6" s="14"/>
      <c r="AA6" s="19"/>
      <c r="AB6" s="32">
        <v>0.0271514</v>
      </c>
      <c r="AC6" s="18"/>
      <c r="AD6" s="20" t="s">
        <v>49</v>
      </c>
      <c r="AE6" s="20" t="s">
        <v>49</v>
      </c>
      <c r="AF6" s="14"/>
      <c r="AG6" s="19"/>
      <c r="AH6" s="32">
        <v>0.2273895</v>
      </c>
      <c r="AI6" s="18"/>
      <c r="AJ6" s="20" t="s">
        <v>49</v>
      </c>
      <c r="AK6" s="20" t="s">
        <v>49</v>
      </c>
      <c r="AL6" s="14"/>
      <c r="AM6" s="19"/>
      <c r="AN6" s="32">
        <v>0.0588551</v>
      </c>
      <c r="AO6" s="18"/>
      <c r="AP6" s="20" t="s">
        <v>49</v>
      </c>
      <c r="AQ6" s="20" t="s">
        <v>49</v>
      </c>
      <c r="AR6" s="36"/>
      <c r="AS6" s="19"/>
      <c r="AT6" s="32">
        <v>0.0398496</v>
      </c>
      <c r="AU6" s="18"/>
      <c r="AV6" s="20" t="s">
        <v>49</v>
      </c>
      <c r="AW6" s="20" t="s">
        <v>49</v>
      </c>
      <c r="AX6" s="14"/>
      <c r="AY6" s="19"/>
      <c r="AZ6" s="32">
        <v>0.0061294</v>
      </c>
      <c r="BA6" s="18"/>
      <c r="BB6" s="20" t="s">
        <v>49</v>
      </c>
      <c r="BC6" s="20" t="s">
        <v>49</v>
      </c>
      <c r="BD6" s="14"/>
      <c r="BE6" s="19"/>
      <c r="BF6" s="32">
        <v>0.014032</v>
      </c>
      <c r="BG6" s="18"/>
      <c r="BH6" s="20" t="s">
        <v>49</v>
      </c>
      <c r="BI6" s="20" t="s">
        <v>49</v>
      </c>
      <c r="BJ6" s="14"/>
      <c r="BK6" s="19"/>
      <c r="BL6" s="32">
        <v>0.0023527</v>
      </c>
      <c r="BM6" s="18"/>
      <c r="BN6" s="20" t="s">
        <v>49</v>
      </c>
      <c r="BO6" s="20" t="s">
        <v>49</v>
      </c>
      <c r="BP6" s="14"/>
      <c r="BQ6" s="19"/>
      <c r="BR6" s="32">
        <v>0.0025449</v>
      </c>
      <c r="BS6" s="18"/>
      <c r="BT6" s="20" t="s">
        <v>49</v>
      </c>
      <c r="BU6" s="20" t="s">
        <v>49</v>
      </c>
      <c r="BV6" s="14"/>
      <c r="BW6" s="19"/>
      <c r="BX6" s="32">
        <v>0.0048599</v>
      </c>
      <c r="BY6" s="18"/>
      <c r="BZ6" s="20" t="s">
        <v>49</v>
      </c>
      <c r="CA6" s="20" t="s">
        <v>49</v>
      </c>
      <c r="CB6" s="36"/>
      <c r="CC6" s="19"/>
      <c r="CD6" s="32">
        <v>0.0008071</v>
      </c>
      <c r="CE6" s="18"/>
      <c r="CF6" s="20" t="s">
        <v>49</v>
      </c>
      <c r="CG6" s="20" t="s">
        <v>49</v>
      </c>
      <c r="CH6" s="14"/>
      <c r="CI6" s="19"/>
      <c r="CJ6" s="32">
        <v>1.4E-05</v>
      </c>
      <c r="CK6" s="18"/>
      <c r="CL6" s="20" t="s">
        <v>49</v>
      </c>
      <c r="CM6" s="20" t="s">
        <v>49</v>
      </c>
      <c r="CN6" s="14"/>
      <c r="CO6" s="19"/>
      <c r="CP6" s="32">
        <v>0.0051373</v>
      </c>
      <c r="CQ6" s="18"/>
      <c r="CR6" s="20" t="s">
        <v>49</v>
      </c>
      <c r="CS6" s="20" t="s">
        <v>49</v>
      </c>
      <c r="CT6" s="14"/>
      <c r="CU6" s="19"/>
      <c r="CV6" s="32">
        <v>0.0074436</v>
      </c>
      <c r="CW6" s="18"/>
      <c r="CX6" s="20" t="s">
        <v>49</v>
      </c>
      <c r="CY6" s="20" t="s">
        <v>49</v>
      </c>
      <c r="CZ6" s="14"/>
      <c r="DA6" s="19"/>
      <c r="DB6" s="32">
        <v>0.0094183</v>
      </c>
      <c r="DC6" s="18"/>
      <c r="DD6" s="20" t="s">
        <v>49</v>
      </c>
      <c r="DE6" s="20" t="s">
        <v>49</v>
      </c>
      <c r="DF6" s="14"/>
      <c r="DG6" s="19"/>
      <c r="DH6" s="32">
        <v>0.000876</v>
      </c>
      <c r="DI6" s="18"/>
      <c r="DJ6" s="20" t="s">
        <v>49</v>
      </c>
      <c r="DK6" s="20" t="s">
        <v>49</v>
      </c>
      <c r="DL6" s="14"/>
      <c r="DM6" s="19"/>
      <c r="DN6" s="32">
        <v>0.0165525</v>
      </c>
      <c r="DO6" s="18"/>
      <c r="DP6" s="20" t="s">
        <v>49</v>
      </c>
      <c r="DQ6" s="20" t="s">
        <v>49</v>
      </c>
      <c r="DR6" s="14"/>
      <c r="DS6" s="19"/>
      <c r="DT6" s="32">
        <v>0.0429442</v>
      </c>
      <c r="DU6" s="18"/>
      <c r="DV6" s="20" t="s">
        <v>49</v>
      </c>
      <c r="DW6" s="20" t="s">
        <v>49</v>
      </c>
      <c r="DX6" s="14"/>
      <c r="DY6" s="19"/>
      <c r="DZ6" s="32">
        <v>0.0031635</v>
      </c>
      <c r="EA6" s="18"/>
      <c r="EB6" s="20" t="s">
        <v>49</v>
      </c>
      <c r="EC6" s="20" t="s">
        <v>49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50</v>
      </c>
      <c r="G7" s="20" t="s">
        <v>51</v>
      </c>
      <c r="I7" s="20" t="s">
        <v>3</v>
      </c>
      <c r="J7" s="20" t="s">
        <v>4</v>
      </c>
      <c r="K7" s="20" t="s">
        <v>0</v>
      </c>
      <c r="L7" s="20" t="s">
        <v>50</v>
      </c>
      <c r="M7" s="20" t="s">
        <v>51</v>
      </c>
      <c r="O7" s="20" t="s">
        <v>3</v>
      </c>
      <c r="P7" s="20" t="s">
        <v>4</v>
      </c>
      <c r="Q7" s="20" t="s">
        <v>0</v>
      </c>
      <c r="R7" s="20" t="s">
        <v>50</v>
      </c>
      <c r="S7" s="20" t="s">
        <v>51</v>
      </c>
      <c r="U7" s="20" t="s">
        <v>3</v>
      </c>
      <c r="V7" s="20" t="s">
        <v>4</v>
      </c>
      <c r="W7" s="20" t="s">
        <v>0</v>
      </c>
      <c r="X7" s="20" t="s">
        <v>50</v>
      </c>
      <c r="Y7" s="20" t="s">
        <v>51</v>
      </c>
      <c r="AA7" s="20" t="s">
        <v>3</v>
      </c>
      <c r="AB7" s="20" t="s">
        <v>4</v>
      </c>
      <c r="AC7" s="20" t="s">
        <v>0</v>
      </c>
      <c r="AD7" s="20" t="s">
        <v>50</v>
      </c>
      <c r="AE7" s="20" t="s">
        <v>51</v>
      </c>
      <c r="AG7" s="20" t="s">
        <v>3</v>
      </c>
      <c r="AH7" s="20" t="s">
        <v>4</v>
      </c>
      <c r="AI7" s="20" t="s">
        <v>0</v>
      </c>
      <c r="AJ7" s="20" t="s">
        <v>50</v>
      </c>
      <c r="AK7" s="20" t="s">
        <v>51</v>
      </c>
      <c r="AM7" s="20" t="s">
        <v>3</v>
      </c>
      <c r="AN7" s="20" t="s">
        <v>4</v>
      </c>
      <c r="AO7" s="20" t="s">
        <v>0</v>
      </c>
      <c r="AP7" s="20" t="s">
        <v>50</v>
      </c>
      <c r="AQ7" s="20" t="s">
        <v>51</v>
      </c>
      <c r="AR7" s="37"/>
      <c r="AS7" s="20" t="s">
        <v>3</v>
      </c>
      <c r="AT7" s="20" t="s">
        <v>4</v>
      </c>
      <c r="AU7" s="20" t="s">
        <v>0</v>
      </c>
      <c r="AV7" s="20" t="s">
        <v>50</v>
      </c>
      <c r="AW7" s="20" t="s">
        <v>51</v>
      </c>
      <c r="AY7" s="20" t="s">
        <v>3</v>
      </c>
      <c r="AZ7" s="20" t="s">
        <v>4</v>
      </c>
      <c r="BA7" s="20" t="s">
        <v>0</v>
      </c>
      <c r="BB7" s="20" t="s">
        <v>50</v>
      </c>
      <c r="BC7" s="20" t="s">
        <v>51</v>
      </c>
      <c r="BE7" s="20" t="s">
        <v>3</v>
      </c>
      <c r="BF7" s="20" t="s">
        <v>4</v>
      </c>
      <c r="BG7" s="20" t="s">
        <v>0</v>
      </c>
      <c r="BH7" s="20" t="s">
        <v>50</v>
      </c>
      <c r="BI7" s="20" t="s">
        <v>51</v>
      </c>
      <c r="BK7" s="20" t="s">
        <v>3</v>
      </c>
      <c r="BL7" s="20" t="s">
        <v>4</v>
      </c>
      <c r="BM7" s="20" t="s">
        <v>0</v>
      </c>
      <c r="BN7" s="20" t="s">
        <v>50</v>
      </c>
      <c r="BO7" s="20" t="s">
        <v>51</v>
      </c>
      <c r="BQ7" s="20" t="s">
        <v>3</v>
      </c>
      <c r="BR7" s="20" t="s">
        <v>4</v>
      </c>
      <c r="BS7" s="20" t="s">
        <v>0</v>
      </c>
      <c r="BT7" s="20" t="s">
        <v>50</v>
      </c>
      <c r="BU7" s="20" t="s">
        <v>51</v>
      </c>
      <c r="BW7" s="20" t="s">
        <v>3</v>
      </c>
      <c r="BX7" s="20" t="s">
        <v>4</v>
      </c>
      <c r="BY7" s="20" t="s">
        <v>0</v>
      </c>
      <c r="BZ7" s="20" t="s">
        <v>50</v>
      </c>
      <c r="CA7" s="20" t="s">
        <v>51</v>
      </c>
      <c r="CB7" s="37"/>
      <c r="CC7" s="20" t="s">
        <v>3</v>
      </c>
      <c r="CD7" s="20" t="s">
        <v>4</v>
      </c>
      <c r="CE7" s="20" t="s">
        <v>0</v>
      </c>
      <c r="CF7" s="20" t="s">
        <v>50</v>
      </c>
      <c r="CG7" s="20" t="s">
        <v>51</v>
      </c>
      <c r="CI7" s="20" t="s">
        <v>3</v>
      </c>
      <c r="CJ7" s="20" t="s">
        <v>4</v>
      </c>
      <c r="CK7" s="20" t="s">
        <v>0</v>
      </c>
      <c r="CL7" s="20" t="s">
        <v>50</v>
      </c>
      <c r="CM7" s="20" t="s">
        <v>51</v>
      </c>
      <c r="CO7" s="20" t="s">
        <v>3</v>
      </c>
      <c r="CP7" s="20" t="s">
        <v>4</v>
      </c>
      <c r="CQ7" s="20" t="s">
        <v>0</v>
      </c>
      <c r="CR7" s="20" t="s">
        <v>50</v>
      </c>
      <c r="CS7" s="20" t="s">
        <v>51</v>
      </c>
      <c r="CU7" s="20" t="s">
        <v>3</v>
      </c>
      <c r="CV7" s="20" t="s">
        <v>4</v>
      </c>
      <c r="CW7" s="20" t="s">
        <v>0</v>
      </c>
      <c r="CX7" s="20" t="s">
        <v>50</v>
      </c>
      <c r="CY7" s="20" t="s">
        <v>51</v>
      </c>
      <c r="DA7" s="20" t="s">
        <v>3</v>
      </c>
      <c r="DB7" s="20" t="s">
        <v>4</v>
      </c>
      <c r="DC7" s="20" t="s">
        <v>0</v>
      </c>
      <c r="DD7" s="20" t="s">
        <v>50</v>
      </c>
      <c r="DE7" s="20" t="s">
        <v>51</v>
      </c>
      <c r="DG7" s="20" t="s">
        <v>3</v>
      </c>
      <c r="DH7" s="20" t="s">
        <v>4</v>
      </c>
      <c r="DI7" s="20" t="s">
        <v>0</v>
      </c>
      <c r="DJ7" s="20" t="s">
        <v>50</v>
      </c>
      <c r="DK7" s="20" t="s">
        <v>51</v>
      </c>
      <c r="DM7" s="20" t="s">
        <v>3</v>
      </c>
      <c r="DN7" s="20" t="s">
        <v>4</v>
      </c>
      <c r="DO7" s="20" t="s">
        <v>0</v>
      </c>
      <c r="DP7" s="20" t="s">
        <v>50</v>
      </c>
      <c r="DQ7" s="20" t="s">
        <v>51</v>
      </c>
      <c r="DS7" s="20" t="s">
        <v>3</v>
      </c>
      <c r="DT7" s="20" t="s">
        <v>4</v>
      </c>
      <c r="DU7" s="20" t="s">
        <v>0</v>
      </c>
      <c r="DV7" s="20" t="s">
        <v>50</v>
      </c>
      <c r="DW7" s="20" t="s">
        <v>51</v>
      </c>
      <c r="DY7" s="20" t="s">
        <v>3</v>
      </c>
      <c r="DZ7" s="20" t="s">
        <v>4</v>
      </c>
      <c r="EA7" s="20" t="s">
        <v>0</v>
      </c>
      <c r="EB7" s="20" t="s">
        <v>50</v>
      </c>
      <c r="EC7" s="20" t="s">
        <v>51</v>
      </c>
    </row>
    <row r="8" spans="1:134" s="31" customFormat="1" ht="12.75">
      <c r="A8" s="30">
        <v>44470</v>
      </c>
      <c r="C8" s="15">
        <f>'2012D'!C8</f>
        <v>0</v>
      </c>
      <c r="D8" s="15">
        <f>'2012D'!D8</f>
        <v>135100</v>
      </c>
      <c r="E8" s="15">
        <f aca="true" t="shared" si="0" ref="E8:E15">C8+D8</f>
        <v>135100</v>
      </c>
      <c r="F8" s="15">
        <f>'2012D'!F8</f>
        <v>76179</v>
      </c>
      <c r="G8" s="15">
        <f>'2012D'!G8</f>
        <v>29566</v>
      </c>
      <c r="H8" s="29"/>
      <c r="I8" s="44">
        <f aca="true" t="shared" si="1" ref="I8:J15">O8+U8+AA8+AG8+AM8+AS8+AY8+BE8+BK8+BQ8+BW8+CC8+CI8+CO8+CU8+DA8+DG8+DM8+DS8+DY8</f>
        <v>0</v>
      </c>
      <c r="J8" s="44">
        <f t="shared" si="1"/>
        <v>75736.06026</v>
      </c>
      <c r="K8" s="44">
        <f aca="true" t="shared" si="2" ref="K8:K15">I8+J8</f>
        <v>75736.06026</v>
      </c>
      <c r="L8" s="44">
        <f aca="true" t="shared" si="3" ref="L8:M15">R8+X8+AD8+AJ8+AP8+AV8+BB8+BH8+BN8+BT8+BZ8+CF8+CL8+CR8+CX8+DD8+DJ8+DP8+DV8+EB8</f>
        <v>42705.38367540001</v>
      </c>
      <c r="M8" s="44">
        <f t="shared" si="3"/>
        <v>16574.4808116</v>
      </c>
      <c r="N8" s="29"/>
      <c r="O8" s="14">
        <f aca="true" t="shared" si="4" ref="O8:O14">P$6*$C8</f>
        <v>0</v>
      </c>
      <c r="P8" s="29">
        <f aca="true" t="shared" si="5" ref="P8:P15">D8*9.02238/100</f>
        <v>12189.23538</v>
      </c>
      <c r="Q8" s="29">
        <f aca="true" t="shared" si="6" ref="Q8:Q15">O8+P8</f>
        <v>12189.23538</v>
      </c>
      <c r="R8" s="29">
        <f aca="true" t="shared" si="7" ref="R8:R15">P$6*$F8</f>
        <v>6873.1588602</v>
      </c>
      <c r="S8" s="29">
        <f aca="true" t="shared" si="8" ref="S8:S15">P$6*$G8</f>
        <v>2667.5568708</v>
      </c>
      <c r="T8" s="29"/>
      <c r="U8" s="14">
        <f aca="true" t="shared" si="9" ref="U8:U14">V$6*$C8</f>
        <v>0</v>
      </c>
      <c r="V8" s="14">
        <f aca="true" t="shared" si="10" ref="V8:V15">D8*0.08478/100</f>
        <v>114.53777999999998</v>
      </c>
      <c r="W8" s="14">
        <f aca="true" t="shared" si="11" ref="W8:W15">U8+V8</f>
        <v>114.53777999999998</v>
      </c>
      <c r="X8" s="29">
        <f aca="true" t="shared" si="12" ref="X8:X15">V$6*$F8</f>
        <v>64.5845562</v>
      </c>
      <c r="Y8" s="29">
        <f aca="true" t="shared" si="13" ref="Y8:Y15">V$6*$G8</f>
        <v>25.0660548</v>
      </c>
      <c r="Z8" s="29"/>
      <c r="AA8" s="14">
        <f aca="true" t="shared" si="14" ref="AA8:AA14">AB$6*$C8</f>
        <v>0</v>
      </c>
      <c r="AB8" s="14">
        <f aca="true" t="shared" si="15" ref="AB8:AB15">D8*2.71514/100</f>
        <v>3668.15414</v>
      </c>
      <c r="AC8" s="14">
        <f aca="true" t="shared" si="16" ref="AC8:AC15">AA8+AB8</f>
        <v>3668.15414</v>
      </c>
      <c r="AD8" s="29">
        <f aca="true" t="shared" si="17" ref="AD8:AD15">AB$6*$F8</f>
        <v>2068.3665006</v>
      </c>
      <c r="AE8" s="29">
        <f aca="true" t="shared" si="18" ref="AE8:AE15">AB$6*$G8</f>
        <v>802.7582924</v>
      </c>
      <c r="AF8" s="29"/>
      <c r="AG8" s="14">
        <f aca="true" t="shared" si="19" ref="AG8:AG14">AH$6*$C8</f>
        <v>0</v>
      </c>
      <c r="AH8" s="14">
        <f aca="true" t="shared" si="20" ref="AH8:AH15">D8*22.73895/100</f>
        <v>30720.32145</v>
      </c>
      <c r="AI8" s="14">
        <f aca="true" t="shared" si="21" ref="AI8:AI15">AG8+AH8</f>
        <v>30720.32145</v>
      </c>
      <c r="AJ8" s="29">
        <f aca="true" t="shared" si="22" ref="AJ8:AJ15">AH$6*$F8</f>
        <v>17322.3047205</v>
      </c>
      <c r="AK8" s="29">
        <f aca="true" t="shared" si="23" ref="AK8:AK15">AH$6*$G8</f>
        <v>6722.997957</v>
      </c>
      <c r="AL8" s="29"/>
      <c r="AM8" s="14">
        <f aca="true" t="shared" si="24" ref="AM8:AM14">AN$6*$C8</f>
        <v>0</v>
      </c>
      <c r="AN8" s="14">
        <f aca="true" t="shared" si="25" ref="AN8:AN15">D8*5.88551/100</f>
        <v>7951.324009999999</v>
      </c>
      <c r="AO8" s="14">
        <f aca="true" t="shared" si="26" ref="AO8:AO15">AM8+AN8</f>
        <v>7951.324009999999</v>
      </c>
      <c r="AP8" s="29">
        <f aca="true" t="shared" si="27" ref="AP8:AP15">AN$6*$F8</f>
        <v>4483.5226629</v>
      </c>
      <c r="AQ8" s="29">
        <f aca="true" t="shared" si="28" ref="AQ8:AQ15">AN$6*$G8</f>
        <v>1740.1098866</v>
      </c>
      <c r="AR8" s="14"/>
      <c r="AS8" s="14">
        <f aca="true" t="shared" si="29" ref="AS8:AS14">AT$6*$C8</f>
        <v>0</v>
      </c>
      <c r="AT8" s="14">
        <f aca="true" t="shared" si="30" ref="AT8:AT15">D8*3.98496/100</f>
        <v>5383.680960000001</v>
      </c>
      <c r="AU8" s="14">
        <f aca="true" t="shared" si="31" ref="AU8:AU15">AS8+AT8</f>
        <v>5383.680960000001</v>
      </c>
      <c r="AV8" s="29">
        <f aca="true" t="shared" si="32" ref="AV8:AV15">AT$6*$F8</f>
        <v>3035.7026784</v>
      </c>
      <c r="AW8" s="29">
        <f aca="true" t="shared" si="33" ref="AW8:AW15">AT$6*$G8</f>
        <v>1178.1932735999999</v>
      </c>
      <c r="AX8" s="29"/>
      <c r="AY8" s="14">
        <f aca="true" t="shared" si="34" ref="AY8:AY14">AZ$6*$C8</f>
        <v>0</v>
      </c>
      <c r="AZ8" s="14">
        <f aca="true" t="shared" si="35" ref="AZ8:AZ15">D8*0.61294/100</f>
        <v>828.08194</v>
      </c>
      <c r="BA8" s="14">
        <f aca="true" t="shared" si="36" ref="BA8:BA15">AY8+AZ8</f>
        <v>828.08194</v>
      </c>
      <c r="BB8" s="29">
        <f aca="true" t="shared" si="37" ref="BB8:BB15">AZ$6*$F8</f>
        <v>466.9315626</v>
      </c>
      <c r="BC8" s="29">
        <f aca="true" t="shared" si="38" ref="BC8:BC15">AZ$6*$G8</f>
        <v>181.2218404</v>
      </c>
      <c r="BD8" s="29"/>
      <c r="BE8" s="14">
        <f aca="true" t="shared" si="39" ref="BE8:BE14">BF$6*$C8</f>
        <v>0</v>
      </c>
      <c r="BF8" s="14">
        <f aca="true" t="shared" si="40" ref="BF8:BF15">D8*1.4032/100</f>
        <v>1895.7232000000001</v>
      </c>
      <c r="BG8" s="14">
        <f aca="true" t="shared" si="41" ref="BG8:BG15">BE8+BF8</f>
        <v>1895.7232000000001</v>
      </c>
      <c r="BH8" s="29">
        <f aca="true" t="shared" si="42" ref="BH8:BH15">BF$6*$F8</f>
        <v>1068.943728</v>
      </c>
      <c r="BI8" s="29">
        <f aca="true" t="shared" si="43" ref="BI8:BI15">BF$6*$G8</f>
        <v>414.870112</v>
      </c>
      <c r="BJ8" s="29"/>
      <c r="BK8" s="14">
        <f aca="true" t="shared" si="44" ref="BK8:BK14">BL$6*$C8</f>
        <v>0</v>
      </c>
      <c r="BL8" s="14">
        <f aca="true" t="shared" si="45" ref="BL8:BL15">D8*0.23527/100</f>
        <v>317.84977000000003</v>
      </c>
      <c r="BM8" s="14">
        <f aca="true" t="shared" si="46" ref="BM8:BM15">BK8+BL8</f>
        <v>317.84977000000003</v>
      </c>
      <c r="BN8" s="29">
        <f aca="true" t="shared" si="47" ref="BN8:BN15">BL$6*$F8</f>
        <v>179.22633330000002</v>
      </c>
      <c r="BO8" s="29">
        <f aca="true" t="shared" si="48" ref="BO8:BO15">BL$6*$G8</f>
        <v>69.5599282</v>
      </c>
      <c r="BP8" s="29"/>
      <c r="BQ8" s="14">
        <f aca="true" t="shared" si="49" ref="BQ8:BQ14">BR$6*$C8</f>
        <v>0</v>
      </c>
      <c r="BR8" s="14">
        <f aca="true" t="shared" si="50" ref="BR8:BR15">D8*0.25449/100</f>
        <v>343.81599</v>
      </c>
      <c r="BS8" s="14">
        <f aca="true" t="shared" si="51" ref="BS8:BS15">BQ8+BR8</f>
        <v>343.81599</v>
      </c>
      <c r="BT8" s="29">
        <f aca="true" t="shared" si="52" ref="BT8:BT15">BR$6*$F8</f>
        <v>193.8679371</v>
      </c>
      <c r="BU8" s="29">
        <f aca="true" t="shared" si="53" ref="BU8:BU15">BR$6*$G8</f>
        <v>75.2425134</v>
      </c>
      <c r="BV8" s="29"/>
      <c r="BW8" s="14">
        <f aca="true" t="shared" si="54" ref="BW8:BW14">BX$6*$C8</f>
        <v>0</v>
      </c>
      <c r="BX8" s="14">
        <f aca="true" t="shared" si="55" ref="BX8:BX15">D8*0.48599/100</f>
        <v>656.57249</v>
      </c>
      <c r="BY8" s="14">
        <f aca="true" t="shared" si="56" ref="BY8:BY15">BW8+BX8</f>
        <v>656.57249</v>
      </c>
      <c r="BZ8" s="29">
        <f aca="true" t="shared" si="57" ref="BZ8:BZ15">BX$6*$F8</f>
        <v>370.22232210000004</v>
      </c>
      <c r="CA8" s="29">
        <f aca="true" t="shared" si="58" ref="CA8:CA15">BX$6*$G8</f>
        <v>143.6878034</v>
      </c>
      <c r="CB8" s="14"/>
      <c r="CC8" s="14">
        <f aca="true" t="shared" si="59" ref="CC8:CC14">CD$6*$C8</f>
        <v>0</v>
      </c>
      <c r="CD8" s="14">
        <f aca="true" t="shared" si="60" ref="CD8:CD15">D8*0.08071/100</f>
        <v>109.03921</v>
      </c>
      <c r="CE8" s="14">
        <f aca="true" t="shared" si="61" ref="CE8:CE15">CC8+CD8</f>
        <v>109.03921</v>
      </c>
      <c r="CF8" s="29">
        <f aca="true" t="shared" si="62" ref="CF8:CF15">CD$6*$F8</f>
        <v>61.484070900000006</v>
      </c>
      <c r="CG8" s="29">
        <f aca="true" t="shared" si="63" ref="CG8:CG15">CD$6*$G8</f>
        <v>23.8627186</v>
      </c>
      <c r="CH8" s="29"/>
      <c r="CI8" s="14">
        <f aca="true" t="shared" si="64" ref="CI8:CI14">CJ$6*$C8</f>
        <v>0</v>
      </c>
      <c r="CJ8" s="14">
        <f aca="true" t="shared" si="65" ref="CJ8:CJ15">D8*0.0014/100</f>
        <v>1.8914</v>
      </c>
      <c r="CK8" s="14">
        <f aca="true" t="shared" si="66" ref="CK8:CK15">CI8+CJ8</f>
        <v>1.8914</v>
      </c>
      <c r="CL8" s="29">
        <f aca="true" t="shared" si="67" ref="CL8:CL15">CJ$6*$F8</f>
        <v>1.066506</v>
      </c>
      <c r="CM8" s="29">
        <f aca="true" t="shared" si="68" ref="CM8:CM15">CJ$6*$G8</f>
        <v>0.413924</v>
      </c>
      <c r="CN8" s="29"/>
      <c r="CO8" s="14">
        <f aca="true" t="shared" si="69" ref="CO8:CO14">CP$6*$C8</f>
        <v>0</v>
      </c>
      <c r="CP8" s="14">
        <f aca="true" t="shared" si="70" ref="CP8:CP15">D8*0.51373/100</f>
        <v>694.0492300000001</v>
      </c>
      <c r="CQ8" s="14">
        <f aca="true" t="shared" si="71" ref="CQ8:CQ15">CO8+CP8</f>
        <v>694.0492300000001</v>
      </c>
      <c r="CR8" s="29">
        <f aca="true" t="shared" si="72" ref="CR8:CR15">CP$6*$F8</f>
        <v>391.3543767</v>
      </c>
      <c r="CS8" s="29">
        <f aca="true" t="shared" si="73" ref="CS8:CS15">CP$6*$G8</f>
        <v>151.8894118</v>
      </c>
      <c r="CT8" s="29"/>
      <c r="CU8" s="14">
        <f aca="true" t="shared" si="74" ref="CU8:CU14">CV$6*$C8</f>
        <v>0</v>
      </c>
      <c r="CV8" s="14">
        <f aca="true" t="shared" si="75" ref="CV8:CV15">D8*0.74436/100</f>
        <v>1005.6303600000001</v>
      </c>
      <c r="CW8" s="14">
        <f aca="true" t="shared" si="76" ref="CW8:CW15">CU8+CV8</f>
        <v>1005.6303600000001</v>
      </c>
      <c r="CX8" s="29">
        <f aca="true" t="shared" si="77" ref="CX8:CX15">CV$6*$F8</f>
        <v>567.0460044</v>
      </c>
      <c r="CY8" s="29">
        <f aca="true" t="shared" si="78" ref="CY8:CY15">CV$6*$G8</f>
        <v>220.0774776</v>
      </c>
      <c r="CZ8" s="29"/>
      <c r="DA8" s="14">
        <f aca="true" t="shared" si="79" ref="DA8:DA14">DB$6*$C8</f>
        <v>0</v>
      </c>
      <c r="DB8" s="14">
        <f aca="true" t="shared" si="80" ref="DB8:DB15">D8*0.94183/100</f>
        <v>1272.4123299999999</v>
      </c>
      <c r="DC8" s="14">
        <f aca="true" t="shared" si="81" ref="DC8:DC15">DA8+DB8</f>
        <v>1272.4123299999999</v>
      </c>
      <c r="DD8" s="29">
        <f aca="true" t="shared" si="82" ref="DD8:DD15">DB$6*$F8</f>
        <v>717.4766757</v>
      </c>
      <c r="DE8" s="29">
        <f aca="true" t="shared" si="83" ref="DE8:DE15">DB$6*$G8</f>
        <v>278.4614578</v>
      </c>
      <c r="DF8" s="29"/>
      <c r="DG8" s="14">
        <f aca="true" t="shared" si="84" ref="DG8:DG14">DH$6*$C8</f>
        <v>0</v>
      </c>
      <c r="DH8" s="14">
        <f aca="true" t="shared" si="85" ref="DH8:DH15">D8*0.0876/100</f>
        <v>118.3476</v>
      </c>
      <c r="DI8" s="14">
        <f aca="true" t="shared" si="86" ref="DI8:DI15">DG8+DH8</f>
        <v>118.3476</v>
      </c>
      <c r="DJ8" s="29">
        <f aca="true" t="shared" si="87" ref="DJ8:DJ15">DH$6*$F8</f>
        <v>66.732804</v>
      </c>
      <c r="DK8" s="29">
        <f aca="true" t="shared" si="88" ref="DK8:DK15">DH$6*$G8</f>
        <v>25.899816</v>
      </c>
      <c r="DL8" s="29"/>
      <c r="DM8" s="14">
        <f aca="true" t="shared" si="89" ref="DM8:DM14">DN$6*$C8</f>
        <v>0</v>
      </c>
      <c r="DN8" s="29">
        <f aca="true" t="shared" si="90" ref="DN8:DN15">D8*1.65525/100</f>
        <v>2236.2427500000003</v>
      </c>
      <c r="DO8" s="14">
        <f aca="true" t="shared" si="91" ref="DO8:DO15">DM8+DN8</f>
        <v>2236.2427500000003</v>
      </c>
      <c r="DP8" s="29">
        <f aca="true" t="shared" si="92" ref="DP8:DP15">DN$6*$F8</f>
        <v>1260.9528975</v>
      </c>
      <c r="DQ8" s="29">
        <f aca="true" t="shared" si="93" ref="DQ8:DQ15">DN$6*$G8</f>
        <v>489.39121500000005</v>
      </c>
      <c r="DR8" s="29"/>
      <c r="DS8" s="14">
        <f aca="true" t="shared" si="94" ref="DS8:DS14">DT$6*$C8</f>
        <v>0</v>
      </c>
      <c r="DT8" s="14">
        <f aca="true" t="shared" si="95" ref="DT8:DT15">D8*4.29442/100</f>
        <v>5801.76142</v>
      </c>
      <c r="DU8" s="14">
        <f aca="true" t="shared" si="96" ref="DU8:DU15">DS8+DT8</f>
        <v>5801.76142</v>
      </c>
      <c r="DV8" s="29">
        <f aca="true" t="shared" si="97" ref="DV8:DV15">DT$6*$F8</f>
        <v>3271.4462118</v>
      </c>
      <c r="DW8" s="29">
        <f aca="true" t="shared" si="98" ref="DW8:DW15">DT$6*$G8</f>
        <v>1269.6882172</v>
      </c>
      <c r="DX8" s="29"/>
      <c r="DY8" s="14">
        <f aca="true" t="shared" si="99" ref="DY8:DY14">DZ$6*$C8</f>
        <v>0</v>
      </c>
      <c r="DZ8" s="14">
        <f aca="true" t="shared" si="100" ref="DZ8:DZ15">D8*0.31635/100</f>
        <v>427.38885000000005</v>
      </c>
      <c r="EA8" s="14">
        <f aca="true" t="shared" si="101" ref="EA8:EA15">DY8+DZ8</f>
        <v>427.38885000000005</v>
      </c>
      <c r="EB8" s="29">
        <f aca="true" t="shared" si="102" ref="EB8:EB15">DZ$6*$F8</f>
        <v>240.9922665</v>
      </c>
      <c r="EC8" s="29">
        <f aca="true" t="shared" si="103" ref="EC8:EC15">DZ$6*$G8</f>
        <v>93.532041</v>
      </c>
      <c r="ED8" s="29"/>
    </row>
    <row r="9" spans="1:134" s="31" customFormat="1" ht="12.75">
      <c r="A9" s="30">
        <v>44652</v>
      </c>
      <c r="C9" s="15">
        <f>'2012D'!C9</f>
        <v>0</v>
      </c>
      <c r="D9" s="15">
        <f>'2012D'!D9</f>
        <v>135100</v>
      </c>
      <c r="E9" s="15">
        <f t="shared" si="0"/>
        <v>135100</v>
      </c>
      <c r="F9" s="15">
        <f>'2012D'!F9</f>
        <v>76179</v>
      </c>
      <c r="G9" s="15">
        <f>'2012D'!G9</f>
        <v>29566</v>
      </c>
      <c r="H9" s="29"/>
      <c r="I9" s="44">
        <f t="shared" si="1"/>
        <v>0</v>
      </c>
      <c r="J9" s="44">
        <f t="shared" si="1"/>
        <v>75736.06026</v>
      </c>
      <c r="K9" s="44">
        <f t="shared" si="2"/>
        <v>75736.06026</v>
      </c>
      <c r="L9" s="44">
        <f t="shared" si="3"/>
        <v>42705.38367540001</v>
      </c>
      <c r="M9" s="44">
        <f t="shared" si="3"/>
        <v>16574.4808116</v>
      </c>
      <c r="N9" s="29"/>
      <c r="O9" s="14"/>
      <c r="P9" s="29">
        <f t="shared" si="5"/>
        <v>12189.23538</v>
      </c>
      <c r="Q9" s="29">
        <f t="shared" si="6"/>
        <v>12189.23538</v>
      </c>
      <c r="R9" s="29">
        <f t="shared" si="7"/>
        <v>6873.1588602</v>
      </c>
      <c r="S9" s="29">
        <f t="shared" si="8"/>
        <v>2667.5568708</v>
      </c>
      <c r="T9" s="29"/>
      <c r="U9" s="14"/>
      <c r="V9" s="14">
        <f t="shared" si="10"/>
        <v>114.53777999999998</v>
      </c>
      <c r="W9" s="14">
        <f t="shared" si="11"/>
        <v>114.53777999999998</v>
      </c>
      <c r="X9" s="29">
        <f t="shared" si="12"/>
        <v>64.5845562</v>
      </c>
      <c r="Y9" s="29">
        <f t="shared" si="13"/>
        <v>25.0660548</v>
      </c>
      <c r="Z9" s="29"/>
      <c r="AA9" s="14"/>
      <c r="AB9" s="14">
        <f t="shared" si="15"/>
        <v>3668.15414</v>
      </c>
      <c r="AC9" s="14">
        <f t="shared" si="16"/>
        <v>3668.15414</v>
      </c>
      <c r="AD9" s="29">
        <f t="shared" si="17"/>
        <v>2068.3665006</v>
      </c>
      <c r="AE9" s="29">
        <f t="shared" si="18"/>
        <v>802.7582924</v>
      </c>
      <c r="AF9" s="29"/>
      <c r="AG9" s="14"/>
      <c r="AH9" s="14">
        <f t="shared" si="20"/>
        <v>30720.32145</v>
      </c>
      <c r="AI9" s="14">
        <f t="shared" si="21"/>
        <v>30720.32145</v>
      </c>
      <c r="AJ9" s="29">
        <f t="shared" si="22"/>
        <v>17322.3047205</v>
      </c>
      <c r="AK9" s="29">
        <f t="shared" si="23"/>
        <v>6722.997957</v>
      </c>
      <c r="AL9" s="29"/>
      <c r="AM9" s="14"/>
      <c r="AN9" s="14">
        <f t="shared" si="25"/>
        <v>7951.324009999999</v>
      </c>
      <c r="AO9" s="14">
        <f t="shared" si="26"/>
        <v>7951.324009999999</v>
      </c>
      <c r="AP9" s="29">
        <f t="shared" si="27"/>
        <v>4483.5226629</v>
      </c>
      <c r="AQ9" s="29">
        <f t="shared" si="28"/>
        <v>1740.1098866</v>
      </c>
      <c r="AR9" s="14"/>
      <c r="AS9" s="14"/>
      <c r="AT9" s="14">
        <f t="shared" si="30"/>
        <v>5383.680960000001</v>
      </c>
      <c r="AU9" s="14">
        <f t="shared" si="31"/>
        <v>5383.680960000001</v>
      </c>
      <c r="AV9" s="29">
        <f t="shared" si="32"/>
        <v>3035.7026784</v>
      </c>
      <c r="AW9" s="29">
        <f t="shared" si="33"/>
        <v>1178.1932735999999</v>
      </c>
      <c r="AX9" s="29"/>
      <c r="AY9" s="14"/>
      <c r="AZ9" s="14">
        <f t="shared" si="35"/>
        <v>828.08194</v>
      </c>
      <c r="BA9" s="14">
        <f t="shared" si="36"/>
        <v>828.08194</v>
      </c>
      <c r="BB9" s="29">
        <f t="shared" si="37"/>
        <v>466.9315626</v>
      </c>
      <c r="BC9" s="29">
        <f t="shared" si="38"/>
        <v>181.2218404</v>
      </c>
      <c r="BD9" s="29"/>
      <c r="BE9" s="14"/>
      <c r="BF9" s="14">
        <f t="shared" si="40"/>
        <v>1895.7232000000001</v>
      </c>
      <c r="BG9" s="14">
        <f t="shared" si="41"/>
        <v>1895.7232000000001</v>
      </c>
      <c r="BH9" s="29">
        <f t="shared" si="42"/>
        <v>1068.943728</v>
      </c>
      <c r="BI9" s="29">
        <f t="shared" si="43"/>
        <v>414.870112</v>
      </c>
      <c r="BJ9" s="29"/>
      <c r="BK9" s="14"/>
      <c r="BL9" s="14">
        <f t="shared" si="45"/>
        <v>317.84977000000003</v>
      </c>
      <c r="BM9" s="14">
        <f t="shared" si="46"/>
        <v>317.84977000000003</v>
      </c>
      <c r="BN9" s="29">
        <f t="shared" si="47"/>
        <v>179.22633330000002</v>
      </c>
      <c r="BO9" s="29">
        <f t="shared" si="48"/>
        <v>69.5599282</v>
      </c>
      <c r="BP9" s="29"/>
      <c r="BQ9" s="14"/>
      <c r="BR9" s="14">
        <f t="shared" si="50"/>
        <v>343.81599</v>
      </c>
      <c r="BS9" s="14">
        <f t="shared" si="51"/>
        <v>343.81599</v>
      </c>
      <c r="BT9" s="29">
        <f t="shared" si="52"/>
        <v>193.8679371</v>
      </c>
      <c r="BU9" s="29">
        <f t="shared" si="53"/>
        <v>75.2425134</v>
      </c>
      <c r="BV9" s="29"/>
      <c r="BW9" s="14"/>
      <c r="BX9" s="14">
        <f t="shared" si="55"/>
        <v>656.57249</v>
      </c>
      <c r="BY9" s="14">
        <f t="shared" si="56"/>
        <v>656.57249</v>
      </c>
      <c r="BZ9" s="29">
        <f t="shared" si="57"/>
        <v>370.22232210000004</v>
      </c>
      <c r="CA9" s="29">
        <f t="shared" si="58"/>
        <v>143.6878034</v>
      </c>
      <c r="CB9" s="14"/>
      <c r="CC9" s="14"/>
      <c r="CD9" s="14">
        <f t="shared" si="60"/>
        <v>109.03921</v>
      </c>
      <c r="CE9" s="14">
        <f t="shared" si="61"/>
        <v>109.03921</v>
      </c>
      <c r="CF9" s="29">
        <f t="shared" si="62"/>
        <v>61.484070900000006</v>
      </c>
      <c r="CG9" s="29">
        <f t="shared" si="63"/>
        <v>23.8627186</v>
      </c>
      <c r="CH9" s="29"/>
      <c r="CI9" s="14"/>
      <c r="CJ9" s="14">
        <f t="shared" si="65"/>
        <v>1.8914</v>
      </c>
      <c r="CK9" s="14">
        <f t="shared" si="66"/>
        <v>1.8914</v>
      </c>
      <c r="CL9" s="29">
        <f t="shared" si="67"/>
        <v>1.066506</v>
      </c>
      <c r="CM9" s="29">
        <f t="shared" si="68"/>
        <v>0.413924</v>
      </c>
      <c r="CN9" s="29"/>
      <c r="CO9" s="14"/>
      <c r="CP9" s="14">
        <f t="shared" si="70"/>
        <v>694.0492300000001</v>
      </c>
      <c r="CQ9" s="14">
        <f t="shared" si="71"/>
        <v>694.0492300000001</v>
      </c>
      <c r="CR9" s="29">
        <f t="shared" si="72"/>
        <v>391.3543767</v>
      </c>
      <c r="CS9" s="29">
        <f t="shared" si="73"/>
        <v>151.8894118</v>
      </c>
      <c r="CT9" s="29"/>
      <c r="CU9" s="14"/>
      <c r="CV9" s="14">
        <f t="shared" si="75"/>
        <v>1005.6303600000001</v>
      </c>
      <c r="CW9" s="14">
        <f t="shared" si="76"/>
        <v>1005.6303600000001</v>
      </c>
      <c r="CX9" s="29">
        <f t="shared" si="77"/>
        <v>567.0460044</v>
      </c>
      <c r="CY9" s="29">
        <f t="shared" si="78"/>
        <v>220.0774776</v>
      </c>
      <c r="CZ9" s="29"/>
      <c r="DA9" s="14"/>
      <c r="DB9" s="14">
        <f t="shared" si="80"/>
        <v>1272.4123299999999</v>
      </c>
      <c r="DC9" s="14">
        <f t="shared" si="81"/>
        <v>1272.4123299999999</v>
      </c>
      <c r="DD9" s="29">
        <f t="shared" si="82"/>
        <v>717.4766757</v>
      </c>
      <c r="DE9" s="29">
        <f t="shared" si="83"/>
        <v>278.4614578</v>
      </c>
      <c r="DF9" s="29"/>
      <c r="DG9" s="14"/>
      <c r="DH9" s="14">
        <f t="shared" si="85"/>
        <v>118.3476</v>
      </c>
      <c r="DI9" s="14">
        <f t="shared" si="86"/>
        <v>118.3476</v>
      </c>
      <c r="DJ9" s="29">
        <f t="shared" si="87"/>
        <v>66.732804</v>
      </c>
      <c r="DK9" s="29">
        <f t="shared" si="88"/>
        <v>25.899816</v>
      </c>
      <c r="DL9" s="29"/>
      <c r="DM9" s="14"/>
      <c r="DN9" s="29">
        <f t="shared" si="90"/>
        <v>2236.2427500000003</v>
      </c>
      <c r="DO9" s="14">
        <f t="shared" si="91"/>
        <v>2236.2427500000003</v>
      </c>
      <c r="DP9" s="29">
        <f t="shared" si="92"/>
        <v>1260.9528975</v>
      </c>
      <c r="DQ9" s="29">
        <f t="shared" si="93"/>
        <v>489.39121500000005</v>
      </c>
      <c r="DR9" s="29"/>
      <c r="DS9" s="14"/>
      <c r="DT9" s="14">
        <f t="shared" si="95"/>
        <v>5801.76142</v>
      </c>
      <c r="DU9" s="14">
        <f t="shared" si="96"/>
        <v>5801.76142</v>
      </c>
      <c r="DV9" s="29">
        <f t="shared" si="97"/>
        <v>3271.4462118</v>
      </c>
      <c r="DW9" s="29">
        <f t="shared" si="98"/>
        <v>1269.6882172</v>
      </c>
      <c r="DX9" s="29"/>
      <c r="DY9" s="14"/>
      <c r="DZ9" s="14">
        <f t="shared" si="100"/>
        <v>427.38885000000005</v>
      </c>
      <c r="EA9" s="14">
        <f t="shared" si="101"/>
        <v>427.38885000000005</v>
      </c>
      <c r="EB9" s="29">
        <f t="shared" si="102"/>
        <v>240.9922665</v>
      </c>
      <c r="EC9" s="29">
        <f t="shared" si="103"/>
        <v>93.532041</v>
      </c>
      <c r="ED9" s="29"/>
    </row>
    <row r="10" spans="1:134" s="31" customFormat="1" ht="12.75">
      <c r="A10" s="30">
        <v>44835</v>
      </c>
      <c r="C10" s="15">
        <f>'2012D'!C10</f>
        <v>0</v>
      </c>
      <c r="D10" s="15">
        <f>'2012D'!D10</f>
        <v>135100</v>
      </c>
      <c r="E10" s="15">
        <f t="shared" si="0"/>
        <v>135100</v>
      </c>
      <c r="F10" s="15">
        <f>'2012D'!F10</f>
        <v>76179</v>
      </c>
      <c r="G10" s="15">
        <f>'2012D'!G10</f>
        <v>29566</v>
      </c>
      <c r="H10" s="29"/>
      <c r="I10" s="44">
        <f t="shared" si="1"/>
        <v>0</v>
      </c>
      <c r="J10" s="44">
        <f t="shared" si="1"/>
        <v>75736.06026</v>
      </c>
      <c r="K10" s="44">
        <f t="shared" si="2"/>
        <v>75736.06026</v>
      </c>
      <c r="L10" s="44">
        <f t="shared" si="3"/>
        <v>42705.38367540001</v>
      </c>
      <c r="M10" s="44">
        <f t="shared" si="3"/>
        <v>16574.4808116</v>
      </c>
      <c r="N10" s="29"/>
      <c r="O10" s="14">
        <f t="shared" si="4"/>
        <v>0</v>
      </c>
      <c r="P10" s="29">
        <f t="shared" si="5"/>
        <v>12189.23538</v>
      </c>
      <c r="Q10" s="29">
        <f t="shared" si="6"/>
        <v>12189.23538</v>
      </c>
      <c r="R10" s="29">
        <f t="shared" si="7"/>
        <v>6873.1588602</v>
      </c>
      <c r="S10" s="29">
        <f t="shared" si="8"/>
        <v>2667.5568708</v>
      </c>
      <c r="T10" s="29"/>
      <c r="U10" s="14">
        <f t="shared" si="9"/>
        <v>0</v>
      </c>
      <c r="V10" s="14">
        <f t="shared" si="10"/>
        <v>114.53777999999998</v>
      </c>
      <c r="W10" s="14">
        <f t="shared" si="11"/>
        <v>114.53777999999998</v>
      </c>
      <c r="X10" s="29">
        <f t="shared" si="12"/>
        <v>64.5845562</v>
      </c>
      <c r="Y10" s="29">
        <f t="shared" si="13"/>
        <v>25.0660548</v>
      </c>
      <c r="Z10" s="29"/>
      <c r="AA10" s="14">
        <f t="shared" si="14"/>
        <v>0</v>
      </c>
      <c r="AB10" s="14">
        <f t="shared" si="15"/>
        <v>3668.15414</v>
      </c>
      <c r="AC10" s="14">
        <f t="shared" si="16"/>
        <v>3668.15414</v>
      </c>
      <c r="AD10" s="29">
        <f t="shared" si="17"/>
        <v>2068.3665006</v>
      </c>
      <c r="AE10" s="29">
        <f t="shared" si="18"/>
        <v>802.7582924</v>
      </c>
      <c r="AF10" s="29"/>
      <c r="AG10" s="14">
        <f t="shared" si="19"/>
        <v>0</v>
      </c>
      <c r="AH10" s="14">
        <f t="shared" si="20"/>
        <v>30720.32145</v>
      </c>
      <c r="AI10" s="14">
        <f t="shared" si="21"/>
        <v>30720.32145</v>
      </c>
      <c r="AJ10" s="29">
        <f t="shared" si="22"/>
        <v>17322.3047205</v>
      </c>
      <c r="AK10" s="29">
        <f t="shared" si="23"/>
        <v>6722.997957</v>
      </c>
      <c r="AL10" s="29"/>
      <c r="AM10" s="14">
        <f t="shared" si="24"/>
        <v>0</v>
      </c>
      <c r="AN10" s="14">
        <f t="shared" si="25"/>
        <v>7951.324009999999</v>
      </c>
      <c r="AO10" s="14">
        <f t="shared" si="26"/>
        <v>7951.324009999999</v>
      </c>
      <c r="AP10" s="29">
        <f t="shared" si="27"/>
        <v>4483.5226629</v>
      </c>
      <c r="AQ10" s="29">
        <f t="shared" si="28"/>
        <v>1740.1098866</v>
      </c>
      <c r="AR10" s="14"/>
      <c r="AS10" s="14">
        <f t="shared" si="29"/>
        <v>0</v>
      </c>
      <c r="AT10" s="14">
        <f t="shared" si="30"/>
        <v>5383.680960000001</v>
      </c>
      <c r="AU10" s="14">
        <f t="shared" si="31"/>
        <v>5383.680960000001</v>
      </c>
      <c r="AV10" s="29">
        <f t="shared" si="32"/>
        <v>3035.7026784</v>
      </c>
      <c r="AW10" s="29">
        <f t="shared" si="33"/>
        <v>1178.1932735999999</v>
      </c>
      <c r="AX10" s="29"/>
      <c r="AY10" s="14">
        <f t="shared" si="34"/>
        <v>0</v>
      </c>
      <c r="AZ10" s="14">
        <f t="shared" si="35"/>
        <v>828.08194</v>
      </c>
      <c r="BA10" s="14">
        <f t="shared" si="36"/>
        <v>828.08194</v>
      </c>
      <c r="BB10" s="29">
        <f t="shared" si="37"/>
        <v>466.9315626</v>
      </c>
      <c r="BC10" s="29">
        <f t="shared" si="38"/>
        <v>181.2218404</v>
      </c>
      <c r="BD10" s="29"/>
      <c r="BE10" s="14">
        <f t="shared" si="39"/>
        <v>0</v>
      </c>
      <c r="BF10" s="14">
        <f t="shared" si="40"/>
        <v>1895.7232000000001</v>
      </c>
      <c r="BG10" s="14">
        <f t="shared" si="41"/>
        <v>1895.7232000000001</v>
      </c>
      <c r="BH10" s="29">
        <f t="shared" si="42"/>
        <v>1068.943728</v>
      </c>
      <c r="BI10" s="29">
        <f t="shared" si="43"/>
        <v>414.870112</v>
      </c>
      <c r="BJ10" s="29"/>
      <c r="BK10" s="14">
        <f t="shared" si="44"/>
        <v>0</v>
      </c>
      <c r="BL10" s="14">
        <f t="shared" si="45"/>
        <v>317.84977000000003</v>
      </c>
      <c r="BM10" s="14">
        <f t="shared" si="46"/>
        <v>317.84977000000003</v>
      </c>
      <c r="BN10" s="29">
        <f t="shared" si="47"/>
        <v>179.22633330000002</v>
      </c>
      <c r="BO10" s="29">
        <f t="shared" si="48"/>
        <v>69.5599282</v>
      </c>
      <c r="BP10" s="29"/>
      <c r="BQ10" s="14">
        <f t="shared" si="49"/>
        <v>0</v>
      </c>
      <c r="BR10" s="14">
        <f t="shared" si="50"/>
        <v>343.81599</v>
      </c>
      <c r="BS10" s="14">
        <f t="shared" si="51"/>
        <v>343.81599</v>
      </c>
      <c r="BT10" s="29">
        <f t="shared" si="52"/>
        <v>193.8679371</v>
      </c>
      <c r="BU10" s="29">
        <f t="shared" si="53"/>
        <v>75.2425134</v>
      </c>
      <c r="BV10" s="29"/>
      <c r="BW10" s="14">
        <f t="shared" si="54"/>
        <v>0</v>
      </c>
      <c r="BX10" s="14">
        <f t="shared" si="55"/>
        <v>656.57249</v>
      </c>
      <c r="BY10" s="14">
        <f t="shared" si="56"/>
        <v>656.57249</v>
      </c>
      <c r="BZ10" s="29">
        <f t="shared" si="57"/>
        <v>370.22232210000004</v>
      </c>
      <c r="CA10" s="29">
        <f t="shared" si="58"/>
        <v>143.6878034</v>
      </c>
      <c r="CB10" s="14"/>
      <c r="CC10" s="14">
        <f t="shared" si="59"/>
        <v>0</v>
      </c>
      <c r="CD10" s="14">
        <f t="shared" si="60"/>
        <v>109.03921</v>
      </c>
      <c r="CE10" s="14">
        <f t="shared" si="61"/>
        <v>109.03921</v>
      </c>
      <c r="CF10" s="29">
        <f t="shared" si="62"/>
        <v>61.484070900000006</v>
      </c>
      <c r="CG10" s="29">
        <f t="shared" si="63"/>
        <v>23.8627186</v>
      </c>
      <c r="CH10" s="29"/>
      <c r="CI10" s="14">
        <f t="shared" si="64"/>
        <v>0</v>
      </c>
      <c r="CJ10" s="14">
        <f t="shared" si="65"/>
        <v>1.8914</v>
      </c>
      <c r="CK10" s="14">
        <f t="shared" si="66"/>
        <v>1.8914</v>
      </c>
      <c r="CL10" s="29">
        <f t="shared" si="67"/>
        <v>1.066506</v>
      </c>
      <c r="CM10" s="29">
        <f t="shared" si="68"/>
        <v>0.413924</v>
      </c>
      <c r="CN10" s="29"/>
      <c r="CO10" s="14">
        <f t="shared" si="69"/>
        <v>0</v>
      </c>
      <c r="CP10" s="14">
        <f t="shared" si="70"/>
        <v>694.0492300000001</v>
      </c>
      <c r="CQ10" s="14">
        <f t="shared" si="71"/>
        <v>694.0492300000001</v>
      </c>
      <c r="CR10" s="29">
        <f t="shared" si="72"/>
        <v>391.3543767</v>
      </c>
      <c r="CS10" s="29">
        <f t="shared" si="73"/>
        <v>151.8894118</v>
      </c>
      <c r="CT10" s="29"/>
      <c r="CU10" s="14">
        <f t="shared" si="74"/>
        <v>0</v>
      </c>
      <c r="CV10" s="14">
        <f t="shared" si="75"/>
        <v>1005.6303600000001</v>
      </c>
      <c r="CW10" s="14">
        <f t="shared" si="76"/>
        <v>1005.6303600000001</v>
      </c>
      <c r="CX10" s="29">
        <f t="shared" si="77"/>
        <v>567.0460044</v>
      </c>
      <c r="CY10" s="29">
        <f t="shared" si="78"/>
        <v>220.0774776</v>
      </c>
      <c r="CZ10" s="29"/>
      <c r="DA10" s="14">
        <f t="shared" si="79"/>
        <v>0</v>
      </c>
      <c r="DB10" s="14">
        <f t="shared" si="80"/>
        <v>1272.4123299999999</v>
      </c>
      <c r="DC10" s="14">
        <f t="shared" si="81"/>
        <v>1272.4123299999999</v>
      </c>
      <c r="DD10" s="29">
        <f t="shared" si="82"/>
        <v>717.4766757</v>
      </c>
      <c r="DE10" s="29">
        <f t="shared" si="83"/>
        <v>278.4614578</v>
      </c>
      <c r="DF10" s="29"/>
      <c r="DG10" s="14">
        <f t="shared" si="84"/>
        <v>0</v>
      </c>
      <c r="DH10" s="14">
        <f t="shared" si="85"/>
        <v>118.3476</v>
      </c>
      <c r="DI10" s="14">
        <f t="shared" si="86"/>
        <v>118.3476</v>
      </c>
      <c r="DJ10" s="29">
        <f t="shared" si="87"/>
        <v>66.732804</v>
      </c>
      <c r="DK10" s="29">
        <f t="shared" si="88"/>
        <v>25.899816</v>
      </c>
      <c r="DL10" s="29"/>
      <c r="DM10" s="14">
        <f t="shared" si="89"/>
        <v>0</v>
      </c>
      <c r="DN10" s="29">
        <f t="shared" si="90"/>
        <v>2236.2427500000003</v>
      </c>
      <c r="DO10" s="14">
        <f t="shared" si="91"/>
        <v>2236.2427500000003</v>
      </c>
      <c r="DP10" s="29">
        <f t="shared" si="92"/>
        <v>1260.9528975</v>
      </c>
      <c r="DQ10" s="29">
        <f t="shared" si="93"/>
        <v>489.39121500000005</v>
      </c>
      <c r="DR10" s="29"/>
      <c r="DS10" s="14">
        <f t="shared" si="94"/>
        <v>0</v>
      </c>
      <c r="DT10" s="14">
        <f t="shared" si="95"/>
        <v>5801.76142</v>
      </c>
      <c r="DU10" s="14">
        <f t="shared" si="96"/>
        <v>5801.76142</v>
      </c>
      <c r="DV10" s="29">
        <f t="shared" si="97"/>
        <v>3271.4462118</v>
      </c>
      <c r="DW10" s="29">
        <f t="shared" si="98"/>
        <v>1269.6882172</v>
      </c>
      <c r="DX10" s="29"/>
      <c r="DY10" s="14">
        <f t="shared" si="99"/>
        <v>0</v>
      </c>
      <c r="DZ10" s="14">
        <f t="shared" si="100"/>
        <v>427.38885000000005</v>
      </c>
      <c r="EA10" s="14">
        <f t="shared" si="101"/>
        <v>427.38885000000005</v>
      </c>
      <c r="EB10" s="29">
        <f t="shared" si="102"/>
        <v>240.9922665</v>
      </c>
      <c r="EC10" s="29">
        <f t="shared" si="103"/>
        <v>93.532041</v>
      </c>
      <c r="ED10" s="29"/>
    </row>
    <row r="11" spans="1:134" s="31" customFormat="1" ht="12.75">
      <c r="A11" s="30">
        <v>45017</v>
      </c>
      <c r="C11" s="15">
        <f>'2012D'!C11</f>
        <v>0</v>
      </c>
      <c r="D11" s="15">
        <f>'2012D'!D11</f>
        <v>135100</v>
      </c>
      <c r="E11" s="15">
        <f t="shared" si="0"/>
        <v>135100</v>
      </c>
      <c r="F11" s="15">
        <f>'2012D'!F11</f>
        <v>76179</v>
      </c>
      <c r="G11" s="15">
        <f>'2012D'!G11</f>
        <v>29566</v>
      </c>
      <c r="H11" s="29"/>
      <c r="I11" s="44">
        <f t="shared" si="1"/>
        <v>0</v>
      </c>
      <c r="J11" s="44">
        <f t="shared" si="1"/>
        <v>75736.06026</v>
      </c>
      <c r="K11" s="44">
        <f t="shared" si="2"/>
        <v>75736.06026</v>
      </c>
      <c r="L11" s="44">
        <f t="shared" si="3"/>
        <v>42705.38367540001</v>
      </c>
      <c r="M11" s="44">
        <f t="shared" si="3"/>
        <v>16574.4808116</v>
      </c>
      <c r="N11" s="29"/>
      <c r="O11" s="14"/>
      <c r="P11" s="29">
        <f t="shared" si="5"/>
        <v>12189.23538</v>
      </c>
      <c r="Q11" s="29">
        <f t="shared" si="6"/>
        <v>12189.23538</v>
      </c>
      <c r="R11" s="29">
        <f t="shared" si="7"/>
        <v>6873.1588602</v>
      </c>
      <c r="S11" s="29">
        <f t="shared" si="8"/>
        <v>2667.5568708</v>
      </c>
      <c r="T11" s="29"/>
      <c r="U11" s="14"/>
      <c r="V11" s="14">
        <f t="shared" si="10"/>
        <v>114.53777999999998</v>
      </c>
      <c r="W11" s="14">
        <f t="shared" si="11"/>
        <v>114.53777999999998</v>
      </c>
      <c r="X11" s="29">
        <f t="shared" si="12"/>
        <v>64.5845562</v>
      </c>
      <c r="Y11" s="29">
        <f t="shared" si="13"/>
        <v>25.0660548</v>
      </c>
      <c r="Z11" s="29"/>
      <c r="AA11" s="14"/>
      <c r="AB11" s="14">
        <f t="shared" si="15"/>
        <v>3668.15414</v>
      </c>
      <c r="AC11" s="14">
        <f t="shared" si="16"/>
        <v>3668.15414</v>
      </c>
      <c r="AD11" s="29">
        <f t="shared" si="17"/>
        <v>2068.3665006</v>
      </c>
      <c r="AE11" s="29">
        <f t="shared" si="18"/>
        <v>802.7582924</v>
      </c>
      <c r="AF11" s="29"/>
      <c r="AG11" s="14"/>
      <c r="AH11" s="14">
        <f t="shared" si="20"/>
        <v>30720.32145</v>
      </c>
      <c r="AI11" s="14">
        <f t="shared" si="21"/>
        <v>30720.32145</v>
      </c>
      <c r="AJ11" s="29">
        <f t="shared" si="22"/>
        <v>17322.3047205</v>
      </c>
      <c r="AK11" s="29">
        <f t="shared" si="23"/>
        <v>6722.997957</v>
      </c>
      <c r="AL11" s="29"/>
      <c r="AM11" s="14"/>
      <c r="AN11" s="14">
        <f t="shared" si="25"/>
        <v>7951.324009999999</v>
      </c>
      <c r="AO11" s="14">
        <f t="shared" si="26"/>
        <v>7951.324009999999</v>
      </c>
      <c r="AP11" s="29">
        <f t="shared" si="27"/>
        <v>4483.5226629</v>
      </c>
      <c r="AQ11" s="29">
        <f t="shared" si="28"/>
        <v>1740.1098866</v>
      </c>
      <c r="AR11" s="14"/>
      <c r="AS11" s="14"/>
      <c r="AT11" s="14">
        <f t="shared" si="30"/>
        <v>5383.680960000001</v>
      </c>
      <c r="AU11" s="14">
        <f t="shared" si="31"/>
        <v>5383.680960000001</v>
      </c>
      <c r="AV11" s="29">
        <f t="shared" si="32"/>
        <v>3035.7026784</v>
      </c>
      <c r="AW11" s="29">
        <f t="shared" si="33"/>
        <v>1178.1932735999999</v>
      </c>
      <c r="AX11" s="29"/>
      <c r="AY11" s="14"/>
      <c r="AZ11" s="14">
        <f t="shared" si="35"/>
        <v>828.08194</v>
      </c>
      <c r="BA11" s="14">
        <f t="shared" si="36"/>
        <v>828.08194</v>
      </c>
      <c r="BB11" s="29">
        <f t="shared" si="37"/>
        <v>466.9315626</v>
      </c>
      <c r="BC11" s="29">
        <f t="shared" si="38"/>
        <v>181.2218404</v>
      </c>
      <c r="BD11" s="29"/>
      <c r="BE11" s="14"/>
      <c r="BF11" s="14">
        <f t="shared" si="40"/>
        <v>1895.7232000000001</v>
      </c>
      <c r="BG11" s="14">
        <f t="shared" si="41"/>
        <v>1895.7232000000001</v>
      </c>
      <c r="BH11" s="29">
        <f t="shared" si="42"/>
        <v>1068.943728</v>
      </c>
      <c r="BI11" s="29">
        <f t="shared" si="43"/>
        <v>414.870112</v>
      </c>
      <c r="BJ11" s="29"/>
      <c r="BK11" s="14"/>
      <c r="BL11" s="14">
        <f t="shared" si="45"/>
        <v>317.84977000000003</v>
      </c>
      <c r="BM11" s="14">
        <f t="shared" si="46"/>
        <v>317.84977000000003</v>
      </c>
      <c r="BN11" s="29">
        <f t="shared" si="47"/>
        <v>179.22633330000002</v>
      </c>
      <c r="BO11" s="29">
        <f t="shared" si="48"/>
        <v>69.5599282</v>
      </c>
      <c r="BP11" s="29"/>
      <c r="BQ11" s="14"/>
      <c r="BR11" s="14">
        <f t="shared" si="50"/>
        <v>343.81599</v>
      </c>
      <c r="BS11" s="14">
        <f t="shared" si="51"/>
        <v>343.81599</v>
      </c>
      <c r="BT11" s="29">
        <f t="shared" si="52"/>
        <v>193.8679371</v>
      </c>
      <c r="BU11" s="29">
        <f t="shared" si="53"/>
        <v>75.2425134</v>
      </c>
      <c r="BV11" s="29"/>
      <c r="BW11" s="14"/>
      <c r="BX11" s="14">
        <f t="shared" si="55"/>
        <v>656.57249</v>
      </c>
      <c r="BY11" s="14">
        <f t="shared" si="56"/>
        <v>656.57249</v>
      </c>
      <c r="BZ11" s="29">
        <f t="shared" si="57"/>
        <v>370.22232210000004</v>
      </c>
      <c r="CA11" s="29">
        <f t="shared" si="58"/>
        <v>143.6878034</v>
      </c>
      <c r="CB11" s="14"/>
      <c r="CC11" s="14"/>
      <c r="CD11" s="14">
        <f t="shared" si="60"/>
        <v>109.03921</v>
      </c>
      <c r="CE11" s="14">
        <f t="shared" si="61"/>
        <v>109.03921</v>
      </c>
      <c r="CF11" s="29">
        <f t="shared" si="62"/>
        <v>61.484070900000006</v>
      </c>
      <c r="CG11" s="29">
        <f t="shared" si="63"/>
        <v>23.8627186</v>
      </c>
      <c r="CH11" s="29"/>
      <c r="CI11" s="14"/>
      <c r="CJ11" s="14">
        <f t="shared" si="65"/>
        <v>1.8914</v>
      </c>
      <c r="CK11" s="14">
        <f t="shared" si="66"/>
        <v>1.8914</v>
      </c>
      <c r="CL11" s="29">
        <f t="shared" si="67"/>
        <v>1.066506</v>
      </c>
      <c r="CM11" s="29">
        <f t="shared" si="68"/>
        <v>0.413924</v>
      </c>
      <c r="CN11" s="29"/>
      <c r="CO11" s="14"/>
      <c r="CP11" s="14">
        <f t="shared" si="70"/>
        <v>694.0492300000001</v>
      </c>
      <c r="CQ11" s="14">
        <f t="shared" si="71"/>
        <v>694.0492300000001</v>
      </c>
      <c r="CR11" s="29">
        <f t="shared" si="72"/>
        <v>391.3543767</v>
      </c>
      <c r="CS11" s="29">
        <f t="shared" si="73"/>
        <v>151.8894118</v>
      </c>
      <c r="CT11" s="29"/>
      <c r="CU11" s="14"/>
      <c r="CV11" s="14">
        <f t="shared" si="75"/>
        <v>1005.6303600000001</v>
      </c>
      <c r="CW11" s="14">
        <f t="shared" si="76"/>
        <v>1005.6303600000001</v>
      </c>
      <c r="CX11" s="29">
        <f t="shared" si="77"/>
        <v>567.0460044</v>
      </c>
      <c r="CY11" s="29">
        <f t="shared" si="78"/>
        <v>220.0774776</v>
      </c>
      <c r="CZ11" s="29"/>
      <c r="DA11" s="14"/>
      <c r="DB11" s="14">
        <f t="shared" si="80"/>
        <v>1272.4123299999999</v>
      </c>
      <c r="DC11" s="14">
        <f t="shared" si="81"/>
        <v>1272.4123299999999</v>
      </c>
      <c r="DD11" s="29">
        <f t="shared" si="82"/>
        <v>717.4766757</v>
      </c>
      <c r="DE11" s="29">
        <f t="shared" si="83"/>
        <v>278.4614578</v>
      </c>
      <c r="DF11" s="29"/>
      <c r="DG11" s="14"/>
      <c r="DH11" s="14">
        <f t="shared" si="85"/>
        <v>118.3476</v>
      </c>
      <c r="DI11" s="14">
        <f t="shared" si="86"/>
        <v>118.3476</v>
      </c>
      <c r="DJ11" s="29">
        <f t="shared" si="87"/>
        <v>66.732804</v>
      </c>
      <c r="DK11" s="29">
        <f t="shared" si="88"/>
        <v>25.899816</v>
      </c>
      <c r="DL11" s="29"/>
      <c r="DM11" s="14"/>
      <c r="DN11" s="29">
        <f t="shared" si="90"/>
        <v>2236.2427500000003</v>
      </c>
      <c r="DO11" s="14">
        <f t="shared" si="91"/>
        <v>2236.2427500000003</v>
      </c>
      <c r="DP11" s="29">
        <f t="shared" si="92"/>
        <v>1260.9528975</v>
      </c>
      <c r="DQ11" s="29">
        <f t="shared" si="93"/>
        <v>489.39121500000005</v>
      </c>
      <c r="DR11" s="29"/>
      <c r="DS11" s="14"/>
      <c r="DT11" s="14">
        <f t="shared" si="95"/>
        <v>5801.76142</v>
      </c>
      <c r="DU11" s="14">
        <f t="shared" si="96"/>
        <v>5801.76142</v>
      </c>
      <c r="DV11" s="29">
        <f t="shared" si="97"/>
        <v>3271.4462118</v>
      </c>
      <c r="DW11" s="29">
        <f t="shared" si="98"/>
        <v>1269.6882172</v>
      </c>
      <c r="DX11" s="29"/>
      <c r="DY11" s="14"/>
      <c r="DZ11" s="14">
        <f t="shared" si="100"/>
        <v>427.38885000000005</v>
      </c>
      <c r="EA11" s="14">
        <f t="shared" si="101"/>
        <v>427.38885000000005</v>
      </c>
      <c r="EB11" s="29">
        <f t="shared" si="102"/>
        <v>240.9922665</v>
      </c>
      <c r="EC11" s="29">
        <f t="shared" si="103"/>
        <v>93.532041</v>
      </c>
      <c r="ED11" s="29"/>
    </row>
    <row r="12" spans="1:134" s="31" customFormat="1" ht="12.75">
      <c r="A12" s="30">
        <v>45200</v>
      </c>
      <c r="C12" s="15">
        <f>'2012D'!C12</f>
        <v>3310000</v>
      </c>
      <c r="D12" s="15">
        <f>'2012D'!D12</f>
        <v>135100</v>
      </c>
      <c r="E12" s="15">
        <f t="shared" si="0"/>
        <v>3445100</v>
      </c>
      <c r="F12" s="15">
        <f>'2012D'!F12</f>
        <v>76179</v>
      </c>
      <c r="G12" s="15">
        <f>'2012D'!G12</f>
        <v>29566</v>
      </c>
      <c r="H12" s="29"/>
      <c r="I12" s="44">
        <f t="shared" si="1"/>
        <v>1855561.506</v>
      </c>
      <c r="J12" s="44">
        <f t="shared" si="1"/>
        <v>75736.06026</v>
      </c>
      <c r="K12" s="44">
        <f t="shared" si="2"/>
        <v>1931297.56626</v>
      </c>
      <c r="L12" s="44">
        <f t="shared" si="3"/>
        <v>42705.38367540001</v>
      </c>
      <c r="M12" s="44">
        <f t="shared" si="3"/>
        <v>16574.4808116</v>
      </c>
      <c r="N12" s="29"/>
      <c r="O12" s="14">
        <f t="shared" si="4"/>
        <v>298640.77800000005</v>
      </c>
      <c r="P12" s="29">
        <f t="shared" si="5"/>
        <v>12189.23538</v>
      </c>
      <c r="Q12" s="29">
        <f t="shared" si="6"/>
        <v>310830.0133800001</v>
      </c>
      <c r="R12" s="29">
        <f t="shared" si="7"/>
        <v>6873.1588602</v>
      </c>
      <c r="S12" s="29">
        <f t="shared" si="8"/>
        <v>2667.5568708</v>
      </c>
      <c r="T12" s="29"/>
      <c r="U12" s="14">
        <f t="shared" si="9"/>
        <v>2806.218</v>
      </c>
      <c r="V12" s="14">
        <f t="shared" si="10"/>
        <v>114.53777999999998</v>
      </c>
      <c r="W12" s="14">
        <f t="shared" si="11"/>
        <v>2920.75578</v>
      </c>
      <c r="X12" s="29">
        <f t="shared" si="12"/>
        <v>64.5845562</v>
      </c>
      <c r="Y12" s="29">
        <f t="shared" si="13"/>
        <v>25.0660548</v>
      </c>
      <c r="Z12" s="29"/>
      <c r="AA12" s="14">
        <f t="shared" si="14"/>
        <v>89871.13399999999</v>
      </c>
      <c r="AB12" s="14">
        <f t="shared" si="15"/>
        <v>3668.15414</v>
      </c>
      <c r="AC12" s="14">
        <f t="shared" si="16"/>
        <v>93539.28813999999</v>
      </c>
      <c r="AD12" s="29">
        <f t="shared" si="17"/>
        <v>2068.3665006</v>
      </c>
      <c r="AE12" s="29">
        <f t="shared" si="18"/>
        <v>802.7582924</v>
      </c>
      <c r="AF12" s="29"/>
      <c r="AG12" s="14">
        <f t="shared" si="19"/>
        <v>752659.245</v>
      </c>
      <c r="AH12" s="14">
        <f t="shared" si="20"/>
        <v>30720.32145</v>
      </c>
      <c r="AI12" s="14">
        <f t="shared" si="21"/>
        <v>783379.56645</v>
      </c>
      <c r="AJ12" s="29">
        <f t="shared" si="22"/>
        <v>17322.3047205</v>
      </c>
      <c r="AK12" s="29">
        <f t="shared" si="23"/>
        <v>6722.997957</v>
      </c>
      <c r="AL12" s="29"/>
      <c r="AM12" s="14">
        <f t="shared" si="24"/>
        <v>194810.381</v>
      </c>
      <c r="AN12" s="14">
        <f t="shared" si="25"/>
        <v>7951.324009999999</v>
      </c>
      <c r="AO12" s="14">
        <f t="shared" si="26"/>
        <v>202761.70501</v>
      </c>
      <c r="AP12" s="29">
        <f t="shared" si="27"/>
        <v>4483.5226629</v>
      </c>
      <c r="AQ12" s="29">
        <f t="shared" si="28"/>
        <v>1740.1098866</v>
      </c>
      <c r="AR12" s="14"/>
      <c r="AS12" s="14">
        <f t="shared" si="29"/>
        <v>131902.176</v>
      </c>
      <c r="AT12" s="14">
        <f t="shared" si="30"/>
        <v>5383.680960000001</v>
      </c>
      <c r="AU12" s="14">
        <f t="shared" si="31"/>
        <v>137285.85696</v>
      </c>
      <c r="AV12" s="29">
        <f t="shared" si="32"/>
        <v>3035.7026784</v>
      </c>
      <c r="AW12" s="29">
        <f t="shared" si="33"/>
        <v>1178.1932735999999</v>
      </c>
      <c r="AX12" s="29"/>
      <c r="AY12" s="14">
        <f t="shared" si="34"/>
        <v>20288.314000000002</v>
      </c>
      <c r="AZ12" s="14">
        <f t="shared" si="35"/>
        <v>828.08194</v>
      </c>
      <c r="BA12" s="14">
        <f t="shared" si="36"/>
        <v>21116.395940000002</v>
      </c>
      <c r="BB12" s="29">
        <f t="shared" si="37"/>
        <v>466.9315626</v>
      </c>
      <c r="BC12" s="29">
        <f t="shared" si="38"/>
        <v>181.2218404</v>
      </c>
      <c r="BD12" s="29"/>
      <c r="BE12" s="14">
        <f t="shared" si="39"/>
        <v>46445.92</v>
      </c>
      <c r="BF12" s="14">
        <f t="shared" si="40"/>
        <v>1895.7232000000001</v>
      </c>
      <c r="BG12" s="14">
        <f t="shared" si="41"/>
        <v>48341.6432</v>
      </c>
      <c r="BH12" s="29">
        <f t="shared" si="42"/>
        <v>1068.943728</v>
      </c>
      <c r="BI12" s="29">
        <f t="shared" si="43"/>
        <v>414.870112</v>
      </c>
      <c r="BJ12" s="29"/>
      <c r="BK12" s="14">
        <f t="shared" si="44"/>
        <v>7787.437</v>
      </c>
      <c r="BL12" s="14">
        <f t="shared" si="45"/>
        <v>317.84977000000003</v>
      </c>
      <c r="BM12" s="14">
        <f t="shared" si="46"/>
        <v>8105.28677</v>
      </c>
      <c r="BN12" s="29">
        <f t="shared" si="47"/>
        <v>179.22633330000002</v>
      </c>
      <c r="BO12" s="29">
        <f t="shared" si="48"/>
        <v>69.5599282</v>
      </c>
      <c r="BP12" s="29"/>
      <c r="BQ12" s="14">
        <f t="shared" si="49"/>
        <v>8423.619</v>
      </c>
      <c r="BR12" s="14">
        <f t="shared" si="50"/>
        <v>343.81599</v>
      </c>
      <c r="BS12" s="14">
        <f t="shared" si="51"/>
        <v>8767.43499</v>
      </c>
      <c r="BT12" s="29">
        <f t="shared" si="52"/>
        <v>193.8679371</v>
      </c>
      <c r="BU12" s="29">
        <f t="shared" si="53"/>
        <v>75.2425134</v>
      </c>
      <c r="BV12" s="29"/>
      <c r="BW12" s="14">
        <f t="shared" si="54"/>
        <v>16086.269</v>
      </c>
      <c r="BX12" s="14">
        <f t="shared" si="55"/>
        <v>656.57249</v>
      </c>
      <c r="BY12" s="14">
        <f t="shared" si="56"/>
        <v>16742.84149</v>
      </c>
      <c r="BZ12" s="29">
        <f t="shared" si="57"/>
        <v>370.22232210000004</v>
      </c>
      <c r="CA12" s="29">
        <f t="shared" si="58"/>
        <v>143.6878034</v>
      </c>
      <c r="CB12" s="14"/>
      <c r="CC12" s="14">
        <f t="shared" si="59"/>
        <v>2671.501</v>
      </c>
      <c r="CD12" s="14">
        <f t="shared" si="60"/>
        <v>109.03921</v>
      </c>
      <c r="CE12" s="14">
        <f t="shared" si="61"/>
        <v>2780.54021</v>
      </c>
      <c r="CF12" s="29">
        <f t="shared" si="62"/>
        <v>61.484070900000006</v>
      </c>
      <c r="CG12" s="29">
        <f t="shared" si="63"/>
        <v>23.8627186</v>
      </c>
      <c r="CH12" s="29"/>
      <c r="CI12" s="14">
        <f t="shared" si="64"/>
        <v>46.339999999999996</v>
      </c>
      <c r="CJ12" s="14">
        <f t="shared" si="65"/>
        <v>1.8914</v>
      </c>
      <c r="CK12" s="14">
        <f t="shared" si="66"/>
        <v>48.231399999999994</v>
      </c>
      <c r="CL12" s="29">
        <f t="shared" si="67"/>
        <v>1.066506</v>
      </c>
      <c r="CM12" s="29">
        <f t="shared" si="68"/>
        <v>0.413924</v>
      </c>
      <c r="CN12" s="29"/>
      <c r="CO12" s="14">
        <f t="shared" si="69"/>
        <v>17004.463</v>
      </c>
      <c r="CP12" s="14">
        <f t="shared" si="70"/>
        <v>694.0492300000001</v>
      </c>
      <c r="CQ12" s="14">
        <f t="shared" si="71"/>
        <v>17698.51223</v>
      </c>
      <c r="CR12" s="29">
        <f t="shared" si="72"/>
        <v>391.3543767</v>
      </c>
      <c r="CS12" s="29">
        <f t="shared" si="73"/>
        <v>151.8894118</v>
      </c>
      <c r="CT12" s="29"/>
      <c r="CU12" s="14">
        <f t="shared" si="74"/>
        <v>24638.316</v>
      </c>
      <c r="CV12" s="14">
        <f t="shared" si="75"/>
        <v>1005.6303600000001</v>
      </c>
      <c r="CW12" s="14">
        <f t="shared" si="76"/>
        <v>25643.946359999998</v>
      </c>
      <c r="CX12" s="29">
        <f t="shared" si="77"/>
        <v>567.0460044</v>
      </c>
      <c r="CY12" s="29">
        <f t="shared" si="78"/>
        <v>220.0774776</v>
      </c>
      <c r="CZ12" s="29"/>
      <c r="DA12" s="14">
        <f t="shared" si="79"/>
        <v>31174.572999999997</v>
      </c>
      <c r="DB12" s="14">
        <f t="shared" si="80"/>
        <v>1272.4123299999999</v>
      </c>
      <c r="DC12" s="14">
        <f t="shared" si="81"/>
        <v>32446.985329999996</v>
      </c>
      <c r="DD12" s="29">
        <f t="shared" si="82"/>
        <v>717.4766757</v>
      </c>
      <c r="DE12" s="29">
        <f t="shared" si="83"/>
        <v>278.4614578</v>
      </c>
      <c r="DF12" s="29"/>
      <c r="DG12" s="14">
        <f t="shared" si="84"/>
        <v>2899.56</v>
      </c>
      <c r="DH12" s="14">
        <f t="shared" si="85"/>
        <v>118.3476</v>
      </c>
      <c r="DI12" s="14">
        <f t="shared" si="86"/>
        <v>3017.9076</v>
      </c>
      <c r="DJ12" s="29">
        <f t="shared" si="87"/>
        <v>66.732804</v>
      </c>
      <c r="DK12" s="29">
        <f t="shared" si="88"/>
        <v>25.899816</v>
      </c>
      <c r="DL12" s="29"/>
      <c r="DM12" s="14">
        <f t="shared" si="89"/>
        <v>54788.775</v>
      </c>
      <c r="DN12" s="29">
        <f t="shared" si="90"/>
        <v>2236.2427500000003</v>
      </c>
      <c r="DO12" s="14">
        <f t="shared" si="91"/>
        <v>57025.01775</v>
      </c>
      <c r="DP12" s="29">
        <f t="shared" si="92"/>
        <v>1260.9528975</v>
      </c>
      <c r="DQ12" s="29">
        <f t="shared" si="93"/>
        <v>489.39121500000005</v>
      </c>
      <c r="DR12" s="29"/>
      <c r="DS12" s="14">
        <f t="shared" si="94"/>
        <v>142145.302</v>
      </c>
      <c r="DT12" s="14">
        <f t="shared" si="95"/>
        <v>5801.76142</v>
      </c>
      <c r="DU12" s="14">
        <f t="shared" si="96"/>
        <v>147947.06342</v>
      </c>
      <c r="DV12" s="29">
        <f t="shared" si="97"/>
        <v>3271.4462118</v>
      </c>
      <c r="DW12" s="29">
        <f t="shared" si="98"/>
        <v>1269.6882172</v>
      </c>
      <c r="DX12" s="29"/>
      <c r="DY12" s="14">
        <f t="shared" si="99"/>
        <v>10471.185</v>
      </c>
      <c r="DZ12" s="14">
        <f t="shared" si="100"/>
        <v>427.38885000000005</v>
      </c>
      <c r="EA12" s="14">
        <f t="shared" si="101"/>
        <v>10898.573849999999</v>
      </c>
      <c r="EB12" s="29">
        <f t="shared" si="102"/>
        <v>240.9922665</v>
      </c>
      <c r="EC12" s="29">
        <f t="shared" si="103"/>
        <v>93.532041</v>
      </c>
      <c r="ED12" s="29"/>
    </row>
    <row r="13" spans="1:134" s="31" customFormat="1" ht="12.75">
      <c r="A13" s="30">
        <v>45383</v>
      </c>
      <c r="C13" s="15">
        <f>'2012D'!C13</f>
        <v>0</v>
      </c>
      <c r="D13" s="15">
        <f>'2012D'!D13</f>
        <v>68900</v>
      </c>
      <c r="E13" s="15">
        <f t="shared" si="0"/>
        <v>68900</v>
      </c>
      <c r="F13" s="15">
        <f>'2012D'!F13</f>
        <v>76179</v>
      </c>
      <c r="G13" s="15">
        <f>'2012D'!G13</f>
        <v>29566</v>
      </c>
      <c r="H13" s="29"/>
      <c r="I13" s="44">
        <f t="shared" si="1"/>
        <v>0</v>
      </c>
      <c r="J13" s="44">
        <f t="shared" si="1"/>
        <v>38624.830140000005</v>
      </c>
      <c r="K13" s="44">
        <f t="shared" si="2"/>
        <v>38624.830140000005</v>
      </c>
      <c r="L13" s="44">
        <f t="shared" si="3"/>
        <v>42705.38367540001</v>
      </c>
      <c r="M13" s="44">
        <f t="shared" si="3"/>
        <v>16574.4808116</v>
      </c>
      <c r="N13" s="29"/>
      <c r="O13" s="14"/>
      <c r="P13" s="29">
        <f t="shared" si="5"/>
        <v>6216.419819999999</v>
      </c>
      <c r="Q13" s="29">
        <f t="shared" si="6"/>
        <v>6216.419819999999</v>
      </c>
      <c r="R13" s="29">
        <f t="shared" si="7"/>
        <v>6873.1588602</v>
      </c>
      <c r="S13" s="29">
        <f t="shared" si="8"/>
        <v>2667.5568708</v>
      </c>
      <c r="T13" s="29"/>
      <c r="U13" s="14"/>
      <c r="V13" s="14">
        <f t="shared" si="10"/>
        <v>58.413419999999995</v>
      </c>
      <c r="W13" s="14">
        <f t="shared" si="11"/>
        <v>58.413419999999995</v>
      </c>
      <c r="X13" s="29">
        <f t="shared" si="12"/>
        <v>64.5845562</v>
      </c>
      <c r="Y13" s="29">
        <f t="shared" si="13"/>
        <v>25.0660548</v>
      </c>
      <c r="Z13" s="29"/>
      <c r="AA13" s="14"/>
      <c r="AB13" s="14">
        <f t="shared" si="15"/>
        <v>1870.7314599999997</v>
      </c>
      <c r="AC13" s="14">
        <f t="shared" si="16"/>
        <v>1870.7314599999997</v>
      </c>
      <c r="AD13" s="29">
        <f t="shared" si="17"/>
        <v>2068.3665006</v>
      </c>
      <c r="AE13" s="29">
        <f t="shared" si="18"/>
        <v>802.7582924</v>
      </c>
      <c r="AF13" s="29"/>
      <c r="AG13" s="14"/>
      <c r="AH13" s="14">
        <f t="shared" si="20"/>
        <v>15667.136550000001</v>
      </c>
      <c r="AI13" s="14">
        <f t="shared" si="21"/>
        <v>15667.136550000001</v>
      </c>
      <c r="AJ13" s="29">
        <f t="shared" si="22"/>
        <v>17322.3047205</v>
      </c>
      <c r="AK13" s="29">
        <f t="shared" si="23"/>
        <v>6722.997957</v>
      </c>
      <c r="AL13" s="29"/>
      <c r="AM13" s="14"/>
      <c r="AN13" s="14">
        <f t="shared" si="25"/>
        <v>4055.11639</v>
      </c>
      <c r="AO13" s="14">
        <f t="shared" si="26"/>
        <v>4055.11639</v>
      </c>
      <c r="AP13" s="29">
        <f t="shared" si="27"/>
        <v>4483.5226629</v>
      </c>
      <c r="AQ13" s="29">
        <f t="shared" si="28"/>
        <v>1740.1098866</v>
      </c>
      <c r="AR13" s="14"/>
      <c r="AS13" s="14"/>
      <c r="AT13" s="14">
        <f t="shared" si="30"/>
        <v>2745.63744</v>
      </c>
      <c r="AU13" s="14">
        <f t="shared" si="31"/>
        <v>2745.63744</v>
      </c>
      <c r="AV13" s="29">
        <f t="shared" si="32"/>
        <v>3035.7026784</v>
      </c>
      <c r="AW13" s="29">
        <f t="shared" si="33"/>
        <v>1178.1932735999999</v>
      </c>
      <c r="AX13" s="29"/>
      <c r="AY13" s="14"/>
      <c r="AZ13" s="14">
        <f t="shared" si="35"/>
        <v>422.31566000000004</v>
      </c>
      <c r="BA13" s="14">
        <f t="shared" si="36"/>
        <v>422.31566000000004</v>
      </c>
      <c r="BB13" s="29">
        <f t="shared" si="37"/>
        <v>466.9315626</v>
      </c>
      <c r="BC13" s="29">
        <f t="shared" si="38"/>
        <v>181.2218404</v>
      </c>
      <c r="BD13" s="29"/>
      <c r="BE13" s="14"/>
      <c r="BF13" s="14">
        <f t="shared" si="40"/>
        <v>966.8048</v>
      </c>
      <c r="BG13" s="14">
        <f t="shared" si="41"/>
        <v>966.8048</v>
      </c>
      <c r="BH13" s="29">
        <f t="shared" si="42"/>
        <v>1068.943728</v>
      </c>
      <c r="BI13" s="29">
        <f t="shared" si="43"/>
        <v>414.870112</v>
      </c>
      <c r="BJ13" s="29"/>
      <c r="BK13" s="14"/>
      <c r="BL13" s="14">
        <f t="shared" si="45"/>
        <v>162.10103</v>
      </c>
      <c r="BM13" s="14">
        <f t="shared" si="46"/>
        <v>162.10103</v>
      </c>
      <c r="BN13" s="29">
        <f t="shared" si="47"/>
        <v>179.22633330000002</v>
      </c>
      <c r="BO13" s="29">
        <f t="shared" si="48"/>
        <v>69.5599282</v>
      </c>
      <c r="BP13" s="29"/>
      <c r="BQ13" s="14"/>
      <c r="BR13" s="14">
        <f t="shared" si="50"/>
        <v>175.34361</v>
      </c>
      <c r="BS13" s="14">
        <f t="shared" si="51"/>
        <v>175.34361</v>
      </c>
      <c r="BT13" s="29">
        <f t="shared" si="52"/>
        <v>193.8679371</v>
      </c>
      <c r="BU13" s="29">
        <f t="shared" si="53"/>
        <v>75.2425134</v>
      </c>
      <c r="BV13" s="29"/>
      <c r="BW13" s="14"/>
      <c r="BX13" s="14">
        <f t="shared" si="55"/>
        <v>334.84710999999993</v>
      </c>
      <c r="BY13" s="14">
        <f t="shared" si="56"/>
        <v>334.84710999999993</v>
      </c>
      <c r="BZ13" s="29">
        <f t="shared" si="57"/>
        <v>370.22232210000004</v>
      </c>
      <c r="CA13" s="29">
        <f t="shared" si="58"/>
        <v>143.6878034</v>
      </c>
      <c r="CB13" s="14"/>
      <c r="CC13" s="14"/>
      <c r="CD13" s="14">
        <f t="shared" si="60"/>
        <v>55.60919</v>
      </c>
      <c r="CE13" s="14">
        <f t="shared" si="61"/>
        <v>55.60919</v>
      </c>
      <c r="CF13" s="29">
        <f t="shared" si="62"/>
        <v>61.484070900000006</v>
      </c>
      <c r="CG13" s="29">
        <f t="shared" si="63"/>
        <v>23.8627186</v>
      </c>
      <c r="CH13" s="29"/>
      <c r="CI13" s="14"/>
      <c r="CJ13" s="14">
        <f t="shared" si="65"/>
        <v>0.9645999999999999</v>
      </c>
      <c r="CK13" s="14">
        <f t="shared" si="66"/>
        <v>0.9645999999999999</v>
      </c>
      <c r="CL13" s="29">
        <f t="shared" si="67"/>
        <v>1.066506</v>
      </c>
      <c r="CM13" s="29">
        <f t="shared" si="68"/>
        <v>0.413924</v>
      </c>
      <c r="CN13" s="29"/>
      <c r="CO13" s="14"/>
      <c r="CP13" s="14">
        <f t="shared" si="70"/>
        <v>353.95997000000006</v>
      </c>
      <c r="CQ13" s="14">
        <f t="shared" si="71"/>
        <v>353.95997000000006</v>
      </c>
      <c r="CR13" s="29">
        <f t="shared" si="72"/>
        <v>391.3543767</v>
      </c>
      <c r="CS13" s="29">
        <f t="shared" si="73"/>
        <v>151.8894118</v>
      </c>
      <c r="CT13" s="29"/>
      <c r="CU13" s="14"/>
      <c r="CV13" s="14">
        <f t="shared" si="75"/>
        <v>512.86404</v>
      </c>
      <c r="CW13" s="14">
        <f t="shared" si="76"/>
        <v>512.86404</v>
      </c>
      <c r="CX13" s="29">
        <f t="shared" si="77"/>
        <v>567.0460044</v>
      </c>
      <c r="CY13" s="29">
        <f t="shared" si="78"/>
        <v>220.0774776</v>
      </c>
      <c r="CZ13" s="29"/>
      <c r="DA13" s="14"/>
      <c r="DB13" s="14">
        <f t="shared" si="80"/>
        <v>648.92087</v>
      </c>
      <c r="DC13" s="14">
        <f t="shared" si="81"/>
        <v>648.92087</v>
      </c>
      <c r="DD13" s="29">
        <f t="shared" si="82"/>
        <v>717.4766757</v>
      </c>
      <c r="DE13" s="29">
        <f t="shared" si="83"/>
        <v>278.4614578</v>
      </c>
      <c r="DF13" s="29"/>
      <c r="DG13" s="14"/>
      <c r="DH13" s="14">
        <f t="shared" si="85"/>
        <v>60.356399999999994</v>
      </c>
      <c r="DI13" s="14">
        <f t="shared" si="86"/>
        <v>60.356399999999994</v>
      </c>
      <c r="DJ13" s="29">
        <f t="shared" si="87"/>
        <v>66.732804</v>
      </c>
      <c r="DK13" s="29">
        <f t="shared" si="88"/>
        <v>25.899816</v>
      </c>
      <c r="DL13" s="29"/>
      <c r="DM13" s="14"/>
      <c r="DN13" s="29">
        <f t="shared" si="90"/>
        <v>1140.4672500000001</v>
      </c>
      <c r="DO13" s="14">
        <f t="shared" si="91"/>
        <v>1140.4672500000001</v>
      </c>
      <c r="DP13" s="29">
        <f t="shared" si="92"/>
        <v>1260.9528975</v>
      </c>
      <c r="DQ13" s="29">
        <f t="shared" si="93"/>
        <v>489.39121500000005</v>
      </c>
      <c r="DR13" s="29"/>
      <c r="DS13" s="14"/>
      <c r="DT13" s="14">
        <f t="shared" si="95"/>
        <v>2958.85538</v>
      </c>
      <c r="DU13" s="14">
        <f t="shared" si="96"/>
        <v>2958.85538</v>
      </c>
      <c r="DV13" s="29">
        <f t="shared" si="97"/>
        <v>3271.4462118</v>
      </c>
      <c r="DW13" s="29">
        <f t="shared" si="98"/>
        <v>1269.6882172</v>
      </c>
      <c r="DX13" s="29"/>
      <c r="DY13" s="14"/>
      <c r="DZ13" s="14">
        <f t="shared" si="100"/>
        <v>217.96515000000002</v>
      </c>
      <c r="EA13" s="14">
        <f t="shared" si="101"/>
        <v>217.96515000000002</v>
      </c>
      <c r="EB13" s="29">
        <f t="shared" si="102"/>
        <v>240.9922665</v>
      </c>
      <c r="EC13" s="29">
        <f t="shared" si="103"/>
        <v>93.532041</v>
      </c>
      <c r="ED13" s="29"/>
    </row>
    <row r="14" spans="1:134" s="31" customFormat="1" ht="12.75">
      <c r="A14" s="2">
        <v>45566</v>
      </c>
      <c r="B14"/>
      <c r="C14" s="15">
        <f>'2012D'!C14</f>
        <v>3445000</v>
      </c>
      <c r="D14" s="15">
        <f>'2012D'!D14</f>
        <v>68900</v>
      </c>
      <c r="E14" s="15">
        <f t="shared" si="0"/>
        <v>3513900</v>
      </c>
      <c r="F14" s="15">
        <f>'2012D'!F14</f>
        <v>76179</v>
      </c>
      <c r="G14" s="15">
        <f>'2012D'!G14</f>
        <v>29566</v>
      </c>
      <c r="H14" s="29"/>
      <c r="I14" s="44">
        <f t="shared" si="1"/>
        <v>1931241.5070000004</v>
      </c>
      <c r="J14" s="44">
        <f t="shared" si="1"/>
        <v>38624.830140000005</v>
      </c>
      <c r="K14" s="44">
        <f t="shared" si="2"/>
        <v>1969866.3371400004</v>
      </c>
      <c r="L14" s="44">
        <f t="shared" si="3"/>
        <v>42705.38367540001</v>
      </c>
      <c r="M14" s="44">
        <f t="shared" si="3"/>
        <v>16574.4808116</v>
      </c>
      <c r="N14" s="29"/>
      <c r="O14" s="14">
        <f t="shared" si="4"/>
        <v>310820.99100000004</v>
      </c>
      <c r="P14" s="29">
        <f t="shared" si="5"/>
        <v>6216.419819999999</v>
      </c>
      <c r="Q14" s="29">
        <f t="shared" si="6"/>
        <v>317037.41082000005</v>
      </c>
      <c r="R14" s="29">
        <f t="shared" si="7"/>
        <v>6873.1588602</v>
      </c>
      <c r="S14" s="29">
        <f t="shared" si="8"/>
        <v>2667.5568708</v>
      </c>
      <c r="T14" s="29"/>
      <c r="U14" s="14">
        <f t="shared" si="9"/>
        <v>2920.671</v>
      </c>
      <c r="V14" s="14">
        <f t="shared" si="10"/>
        <v>58.413419999999995</v>
      </c>
      <c r="W14" s="14">
        <f t="shared" si="11"/>
        <v>2979.0844199999997</v>
      </c>
      <c r="X14" s="29">
        <f t="shared" si="12"/>
        <v>64.5845562</v>
      </c>
      <c r="Y14" s="29">
        <f t="shared" si="13"/>
        <v>25.0660548</v>
      </c>
      <c r="Z14" s="29"/>
      <c r="AA14" s="14">
        <f t="shared" si="14"/>
        <v>93536.573</v>
      </c>
      <c r="AB14" s="14">
        <f t="shared" si="15"/>
        <v>1870.7314599999997</v>
      </c>
      <c r="AC14" s="14">
        <f t="shared" si="16"/>
        <v>95407.30446</v>
      </c>
      <c r="AD14" s="29">
        <f t="shared" si="17"/>
        <v>2068.3665006</v>
      </c>
      <c r="AE14" s="29">
        <f t="shared" si="18"/>
        <v>802.7582924</v>
      </c>
      <c r="AF14" s="29"/>
      <c r="AG14" s="14">
        <f t="shared" si="19"/>
        <v>783356.8275</v>
      </c>
      <c r="AH14" s="14">
        <f t="shared" si="20"/>
        <v>15667.136550000001</v>
      </c>
      <c r="AI14" s="14">
        <f t="shared" si="21"/>
        <v>799023.9640500001</v>
      </c>
      <c r="AJ14" s="29">
        <f t="shared" si="22"/>
        <v>17322.3047205</v>
      </c>
      <c r="AK14" s="29">
        <f t="shared" si="23"/>
        <v>6722.997957</v>
      </c>
      <c r="AL14" s="29"/>
      <c r="AM14" s="14">
        <f t="shared" si="24"/>
        <v>202755.8195</v>
      </c>
      <c r="AN14" s="14">
        <f t="shared" si="25"/>
        <v>4055.11639</v>
      </c>
      <c r="AO14" s="14">
        <f t="shared" si="26"/>
        <v>206810.93589000002</v>
      </c>
      <c r="AP14" s="29">
        <f t="shared" si="27"/>
        <v>4483.5226629</v>
      </c>
      <c r="AQ14" s="29">
        <f t="shared" si="28"/>
        <v>1740.1098866</v>
      </c>
      <c r="AR14" s="14"/>
      <c r="AS14" s="14">
        <f t="shared" si="29"/>
        <v>137281.872</v>
      </c>
      <c r="AT14" s="14">
        <f t="shared" si="30"/>
        <v>2745.63744</v>
      </c>
      <c r="AU14" s="14">
        <f t="shared" si="31"/>
        <v>140027.50944</v>
      </c>
      <c r="AV14" s="29">
        <f t="shared" si="32"/>
        <v>3035.7026784</v>
      </c>
      <c r="AW14" s="29">
        <f t="shared" si="33"/>
        <v>1178.1932735999999</v>
      </c>
      <c r="AX14" s="29"/>
      <c r="AY14" s="14">
        <f t="shared" si="34"/>
        <v>21115.783</v>
      </c>
      <c r="AZ14" s="14">
        <f t="shared" si="35"/>
        <v>422.31566000000004</v>
      </c>
      <c r="BA14" s="14">
        <f t="shared" si="36"/>
        <v>21538.09866</v>
      </c>
      <c r="BB14" s="29">
        <f t="shared" si="37"/>
        <v>466.9315626</v>
      </c>
      <c r="BC14" s="29">
        <f t="shared" si="38"/>
        <v>181.2218404</v>
      </c>
      <c r="BD14" s="29"/>
      <c r="BE14" s="14">
        <f t="shared" si="39"/>
        <v>48340.24</v>
      </c>
      <c r="BF14" s="14">
        <f t="shared" si="40"/>
        <v>966.8048</v>
      </c>
      <c r="BG14" s="14">
        <f t="shared" si="41"/>
        <v>49307.044799999996</v>
      </c>
      <c r="BH14" s="29">
        <f t="shared" si="42"/>
        <v>1068.943728</v>
      </c>
      <c r="BI14" s="29">
        <f t="shared" si="43"/>
        <v>414.870112</v>
      </c>
      <c r="BJ14" s="29"/>
      <c r="BK14" s="14">
        <f t="shared" si="44"/>
        <v>8105.0515000000005</v>
      </c>
      <c r="BL14" s="14">
        <f t="shared" si="45"/>
        <v>162.10103</v>
      </c>
      <c r="BM14" s="14">
        <f t="shared" si="46"/>
        <v>8267.152530000001</v>
      </c>
      <c r="BN14" s="29">
        <f t="shared" si="47"/>
        <v>179.22633330000002</v>
      </c>
      <c r="BO14" s="29">
        <f t="shared" si="48"/>
        <v>69.5599282</v>
      </c>
      <c r="BP14" s="29"/>
      <c r="BQ14" s="14">
        <f t="shared" si="49"/>
        <v>8767.1805</v>
      </c>
      <c r="BR14" s="14">
        <f t="shared" si="50"/>
        <v>175.34361</v>
      </c>
      <c r="BS14" s="14">
        <f t="shared" si="51"/>
        <v>8942.52411</v>
      </c>
      <c r="BT14" s="29">
        <f t="shared" si="52"/>
        <v>193.8679371</v>
      </c>
      <c r="BU14" s="29">
        <f t="shared" si="53"/>
        <v>75.2425134</v>
      </c>
      <c r="BV14" s="29"/>
      <c r="BW14" s="14">
        <f t="shared" si="54"/>
        <v>16742.3555</v>
      </c>
      <c r="BX14" s="14">
        <f t="shared" si="55"/>
        <v>334.84710999999993</v>
      </c>
      <c r="BY14" s="14">
        <f t="shared" si="56"/>
        <v>17077.20261</v>
      </c>
      <c r="BZ14" s="29">
        <f t="shared" si="57"/>
        <v>370.22232210000004</v>
      </c>
      <c r="CA14" s="29">
        <f t="shared" si="58"/>
        <v>143.6878034</v>
      </c>
      <c r="CB14" s="14"/>
      <c r="CC14" s="14">
        <f t="shared" si="59"/>
        <v>2780.4595000000004</v>
      </c>
      <c r="CD14" s="14">
        <f t="shared" si="60"/>
        <v>55.60919</v>
      </c>
      <c r="CE14" s="14">
        <f t="shared" si="61"/>
        <v>2836.0686900000005</v>
      </c>
      <c r="CF14" s="29">
        <f t="shared" si="62"/>
        <v>61.484070900000006</v>
      </c>
      <c r="CG14" s="29">
        <f t="shared" si="63"/>
        <v>23.8627186</v>
      </c>
      <c r="CH14" s="29"/>
      <c r="CI14" s="14">
        <f t="shared" si="64"/>
        <v>48.23</v>
      </c>
      <c r="CJ14" s="14">
        <f t="shared" si="65"/>
        <v>0.9645999999999999</v>
      </c>
      <c r="CK14" s="14">
        <f t="shared" si="66"/>
        <v>49.194599999999994</v>
      </c>
      <c r="CL14" s="29">
        <f t="shared" si="67"/>
        <v>1.066506</v>
      </c>
      <c r="CM14" s="29">
        <f t="shared" si="68"/>
        <v>0.413924</v>
      </c>
      <c r="CN14" s="29"/>
      <c r="CO14" s="14">
        <f t="shared" si="69"/>
        <v>17697.9985</v>
      </c>
      <c r="CP14" s="14">
        <f t="shared" si="70"/>
        <v>353.95997000000006</v>
      </c>
      <c r="CQ14" s="14">
        <f t="shared" si="71"/>
        <v>18051.95847</v>
      </c>
      <c r="CR14" s="29">
        <f t="shared" si="72"/>
        <v>391.3543767</v>
      </c>
      <c r="CS14" s="29">
        <f t="shared" si="73"/>
        <v>151.8894118</v>
      </c>
      <c r="CT14" s="29"/>
      <c r="CU14" s="14">
        <f t="shared" si="74"/>
        <v>25643.202</v>
      </c>
      <c r="CV14" s="14">
        <f t="shared" si="75"/>
        <v>512.86404</v>
      </c>
      <c r="CW14" s="14">
        <f t="shared" si="76"/>
        <v>26156.06604</v>
      </c>
      <c r="CX14" s="29">
        <f t="shared" si="77"/>
        <v>567.0460044</v>
      </c>
      <c r="CY14" s="29">
        <f t="shared" si="78"/>
        <v>220.0774776</v>
      </c>
      <c r="CZ14" s="29"/>
      <c r="DA14" s="14">
        <f t="shared" si="79"/>
        <v>32446.043499999996</v>
      </c>
      <c r="DB14" s="14">
        <f t="shared" si="80"/>
        <v>648.92087</v>
      </c>
      <c r="DC14" s="14">
        <f t="shared" si="81"/>
        <v>33094.964369999994</v>
      </c>
      <c r="DD14" s="29">
        <f t="shared" si="82"/>
        <v>717.4766757</v>
      </c>
      <c r="DE14" s="29">
        <f t="shared" si="83"/>
        <v>278.4614578</v>
      </c>
      <c r="DF14" s="29"/>
      <c r="DG14" s="14">
        <f t="shared" si="84"/>
        <v>3017.82</v>
      </c>
      <c r="DH14" s="14">
        <f t="shared" si="85"/>
        <v>60.356399999999994</v>
      </c>
      <c r="DI14" s="14">
        <f t="shared" si="86"/>
        <v>3078.1764000000003</v>
      </c>
      <c r="DJ14" s="29">
        <f t="shared" si="87"/>
        <v>66.732804</v>
      </c>
      <c r="DK14" s="29">
        <f t="shared" si="88"/>
        <v>25.899816</v>
      </c>
      <c r="DL14" s="29"/>
      <c r="DM14" s="14">
        <f t="shared" si="89"/>
        <v>57023.3625</v>
      </c>
      <c r="DN14" s="29">
        <f t="shared" si="90"/>
        <v>1140.4672500000001</v>
      </c>
      <c r="DO14" s="14">
        <f t="shared" si="91"/>
        <v>58163.829750000004</v>
      </c>
      <c r="DP14" s="29">
        <f t="shared" si="92"/>
        <v>1260.9528975</v>
      </c>
      <c r="DQ14" s="29">
        <f t="shared" si="93"/>
        <v>489.39121500000005</v>
      </c>
      <c r="DR14" s="29"/>
      <c r="DS14" s="14">
        <f t="shared" si="94"/>
        <v>147942.769</v>
      </c>
      <c r="DT14" s="14">
        <f t="shared" si="95"/>
        <v>2958.85538</v>
      </c>
      <c r="DU14" s="14">
        <f t="shared" si="96"/>
        <v>150901.62438</v>
      </c>
      <c r="DV14" s="29">
        <f t="shared" si="97"/>
        <v>3271.4462118</v>
      </c>
      <c r="DW14" s="29">
        <f t="shared" si="98"/>
        <v>1269.6882172</v>
      </c>
      <c r="DX14" s="29"/>
      <c r="DY14" s="14">
        <f t="shared" si="99"/>
        <v>10898.2575</v>
      </c>
      <c r="DZ14" s="14">
        <f t="shared" si="100"/>
        <v>217.96515000000002</v>
      </c>
      <c r="EA14" s="14">
        <f t="shared" si="101"/>
        <v>11116.22265</v>
      </c>
      <c r="EB14" s="29">
        <f t="shared" si="102"/>
        <v>240.9922665</v>
      </c>
      <c r="EC14" s="29">
        <f t="shared" si="103"/>
        <v>93.532041</v>
      </c>
      <c r="ED14" s="29"/>
    </row>
    <row r="15" spans="1:134" s="31" customFormat="1" ht="12.75">
      <c r="A15" s="2">
        <v>45748</v>
      </c>
      <c r="B15"/>
      <c r="C15" s="15">
        <f>'2012D'!C15</f>
        <v>0</v>
      </c>
      <c r="D15" s="15">
        <f>'2012D'!D15</f>
        <v>0</v>
      </c>
      <c r="E15" s="15">
        <f t="shared" si="0"/>
        <v>0</v>
      </c>
      <c r="F15" s="15">
        <f>'2012D'!F15</f>
        <v>0</v>
      </c>
      <c r="G15" s="15">
        <f>'2012D'!G15</f>
        <v>0</v>
      </c>
      <c r="H15" s="29"/>
      <c r="I15" s="44">
        <f t="shared" si="1"/>
        <v>0</v>
      </c>
      <c r="J15" s="44">
        <f t="shared" si="1"/>
        <v>0</v>
      </c>
      <c r="K15" s="44">
        <f t="shared" si="2"/>
        <v>0</v>
      </c>
      <c r="L15" s="44">
        <f t="shared" si="3"/>
        <v>0</v>
      </c>
      <c r="M15" s="44">
        <f t="shared" si="3"/>
        <v>0</v>
      </c>
      <c r="N15" s="29"/>
      <c r="O15" s="14"/>
      <c r="P15" s="29">
        <f t="shared" si="5"/>
        <v>0</v>
      </c>
      <c r="Q15" s="29">
        <f t="shared" si="6"/>
        <v>0</v>
      </c>
      <c r="R15" s="29">
        <f t="shared" si="7"/>
        <v>0</v>
      </c>
      <c r="S15" s="29">
        <f t="shared" si="8"/>
        <v>0</v>
      </c>
      <c r="T15" s="29"/>
      <c r="U15" s="14"/>
      <c r="V15" s="14">
        <f t="shared" si="10"/>
        <v>0</v>
      </c>
      <c r="W15" s="14">
        <f t="shared" si="11"/>
        <v>0</v>
      </c>
      <c r="X15" s="29">
        <f t="shared" si="12"/>
        <v>0</v>
      </c>
      <c r="Y15" s="29">
        <f t="shared" si="13"/>
        <v>0</v>
      </c>
      <c r="Z15" s="29"/>
      <c r="AA15" s="14"/>
      <c r="AB15" s="14">
        <f t="shared" si="15"/>
        <v>0</v>
      </c>
      <c r="AC15" s="14">
        <f t="shared" si="16"/>
        <v>0</v>
      </c>
      <c r="AD15" s="29">
        <f t="shared" si="17"/>
        <v>0</v>
      </c>
      <c r="AE15" s="29">
        <f t="shared" si="18"/>
        <v>0</v>
      </c>
      <c r="AF15" s="29"/>
      <c r="AG15" s="14"/>
      <c r="AH15" s="14">
        <f t="shared" si="20"/>
        <v>0</v>
      </c>
      <c r="AI15" s="14">
        <f t="shared" si="21"/>
        <v>0</v>
      </c>
      <c r="AJ15" s="29">
        <f t="shared" si="22"/>
        <v>0</v>
      </c>
      <c r="AK15" s="29">
        <f t="shared" si="23"/>
        <v>0</v>
      </c>
      <c r="AL15" s="29"/>
      <c r="AM15" s="14"/>
      <c r="AN15" s="14">
        <f t="shared" si="25"/>
        <v>0</v>
      </c>
      <c r="AO15" s="14">
        <f t="shared" si="26"/>
        <v>0</v>
      </c>
      <c r="AP15" s="29">
        <f t="shared" si="27"/>
        <v>0</v>
      </c>
      <c r="AQ15" s="29">
        <f t="shared" si="28"/>
        <v>0</v>
      </c>
      <c r="AR15" s="14"/>
      <c r="AS15" s="14"/>
      <c r="AT15" s="14">
        <f t="shared" si="30"/>
        <v>0</v>
      </c>
      <c r="AU15" s="14">
        <f t="shared" si="31"/>
        <v>0</v>
      </c>
      <c r="AV15" s="29">
        <f t="shared" si="32"/>
        <v>0</v>
      </c>
      <c r="AW15" s="29">
        <f t="shared" si="33"/>
        <v>0</v>
      </c>
      <c r="AX15" s="29"/>
      <c r="AY15" s="14"/>
      <c r="AZ15" s="14">
        <f t="shared" si="35"/>
        <v>0</v>
      </c>
      <c r="BA15" s="14">
        <f t="shared" si="36"/>
        <v>0</v>
      </c>
      <c r="BB15" s="29">
        <f t="shared" si="37"/>
        <v>0</v>
      </c>
      <c r="BC15" s="29">
        <f t="shared" si="38"/>
        <v>0</v>
      </c>
      <c r="BD15" s="29"/>
      <c r="BE15" s="14"/>
      <c r="BF15" s="14">
        <f t="shared" si="40"/>
        <v>0</v>
      </c>
      <c r="BG15" s="14">
        <f t="shared" si="41"/>
        <v>0</v>
      </c>
      <c r="BH15" s="29">
        <f t="shared" si="42"/>
        <v>0</v>
      </c>
      <c r="BI15" s="29">
        <f t="shared" si="43"/>
        <v>0</v>
      </c>
      <c r="BJ15" s="29"/>
      <c r="BK15" s="14"/>
      <c r="BL15" s="14">
        <f t="shared" si="45"/>
        <v>0</v>
      </c>
      <c r="BM15" s="14">
        <f t="shared" si="46"/>
        <v>0</v>
      </c>
      <c r="BN15" s="29">
        <f t="shared" si="47"/>
        <v>0</v>
      </c>
      <c r="BO15" s="29">
        <f t="shared" si="48"/>
        <v>0</v>
      </c>
      <c r="BP15" s="29"/>
      <c r="BQ15" s="14"/>
      <c r="BR15" s="14">
        <f t="shared" si="50"/>
        <v>0</v>
      </c>
      <c r="BS15" s="14">
        <f t="shared" si="51"/>
        <v>0</v>
      </c>
      <c r="BT15" s="29">
        <f t="shared" si="52"/>
        <v>0</v>
      </c>
      <c r="BU15" s="29">
        <f t="shared" si="53"/>
        <v>0</v>
      </c>
      <c r="BV15" s="29"/>
      <c r="BW15" s="14"/>
      <c r="BX15" s="14">
        <f t="shared" si="55"/>
        <v>0</v>
      </c>
      <c r="BY15" s="14">
        <f t="shared" si="56"/>
        <v>0</v>
      </c>
      <c r="BZ15" s="29">
        <f t="shared" si="57"/>
        <v>0</v>
      </c>
      <c r="CA15" s="29">
        <f t="shared" si="58"/>
        <v>0</v>
      </c>
      <c r="CB15" s="14"/>
      <c r="CC15" s="14"/>
      <c r="CD15" s="14">
        <f t="shared" si="60"/>
        <v>0</v>
      </c>
      <c r="CE15" s="14">
        <f t="shared" si="61"/>
        <v>0</v>
      </c>
      <c r="CF15" s="29">
        <f t="shared" si="62"/>
        <v>0</v>
      </c>
      <c r="CG15" s="29">
        <f t="shared" si="63"/>
        <v>0</v>
      </c>
      <c r="CH15" s="29"/>
      <c r="CI15" s="14"/>
      <c r="CJ15" s="14">
        <f t="shared" si="65"/>
        <v>0</v>
      </c>
      <c r="CK15" s="14">
        <f t="shared" si="66"/>
        <v>0</v>
      </c>
      <c r="CL15" s="29">
        <f t="shared" si="67"/>
        <v>0</v>
      </c>
      <c r="CM15" s="29">
        <f t="shared" si="68"/>
        <v>0</v>
      </c>
      <c r="CN15" s="29"/>
      <c r="CO15" s="14"/>
      <c r="CP15" s="14">
        <f t="shared" si="70"/>
        <v>0</v>
      </c>
      <c r="CQ15" s="14">
        <f t="shared" si="71"/>
        <v>0</v>
      </c>
      <c r="CR15" s="29">
        <f t="shared" si="72"/>
        <v>0</v>
      </c>
      <c r="CS15" s="29">
        <f t="shared" si="73"/>
        <v>0</v>
      </c>
      <c r="CT15" s="29"/>
      <c r="CU15" s="14"/>
      <c r="CV15" s="14">
        <f t="shared" si="75"/>
        <v>0</v>
      </c>
      <c r="CW15" s="14">
        <f t="shared" si="76"/>
        <v>0</v>
      </c>
      <c r="CX15" s="29">
        <f t="shared" si="77"/>
        <v>0</v>
      </c>
      <c r="CY15" s="29">
        <f t="shared" si="78"/>
        <v>0</v>
      </c>
      <c r="CZ15" s="29"/>
      <c r="DA15" s="14"/>
      <c r="DB15" s="14">
        <f t="shared" si="80"/>
        <v>0</v>
      </c>
      <c r="DC15" s="14">
        <f t="shared" si="81"/>
        <v>0</v>
      </c>
      <c r="DD15" s="29">
        <f t="shared" si="82"/>
        <v>0</v>
      </c>
      <c r="DE15" s="29">
        <f t="shared" si="83"/>
        <v>0</v>
      </c>
      <c r="DF15" s="29"/>
      <c r="DG15" s="14"/>
      <c r="DH15" s="14">
        <f t="shared" si="85"/>
        <v>0</v>
      </c>
      <c r="DI15" s="14">
        <f t="shared" si="86"/>
        <v>0</v>
      </c>
      <c r="DJ15" s="29">
        <f t="shared" si="87"/>
        <v>0</v>
      </c>
      <c r="DK15" s="29">
        <f t="shared" si="88"/>
        <v>0</v>
      </c>
      <c r="DL15" s="29"/>
      <c r="DM15" s="14"/>
      <c r="DN15" s="29">
        <f t="shared" si="90"/>
        <v>0</v>
      </c>
      <c r="DO15" s="14">
        <f t="shared" si="91"/>
        <v>0</v>
      </c>
      <c r="DP15" s="29">
        <f t="shared" si="92"/>
        <v>0</v>
      </c>
      <c r="DQ15" s="29">
        <f t="shared" si="93"/>
        <v>0</v>
      </c>
      <c r="DR15" s="29"/>
      <c r="DS15" s="14"/>
      <c r="DT15" s="14">
        <f t="shared" si="95"/>
        <v>0</v>
      </c>
      <c r="DU15" s="14">
        <f t="shared" si="96"/>
        <v>0</v>
      </c>
      <c r="DV15" s="29">
        <f t="shared" si="97"/>
        <v>0</v>
      </c>
      <c r="DW15" s="29">
        <f t="shared" si="98"/>
        <v>0</v>
      </c>
      <c r="DX15" s="29"/>
      <c r="DY15" s="14"/>
      <c r="DZ15" s="14">
        <f t="shared" si="100"/>
        <v>0</v>
      </c>
      <c r="EA15" s="14">
        <f t="shared" si="101"/>
        <v>0</v>
      </c>
      <c r="EB15" s="29">
        <f t="shared" si="102"/>
        <v>0</v>
      </c>
      <c r="EC15" s="29">
        <f t="shared" si="103"/>
        <v>0</v>
      </c>
      <c r="ED15" s="29"/>
    </row>
    <row r="16" spans="3:27" ht="12.75">
      <c r="C16" s="21"/>
      <c r="D16" s="21"/>
      <c r="E16" s="21"/>
      <c r="F16" s="21"/>
      <c r="G16" s="21"/>
      <c r="I16" s="43"/>
      <c r="J16" s="44"/>
      <c r="K16" s="43"/>
      <c r="L16" s="43"/>
      <c r="M16" s="43"/>
      <c r="AA16" s="29"/>
    </row>
    <row r="17" spans="1:133" ht="13.5" thickBot="1">
      <c r="A17" s="12" t="s">
        <v>0</v>
      </c>
      <c r="C17" s="28">
        <f>SUM(C8:C16)</f>
        <v>6755000</v>
      </c>
      <c r="D17" s="28">
        <f>SUM(D8:D16)</f>
        <v>813300</v>
      </c>
      <c r="E17" s="28">
        <f>SUM(E8:E16)</f>
        <v>7568300</v>
      </c>
      <c r="F17" s="28">
        <f>SUM(F8:F16)</f>
        <v>533253</v>
      </c>
      <c r="G17" s="28">
        <f>SUM(G8:G16)</f>
        <v>206962</v>
      </c>
      <c r="I17" s="46">
        <f>SUM(I8:I16)</f>
        <v>3786803.0130000003</v>
      </c>
      <c r="J17" s="46">
        <f>SUM(J8:J16)</f>
        <v>455929.96158</v>
      </c>
      <c r="K17" s="46">
        <f>SUM(K8:K16)</f>
        <v>4242732.974580001</v>
      </c>
      <c r="L17" s="46">
        <f>SUM(L8:L16)</f>
        <v>298937.6857278</v>
      </c>
      <c r="M17" s="46">
        <f>SUM(M8:M16)</f>
        <v>116021.36568119997</v>
      </c>
      <c r="O17" s="28">
        <f>SUM(O8:O16)</f>
        <v>609461.7690000001</v>
      </c>
      <c r="P17" s="28">
        <f>SUM(P8:P16)</f>
        <v>73379.01654</v>
      </c>
      <c r="Q17" s="28">
        <f>SUM(Q8:Q16)</f>
        <v>682840.7855400001</v>
      </c>
      <c r="R17" s="28">
        <f>SUM(R8:R16)</f>
        <v>48112.1120214</v>
      </c>
      <c r="S17" s="28">
        <f>SUM(S8:S16)</f>
        <v>18672.898095599998</v>
      </c>
      <c r="U17" s="28">
        <f>SUM(U8:U16)</f>
        <v>5726.888999999999</v>
      </c>
      <c r="V17" s="28">
        <f>SUM(V8:V16)</f>
        <v>689.5157399999998</v>
      </c>
      <c r="W17" s="28">
        <f>SUM(W8:W16)</f>
        <v>6416.40474</v>
      </c>
      <c r="X17" s="28">
        <f>SUM(X8:X16)</f>
        <v>452.0918934</v>
      </c>
      <c r="Y17" s="28">
        <f>SUM(Y8:Y16)</f>
        <v>175.46238359999998</v>
      </c>
      <c r="AA17" s="28">
        <f>SUM(AA8:AA16)</f>
        <v>183407.707</v>
      </c>
      <c r="AB17" s="28">
        <f>SUM(AB8:AB16)</f>
        <v>22082.23362</v>
      </c>
      <c r="AC17" s="28">
        <f>SUM(AC8:AC16)</f>
        <v>205489.94061999998</v>
      </c>
      <c r="AD17" s="28">
        <f>SUM(AD8:AD16)</f>
        <v>14478.565504200003</v>
      </c>
      <c r="AE17" s="28">
        <f>SUM(AE8:AE16)</f>
        <v>5619.3080468</v>
      </c>
      <c r="AG17" s="28">
        <f>SUM(AG8:AG16)</f>
        <v>1536016.0725</v>
      </c>
      <c r="AH17" s="28">
        <f>SUM(AH8:AH16)</f>
        <v>184935.88035</v>
      </c>
      <c r="AI17" s="28">
        <f>SUM(AI8:AI16)</f>
        <v>1720951.95285</v>
      </c>
      <c r="AJ17" s="28">
        <f>SUM(AJ8:AJ16)</f>
        <v>121256.13304350001</v>
      </c>
      <c r="AK17" s="28">
        <f>SUM(AK8:AK16)</f>
        <v>47060.985699</v>
      </c>
      <c r="AM17" s="28">
        <f>SUM(AM8:AM16)</f>
        <v>397566.20050000004</v>
      </c>
      <c r="AN17" s="28">
        <f>SUM(AN8:AN16)</f>
        <v>47866.85283</v>
      </c>
      <c r="AO17" s="28">
        <f>SUM(AO8:AO16)</f>
        <v>445433.05333</v>
      </c>
      <c r="AP17" s="28">
        <f>SUM(AP8:AP16)</f>
        <v>31384.658640299996</v>
      </c>
      <c r="AQ17" s="28">
        <f>SUM(AQ8:AQ16)</f>
        <v>12180.769206199999</v>
      </c>
      <c r="AR17" s="28"/>
      <c r="AS17" s="28">
        <f>SUM(AS8:AS16)</f>
        <v>269184.048</v>
      </c>
      <c r="AT17" s="28">
        <f>SUM(AT8:AT16)</f>
        <v>32409.67968</v>
      </c>
      <c r="AU17" s="28">
        <f>SUM(AU8:AU16)</f>
        <v>301593.72768</v>
      </c>
      <c r="AV17" s="28">
        <f>SUM(AV8:AV16)</f>
        <v>21249.918748800003</v>
      </c>
      <c r="AW17" s="28">
        <f>SUM(AW8:AW16)</f>
        <v>8247.3529152</v>
      </c>
      <c r="AY17" s="28">
        <f>SUM(AY8:AY16)</f>
        <v>41404.097</v>
      </c>
      <c r="AZ17" s="28">
        <f>SUM(AZ8:AZ16)</f>
        <v>4985.041020000001</v>
      </c>
      <c r="BA17" s="28">
        <f>SUM(BA8:BA16)</f>
        <v>46389.13802</v>
      </c>
      <c r="BB17" s="28">
        <f>SUM(BB8:BB16)</f>
        <v>3268.5209381999994</v>
      </c>
      <c r="BC17" s="28">
        <f>SUM(BC8:BC16)</f>
        <v>1268.5528828</v>
      </c>
      <c r="BE17" s="28">
        <f>SUM(BE8:BE16)</f>
        <v>94786.16</v>
      </c>
      <c r="BF17" s="28">
        <f>SUM(BF8:BF16)</f>
        <v>11412.2256</v>
      </c>
      <c r="BG17" s="28">
        <f>SUM(BG8:BG16)</f>
        <v>106198.3856</v>
      </c>
      <c r="BH17" s="28">
        <f>SUM(BH8:BH16)</f>
        <v>7482.606096</v>
      </c>
      <c r="BI17" s="28">
        <f>SUM(BI8:BI16)</f>
        <v>2904.090784</v>
      </c>
      <c r="BK17" s="28">
        <f>SUM(BK8:BK16)</f>
        <v>15892.4885</v>
      </c>
      <c r="BL17" s="28">
        <f>SUM(BL8:BL16)</f>
        <v>1913.4509100000002</v>
      </c>
      <c r="BM17" s="28">
        <f>SUM(BM8:BM16)</f>
        <v>17805.93941</v>
      </c>
      <c r="BN17" s="28">
        <f>SUM(BN8:BN16)</f>
        <v>1254.5843331000003</v>
      </c>
      <c r="BO17" s="28">
        <f>SUM(BO8:BO16)</f>
        <v>486.9194974</v>
      </c>
      <c r="BQ17" s="28">
        <f>SUM(BQ8:BQ16)</f>
        <v>17190.7995</v>
      </c>
      <c r="BR17" s="28">
        <f>SUM(BR8:BR16)</f>
        <v>2069.76717</v>
      </c>
      <c r="BS17" s="28">
        <f>SUM(BS8:BS16)</f>
        <v>19260.56667</v>
      </c>
      <c r="BT17" s="28">
        <f>SUM(BT8:BT16)</f>
        <v>1357.0755597000002</v>
      </c>
      <c r="BU17" s="28">
        <f>SUM(BU8:BU16)</f>
        <v>526.6975938</v>
      </c>
      <c r="BW17" s="28">
        <f>SUM(BW8:BW16)</f>
        <v>32828.624500000005</v>
      </c>
      <c r="BX17" s="28">
        <f>SUM(BX8:BX16)</f>
        <v>3952.55667</v>
      </c>
      <c r="BY17" s="28">
        <f>SUM(BY8:BY16)</f>
        <v>36781.181169999996</v>
      </c>
      <c r="BZ17" s="28">
        <f>SUM(BZ8:BZ16)</f>
        <v>2591.5562547</v>
      </c>
      <c r="CA17" s="28">
        <f>SUM(CA8:CA16)</f>
        <v>1005.8146238</v>
      </c>
      <c r="CB17" s="21"/>
      <c r="CC17" s="28">
        <f>SUM(CC8:CC16)</f>
        <v>5451.960500000001</v>
      </c>
      <c r="CD17" s="28">
        <f>SUM(CD8:CD16)</f>
        <v>656.41443</v>
      </c>
      <c r="CE17" s="28">
        <f>SUM(CE8:CE16)</f>
        <v>6108.374930000001</v>
      </c>
      <c r="CF17" s="28">
        <f>SUM(CF8:CF16)</f>
        <v>430.38849630000004</v>
      </c>
      <c r="CG17" s="28">
        <f>SUM(CG8:CG16)</f>
        <v>167.03903019999998</v>
      </c>
      <c r="CI17" s="28">
        <f>SUM(CI8:CI16)</f>
        <v>94.57</v>
      </c>
      <c r="CJ17" s="28">
        <f>SUM(CJ8:CJ16)</f>
        <v>11.386200000000002</v>
      </c>
      <c r="CK17" s="28">
        <f>SUM(CK8:CK16)</f>
        <v>105.9562</v>
      </c>
      <c r="CL17" s="28">
        <f>SUM(CL8:CL16)</f>
        <v>7.465542000000001</v>
      </c>
      <c r="CM17" s="28">
        <f>SUM(CM8:CM16)</f>
        <v>2.8974680000000004</v>
      </c>
      <c r="CO17" s="28">
        <f>SUM(CO8:CO16)</f>
        <v>34702.461500000005</v>
      </c>
      <c r="CP17" s="28">
        <f>SUM(CP8:CP16)</f>
        <v>4178.166090000001</v>
      </c>
      <c r="CQ17" s="28">
        <f>SUM(CQ8:CQ16)</f>
        <v>38880.627590000004</v>
      </c>
      <c r="CR17" s="28">
        <f>SUM(CR8:CR16)</f>
        <v>2739.4806369000003</v>
      </c>
      <c r="CS17" s="28">
        <f>SUM(CS8:CS16)</f>
        <v>1063.2258826000002</v>
      </c>
      <c r="CU17" s="28">
        <f>SUM(CU8:CU16)</f>
        <v>50281.518</v>
      </c>
      <c r="CV17" s="28">
        <f>SUM(CV8:CV16)</f>
        <v>6053.879880000001</v>
      </c>
      <c r="CW17" s="28">
        <f>SUM(CW8:CW16)</f>
        <v>56335.397880000004</v>
      </c>
      <c r="CX17" s="28">
        <f>SUM(CX8:CX16)</f>
        <v>3969.3220308000004</v>
      </c>
      <c r="CY17" s="28">
        <f>SUM(CY8:CY16)</f>
        <v>1540.5423432000002</v>
      </c>
      <c r="DA17" s="28">
        <f>SUM(DA8:DA16)</f>
        <v>63620.61649999999</v>
      </c>
      <c r="DB17" s="28">
        <f>SUM(DB8:DB16)</f>
        <v>7659.9033899999995</v>
      </c>
      <c r="DC17" s="28">
        <f>SUM(DC8:DC16)</f>
        <v>71280.51989</v>
      </c>
      <c r="DD17" s="28">
        <f>SUM(DD8:DD16)</f>
        <v>5022.336729899999</v>
      </c>
      <c r="DE17" s="28">
        <f>SUM(DE8:DE16)</f>
        <v>1949.2302046000002</v>
      </c>
      <c r="DG17" s="28">
        <f>SUM(DG8:DG16)</f>
        <v>5917.38</v>
      </c>
      <c r="DH17" s="28">
        <f>SUM(DH8:DH16)</f>
        <v>712.4508000000001</v>
      </c>
      <c r="DI17" s="28">
        <f>SUM(DI8:DI16)</f>
        <v>6629.8308</v>
      </c>
      <c r="DJ17" s="28">
        <f>SUM(DJ8:DJ16)</f>
        <v>467.12962799999997</v>
      </c>
      <c r="DK17" s="28">
        <f>SUM(DK8:DK16)</f>
        <v>181.29871199999997</v>
      </c>
      <c r="DM17" s="28">
        <f>SUM(DM8:DM16)</f>
        <v>111812.13750000001</v>
      </c>
      <c r="DN17" s="28">
        <f>SUM(DN8:DN16)</f>
        <v>13462.148250000002</v>
      </c>
      <c r="DO17" s="28">
        <f>SUM(DO8:DO16)</f>
        <v>125274.28575000001</v>
      </c>
      <c r="DP17" s="28">
        <f>SUM(DP8:DP16)</f>
        <v>8826.670282500001</v>
      </c>
      <c r="DQ17" s="28">
        <f>SUM(DQ8:DQ16)</f>
        <v>3425.7385050000003</v>
      </c>
      <c r="DS17" s="28">
        <f>SUM(DS8:DS16)</f>
        <v>290088.071</v>
      </c>
      <c r="DT17" s="28">
        <f>SUM(DT8:DT16)</f>
        <v>34926.51786</v>
      </c>
      <c r="DU17" s="28">
        <f>SUM(DU8:DU16)</f>
        <v>325014.58886</v>
      </c>
      <c r="DV17" s="28">
        <f>SUM(DV8:DV16)</f>
        <v>22900.123482600004</v>
      </c>
      <c r="DW17" s="28">
        <f>SUM(DW8:DW16)</f>
        <v>8887.817520400002</v>
      </c>
      <c r="DY17" s="28">
        <f>SUM(DY8:DY16)</f>
        <v>21369.442499999997</v>
      </c>
      <c r="DZ17" s="28">
        <f>SUM(DZ8:DZ16)</f>
        <v>2572.8745500000005</v>
      </c>
      <c r="EA17" s="28">
        <f>SUM(EA8:EA16)</f>
        <v>23942.317049999998</v>
      </c>
      <c r="EB17" s="28">
        <f>SUM(EB8:EB16)</f>
        <v>1686.9458654999999</v>
      </c>
      <c r="EC17" s="28">
        <f>SUM(EC8:EC16)</f>
        <v>654.7242870000001</v>
      </c>
    </row>
    <row r="18" ht="13.5" thickTop="1"/>
    <row r="31" spans="1:134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1:134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spans="1:134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1:134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1:134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1:134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1:1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</sheetData>
  <sheetProtection/>
  <printOptions/>
  <pageMargins left="0.75" right="0.75" top="1" bottom="1" header="0.5" footer="0.5"/>
  <pageSetup orientation="landscape" scale="69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2020-01-15T16:01:48Z</cp:lastPrinted>
  <dcterms:created xsi:type="dcterms:W3CDTF">1998-02-23T20:58:01Z</dcterms:created>
  <dcterms:modified xsi:type="dcterms:W3CDTF">2022-01-27T15:07:00Z</dcterms:modified>
  <cp:category/>
  <cp:version/>
  <cp:contentType/>
  <cp:contentStatus/>
</cp:coreProperties>
</file>