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56" windowWidth="28800" windowHeight="17544" tabRatio="708" activeTab="1"/>
  </bookViews>
  <sheets>
    <sheet name="2021A" sheetId="1" r:id="rId1"/>
    <sheet name="2021A Academic" sheetId="2" r:id="rId2"/>
    <sheet name="Percentage" sheetId="3" r:id="rId3"/>
  </sheets>
  <definedNames/>
  <calcPr fullCalcOnLoad="1"/>
</workbook>
</file>

<file path=xl/sharedStrings.xml><?xml version="1.0" encoding="utf-8"?>
<sst xmlns="http://schemas.openxmlformats.org/spreadsheetml/2006/main" count="765" uniqueCount="178">
  <si>
    <t>Percent</t>
  </si>
  <si>
    <t>Inst</t>
  </si>
  <si>
    <t>Type</t>
  </si>
  <si>
    <t>Project</t>
  </si>
  <si>
    <t>Total</t>
  </si>
  <si>
    <t>UMCP</t>
  </si>
  <si>
    <t>by project</t>
  </si>
  <si>
    <t>Total dollars:</t>
  </si>
  <si>
    <t>Percent by Institution:</t>
  </si>
  <si>
    <t>Payment</t>
  </si>
  <si>
    <t>Date</t>
  </si>
  <si>
    <t>Principal</t>
  </si>
  <si>
    <t>Interest</t>
  </si>
  <si>
    <t>18th Aux</t>
  </si>
  <si>
    <t xml:space="preserve">  Debt Svc from Earnings and Accrued Interest</t>
  </si>
  <si>
    <t>Stamp Student Union</t>
  </si>
  <si>
    <t>2003 Series A Bonds</t>
  </si>
  <si>
    <t>UMB</t>
  </si>
  <si>
    <t>New Dental School</t>
  </si>
  <si>
    <t>22th Acad</t>
  </si>
  <si>
    <t>UMES</t>
  </si>
  <si>
    <t>Utilities Upgrade/Site Improve</t>
  </si>
  <si>
    <t>CSC</t>
  </si>
  <si>
    <t>Upgrade Utilities/Security Sys</t>
  </si>
  <si>
    <t>Facilities Renewal</t>
  </si>
  <si>
    <t>UMBC</t>
  </si>
  <si>
    <t>UMCES</t>
  </si>
  <si>
    <t>BSU</t>
  </si>
  <si>
    <t>FSU</t>
  </si>
  <si>
    <t>SU</t>
  </si>
  <si>
    <t>TU</t>
  </si>
  <si>
    <t>UB</t>
  </si>
  <si>
    <t>21,22th Acad</t>
  </si>
  <si>
    <t>21th Acad</t>
  </si>
  <si>
    <t>Eqip Information Tech Bldg</t>
  </si>
  <si>
    <t>Aquaculture Building</t>
  </si>
  <si>
    <t>Equip Compton Sci Center</t>
  </si>
  <si>
    <t>Health/Human Service Bldg</t>
  </si>
  <si>
    <t>20th Acad</t>
  </si>
  <si>
    <t>Hornbake/McKeldin Libraries</t>
  </si>
  <si>
    <t>Howard Hall PH IV</t>
  </si>
  <si>
    <t>Social Sci/Education/Health</t>
  </si>
  <si>
    <t>20,21,22th Acad</t>
  </si>
  <si>
    <t>Emergency Fund Projects</t>
  </si>
  <si>
    <t>19,20th Acad</t>
  </si>
  <si>
    <t>19th Acad</t>
  </si>
  <si>
    <t>7800 York Road Renovation</t>
  </si>
  <si>
    <t>19,20,21,22th Acad</t>
  </si>
  <si>
    <t>18th Acad</t>
  </si>
  <si>
    <t>17th Acad</t>
  </si>
  <si>
    <t>Performing Arts Center</t>
  </si>
  <si>
    <t>School of Nursing Equipment</t>
  </si>
  <si>
    <t>School of Law:Marshall Libr</t>
  </si>
  <si>
    <t>15th Acad</t>
  </si>
  <si>
    <t>Steam Plant Improvements</t>
  </si>
  <si>
    <t>17,18,19,20,21,22 Acad</t>
  </si>
  <si>
    <t>22th Aux</t>
  </si>
  <si>
    <t>New Parking Lot</t>
  </si>
  <si>
    <t>Resident Hall Renovations</t>
  </si>
  <si>
    <t>Dining Hall: HVAC Upgrade</t>
  </si>
  <si>
    <t>New Student Center</t>
  </si>
  <si>
    <t>USMO</t>
  </si>
  <si>
    <t>21th Aux</t>
  </si>
  <si>
    <t>Health Center Addition/Renov</t>
  </si>
  <si>
    <t>Queen Anne's Hall Renovation</t>
  </si>
  <si>
    <t>New Campus Center Bldg</t>
  </si>
  <si>
    <t>New Recreation &amp; Athletic Fac</t>
  </si>
  <si>
    <t>UMUC</t>
  </si>
  <si>
    <t>Hotel Addition at Inn &amp; Conference</t>
  </si>
  <si>
    <t>Land Acquisition at Shady Grove Parking</t>
  </si>
  <si>
    <t>20th Aux</t>
  </si>
  <si>
    <t>South Campus Parking Garage #5</t>
  </si>
  <si>
    <t>Saratoga Street Garage</t>
  </si>
  <si>
    <t>Murphy Hall Annex Renovation</t>
  </si>
  <si>
    <t>New Dining Hall</t>
  </si>
  <si>
    <t>Prettyman/Scarborough HVAC/Fire Protection</t>
  </si>
  <si>
    <t>Interim Fitness Center</t>
  </si>
  <si>
    <t>20,22th Aux</t>
  </si>
  <si>
    <t>19th Aux</t>
  </si>
  <si>
    <t>Housing Cetral Utility Plant</t>
  </si>
  <si>
    <t>7800 York Road Garage</t>
  </si>
  <si>
    <t>North Campus Parking Garage #4</t>
  </si>
  <si>
    <t>New Residence Hall</t>
  </si>
  <si>
    <t>16th Aux</t>
  </si>
  <si>
    <t>Student Service Center</t>
  </si>
  <si>
    <t xml:space="preserve">           Total Academic Projects - 2003A</t>
  </si>
  <si>
    <t xml:space="preserve">       UMCP Facilities Renewal (Academic)</t>
  </si>
  <si>
    <t xml:space="preserve">   UMCP Hornbake &amp; McKeldin Libr (Academic)</t>
  </si>
  <si>
    <t xml:space="preserve">    UMCP Performing Arts Center (Academic)</t>
  </si>
  <si>
    <t xml:space="preserve">  UMCP Steam Plant Improvement (Academic)</t>
  </si>
  <si>
    <t xml:space="preserve">        UMB Facilities Renewal (Academic)</t>
  </si>
  <si>
    <t xml:space="preserve">        UMB New Dental School (Academic)</t>
  </si>
  <si>
    <t xml:space="preserve">        UMB Howard Hall PH IV (Academic)</t>
  </si>
  <si>
    <t xml:space="preserve">     UMB School of Nursing Equip (Academic)</t>
  </si>
  <si>
    <t xml:space="preserve">  UMB School of Law: Marshall Libr (Academic)</t>
  </si>
  <si>
    <t xml:space="preserve">    UMB Emergency Fund Projects (Academic)</t>
  </si>
  <si>
    <t xml:space="preserve">       UMES Facilities Renewal (Academic)</t>
  </si>
  <si>
    <t xml:space="preserve">        UMES Utilities Upgrade (Academic)</t>
  </si>
  <si>
    <t xml:space="preserve"> UMES Social Sci/Education/Health (Academic)</t>
  </si>
  <si>
    <t xml:space="preserve">        UMBC Facilities Renewal (Academic)</t>
  </si>
  <si>
    <t xml:space="preserve"> UMBC Equip Information Tech Bldg (Academic)</t>
  </si>
  <si>
    <t xml:space="preserve">     UMCES Facilities Renewal (Academic)</t>
  </si>
  <si>
    <t xml:space="preserve">     UMCES Aquaculture Building (Academic)</t>
  </si>
  <si>
    <t xml:space="preserve">     UMCES Emergency Projects (Academic)</t>
  </si>
  <si>
    <t xml:space="preserve">         BSU Facilities Renewal (Academic)</t>
  </si>
  <si>
    <t xml:space="preserve">         BSU Emergency Projects (Academic)</t>
  </si>
  <si>
    <t xml:space="preserve">         CSC Facilities Renewal (Academic)</t>
  </si>
  <si>
    <t xml:space="preserve">         CSC Upgrade Utilities (Academic)</t>
  </si>
  <si>
    <t xml:space="preserve">   CSC Health/Human Service Bldg (Academic)</t>
  </si>
  <si>
    <t xml:space="preserve">         FSU Facilities Renewal (Academic)</t>
  </si>
  <si>
    <t>FSU Equip Compton Science Center (Academic)</t>
  </si>
  <si>
    <t xml:space="preserve">          SU Facilities Renewal (Academic)</t>
  </si>
  <si>
    <t xml:space="preserve">          SU Emergency Projects (Academic)</t>
  </si>
  <si>
    <t xml:space="preserve">          TU Facilities Renewal (Academic)</t>
  </si>
  <si>
    <t xml:space="preserve">        TU 7800 York Road Renov (Academic)</t>
  </si>
  <si>
    <t xml:space="preserve">          UB Facilities Renewal (Academic)</t>
  </si>
  <si>
    <t xml:space="preserve">           Total Auxiliary Projects - 2003A</t>
  </si>
  <si>
    <t xml:space="preserve">     UMCP Health Center Addition (Auxiliary)</t>
  </si>
  <si>
    <t>UMCP South Campus Parking Garage (Auxiliary)</t>
  </si>
  <si>
    <t xml:space="preserve">      UMCP Stamp Student Union (Auxiliary)</t>
  </si>
  <si>
    <t xml:space="preserve">      UMCP North Campus Parking (Auxiliary)</t>
  </si>
  <si>
    <t xml:space="preserve">        UMB Pine Street Annex (Auxiliary)</t>
  </si>
  <si>
    <t xml:space="preserve">        UMB New Campus Center  (Auxiliary)</t>
  </si>
  <si>
    <t xml:space="preserve">      UMB Saratoga Street Garage  (Auxiliary)</t>
  </si>
  <si>
    <t xml:space="preserve">       UMES Murphy Hall Annex  (Auxiliary)</t>
  </si>
  <si>
    <t xml:space="preserve">       UMES New Residence Hall  (Auxiliary)</t>
  </si>
  <si>
    <t xml:space="preserve">     UMES Student Service Center  (Auxiliary)</t>
  </si>
  <si>
    <t xml:space="preserve">       UMBC New Parking Lot  (Auxiliary)</t>
  </si>
  <si>
    <t xml:space="preserve">    UMBC Resident Hall Renovation  (Auxiliary)</t>
  </si>
  <si>
    <t xml:space="preserve">  UMBC Dining Hall: HVAC Upgrade  (Auxiliary)</t>
  </si>
  <si>
    <t xml:space="preserve">  UMBC New Recreation &amp; Athletic (Auxiliary)</t>
  </si>
  <si>
    <t xml:space="preserve">  UMBC Housing Central Utility Plant (Auxiliary)</t>
  </si>
  <si>
    <t>USMO Land Acq/Shady Grove Parking(Auxiliary)</t>
  </si>
  <si>
    <t xml:space="preserve">              CSC New Dining Hall (Auxiliary)</t>
  </si>
  <si>
    <t xml:space="preserve">    TU Prettyman/Scarborough HVAC (Auxiliary)</t>
  </si>
  <si>
    <t xml:space="preserve">       TU Interim Fitness Center (Auxiliary)</t>
  </si>
  <si>
    <t xml:space="preserve">       TU 7800 York Road Garage (Auxiliary)</t>
  </si>
  <si>
    <t xml:space="preserve">          UB New Student Center (Auxiliary)</t>
  </si>
  <si>
    <t>Engineering/Applied Sciences Building</t>
  </si>
  <si>
    <t>Temporary Building #2/Pine Street Annex</t>
  </si>
  <si>
    <t>Par Amount</t>
  </si>
  <si>
    <t>Net Premium/OID</t>
  </si>
  <si>
    <t xml:space="preserve"> UMCP Engineering/Applied Sci Bldg (Academic)</t>
  </si>
  <si>
    <t>Shady Grove Parking Lot 2</t>
  </si>
  <si>
    <t xml:space="preserve">  USMO Shady Grove Parking Lot 2 (Auxiliary)</t>
  </si>
  <si>
    <t>22, 24th Acad</t>
  </si>
  <si>
    <t>Chemical/Nuclear Engineering</t>
  </si>
  <si>
    <t>15,17,18,19,20,21,22,24 Acad</t>
  </si>
  <si>
    <t>18,19,20,21,22, 24th Acad</t>
  </si>
  <si>
    <t>19,21,22th Acad</t>
  </si>
  <si>
    <t>USM</t>
  </si>
  <si>
    <t>15, 19th Acad</t>
  </si>
  <si>
    <t>21, 22th Aux</t>
  </si>
  <si>
    <t>21,22,24th Aux</t>
  </si>
  <si>
    <t>18,21,22,24th Acad</t>
  </si>
  <si>
    <t>19,20,21,22,24th Acad</t>
  </si>
  <si>
    <t>cost of issue</t>
  </si>
  <si>
    <t>disbursement</t>
  </si>
  <si>
    <t>pay debt service from earning</t>
  </si>
  <si>
    <t>Interest Earning in FY04</t>
  </si>
  <si>
    <t>Interest Earning in FY05</t>
  </si>
  <si>
    <t>Different</t>
  </si>
  <si>
    <t>Different transfer from 2003B</t>
  </si>
  <si>
    <t>Different transfer from 2004B</t>
  </si>
  <si>
    <t xml:space="preserve">       UMCP Chemical/Nuclear Eng (Academic)</t>
  </si>
  <si>
    <t xml:space="preserve">       USM Emergency Projects (Academic)</t>
  </si>
  <si>
    <t xml:space="preserve">   UMCP Queen Anne's Hall Renov (Auxiliary)</t>
  </si>
  <si>
    <t>17,18,19th Acad</t>
  </si>
  <si>
    <t>Amort of</t>
  </si>
  <si>
    <t>Premium</t>
  </si>
  <si>
    <t>Loss on Refunding</t>
  </si>
  <si>
    <t xml:space="preserve">                University System of Maryland</t>
  </si>
  <si>
    <t xml:space="preserve">            2003 Series A Bond Funded Projects</t>
  </si>
  <si>
    <t xml:space="preserve">Amort of </t>
  </si>
  <si>
    <t xml:space="preserve">  USM (Paid off by UMUC) (Auxiliary)</t>
  </si>
  <si>
    <t>Revised 2003A debt after 2021A</t>
  </si>
  <si>
    <t>Distribution of Debt Services after 2021A Bond Issue</t>
  </si>
  <si>
    <t>2003A Refinanced on 2021A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</si>
</sst>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0%"/>
    <numFmt numFmtId="173" formatCode="mm/dd/yy"/>
    <numFmt numFmtId="174" formatCode="0_);[Red]\(0\)"/>
    <numFmt numFmtId="175" formatCode="0.000%"/>
    <numFmt numFmtId="176" formatCode="#,##0.0_);[Red]\(#,##0.0\)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0" fontId="0" fillId="0" borderId="10" xfId="0" applyNumberFormat="1" applyBorder="1" applyAlignment="1">
      <alignment horizontal="center"/>
    </xf>
    <xf numFmtId="40" fontId="0" fillId="0" borderId="11" xfId="0" applyNumberFormat="1" applyBorder="1" applyAlignment="1">
      <alignment horizontal="center"/>
    </xf>
    <xf numFmtId="40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4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40" fontId="0" fillId="0" borderId="12" xfId="0" applyNumberFormat="1" applyBorder="1" applyAlignment="1">
      <alignment horizontal="right"/>
    </xf>
    <xf numFmtId="40" fontId="0" fillId="0" borderId="13" xfId="0" applyNumberFormat="1" applyBorder="1" applyAlignment="1">
      <alignment/>
    </xf>
    <xf numFmtId="0" fontId="0" fillId="0" borderId="0" xfId="0" applyAlignment="1">
      <alignment horizontal="right"/>
    </xf>
    <xf numFmtId="172" fontId="0" fillId="0" borderId="0" xfId="0" applyNumberFormat="1" applyAlignment="1">
      <alignment/>
    </xf>
    <xf numFmtId="172" fontId="0" fillId="0" borderId="0" xfId="0" applyNumberFormat="1" applyAlignment="1" quotePrefix="1">
      <alignment horizontal="right"/>
    </xf>
    <xf numFmtId="172" fontId="0" fillId="0" borderId="12" xfId="0" applyNumberFormat="1" applyBorder="1" applyAlignment="1">
      <alignment/>
    </xf>
    <xf numFmtId="172" fontId="0" fillId="0" borderId="12" xfId="0" applyNumberFormat="1" applyBorder="1" applyAlignment="1">
      <alignment horizontal="right"/>
    </xf>
    <xf numFmtId="172" fontId="0" fillId="0" borderId="0" xfId="0" applyNumberFormat="1" applyBorder="1" applyAlignment="1">
      <alignment horizontal="center"/>
    </xf>
    <xf numFmtId="172" fontId="0" fillId="0" borderId="13" xfId="0" applyNumberFormat="1" applyBorder="1" applyAlignment="1">
      <alignment/>
    </xf>
    <xf numFmtId="0" fontId="0" fillId="0" borderId="0" xfId="0" applyAlignment="1" quotePrefix="1">
      <alignment horizontal="left"/>
    </xf>
    <xf numFmtId="173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 quotePrefix="1">
      <alignment horizontal="left"/>
    </xf>
    <xf numFmtId="173" fontId="0" fillId="0" borderId="14" xfId="0" applyNumberFormat="1" applyBorder="1" applyAlignment="1">
      <alignment horizontal="center"/>
    </xf>
    <xf numFmtId="3" fontId="0" fillId="0" borderId="10" xfId="0" applyNumberFormat="1" applyBorder="1" applyAlignment="1" quotePrefix="1">
      <alignment horizontal="left"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173" fontId="0" fillId="0" borderId="17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172" fontId="0" fillId="0" borderId="0" xfId="0" applyNumberFormat="1" applyBorder="1" applyAlignment="1">
      <alignment/>
    </xf>
    <xf numFmtId="40" fontId="0" fillId="0" borderId="0" xfId="0" applyNumberFormat="1" applyBorder="1" applyAlignment="1">
      <alignment/>
    </xf>
    <xf numFmtId="0" fontId="0" fillId="0" borderId="0" xfId="0" applyAlignment="1">
      <alignment horizontal="left"/>
    </xf>
    <xf numFmtId="173" fontId="0" fillId="0" borderId="0" xfId="0" applyNumberFormat="1" applyAlignment="1">
      <alignment horizontal="center"/>
    </xf>
    <xf numFmtId="172" fontId="0" fillId="0" borderId="15" xfId="0" applyNumberFormat="1" applyBorder="1" applyAlignment="1">
      <alignment/>
    </xf>
    <xf numFmtId="38" fontId="0" fillId="0" borderId="0" xfId="0" applyNumberFormat="1" applyAlignment="1">
      <alignment/>
    </xf>
    <xf numFmtId="40" fontId="0" fillId="0" borderId="0" xfId="0" applyNumberFormat="1" applyBorder="1" applyAlignment="1" quotePrefix="1">
      <alignment horizontal="left"/>
    </xf>
    <xf numFmtId="40" fontId="0" fillId="0" borderId="0" xfId="0" applyNumberFormat="1" applyAlignment="1" quotePrefix="1">
      <alignment horizontal="left"/>
    </xf>
    <xf numFmtId="38" fontId="0" fillId="0" borderId="0" xfId="0" applyNumberFormat="1" applyAlignment="1">
      <alignment horizontal="right"/>
    </xf>
    <xf numFmtId="38" fontId="0" fillId="0" borderId="10" xfId="0" applyNumberFormat="1" applyBorder="1" applyAlignment="1" quotePrefix="1">
      <alignment horizontal="left"/>
    </xf>
    <xf numFmtId="38" fontId="0" fillId="0" borderId="15" xfId="0" applyNumberFormat="1" applyBorder="1" applyAlignment="1">
      <alignment horizontal="right"/>
    </xf>
    <xf numFmtId="38" fontId="0" fillId="0" borderId="16" xfId="0" applyNumberFormat="1" applyBorder="1" applyAlignment="1">
      <alignment horizontal="right"/>
    </xf>
    <xf numFmtId="38" fontId="0" fillId="0" borderId="10" xfId="0" applyNumberFormat="1" applyBorder="1" applyAlignment="1" quotePrefix="1">
      <alignment horizontal="right"/>
    </xf>
    <xf numFmtId="38" fontId="0" fillId="0" borderId="18" xfId="0" applyNumberFormat="1" applyBorder="1" applyAlignment="1">
      <alignment horizontal="center"/>
    </xf>
    <xf numFmtId="38" fontId="0" fillId="0" borderId="0" xfId="0" applyNumberFormat="1" applyBorder="1" applyAlignment="1">
      <alignment horizontal="right"/>
    </xf>
    <xf numFmtId="38" fontId="0" fillId="0" borderId="0" xfId="0" applyNumberFormat="1" applyAlignment="1">
      <alignment horizontal="left"/>
    </xf>
    <xf numFmtId="173" fontId="0" fillId="0" borderId="0" xfId="0" applyNumberFormat="1" applyAlignment="1">
      <alignment horizontal="left"/>
    </xf>
    <xf numFmtId="38" fontId="0" fillId="0" borderId="0" xfId="0" applyNumberFormat="1" applyAlignment="1" quotePrefix="1">
      <alignment horizontal="left"/>
    </xf>
    <xf numFmtId="172" fontId="0" fillId="0" borderId="19" xfId="0" applyNumberFormat="1" applyBorder="1" applyAlignment="1">
      <alignment horizontal="center"/>
    </xf>
    <xf numFmtId="172" fontId="0" fillId="0" borderId="10" xfId="0" applyNumberFormat="1" applyBorder="1" applyAlignment="1" quotePrefix="1">
      <alignment horizontal="left"/>
    </xf>
    <xf numFmtId="172" fontId="0" fillId="0" borderId="16" xfId="0" applyNumberFormat="1" applyBorder="1" applyAlignment="1">
      <alignment/>
    </xf>
    <xf numFmtId="38" fontId="0" fillId="0" borderId="20" xfId="0" applyNumberFormat="1" applyBorder="1" applyAlignment="1">
      <alignment horizontal="right"/>
    </xf>
    <xf numFmtId="38" fontId="0" fillId="0" borderId="0" xfId="0" applyNumberFormat="1" applyBorder="1" applyAlignment="1">
      <alignment/>
    </xf>
    <xf numFmtId="17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72" fontId="0" fillId="0" borderId="15" xfId="0" applyNumberFormat="1" applyBorder="1" applyAlignment="1">
      <alignment horizontal="right"/>
    </xf>
    <xf numFmtId="0" fontId="0" fillId="0" borderId="0" xfId="0" applyBorder="1" applyAlignment="1">
      <alignment horizontal="left"/>
    </xf>
    <xf numFmtId="4" fontId="0" fillId="0" borderId="0" xfId="0" applyNumberFormat="1" applyAlignment="1">
      <alignment/>
    </xf>
    <xf numFmtId="3" fontId="0" fillId="0" borderId="10" xfId="0" applyNumberFormat="1" applyBorder="1" applyAlignment="1">
      <alignment horizontal="left"/>
    </xf>
    <xf numFmtId="172" fontId="0" fillId="0" borderId="14" xfId="0" applyNumberFormat="1" applyBorder="1" applyAlignment="1">
      <alignment horizontal="center"/>
    </xf>
    <xf numFmtId="172" fontId="0" fillId="0" borderId="17" xfId="0" applyNumberFormat="1" applyBorder="1" applyAlignment="1">
      <alignment horizontal="center"/>
    </xf>
    <xf numFmtId="38" fontId="0" fillId="0" borderId="13" xfId="0" applyNumberFormat="1" applyBorder="1" applyAlignment="1">
      <alignment/>
    </xf>
    <xf numFmtId="172" fontId="0" fillId="0" borderId="20" xfId="0" applyNumberFormat="1" applyBorder="1" applyAlignment="1">
      <alignment/>
    </xf>
    <xf numFmtId="175" fontId="0" fillId="0" borderId="15" xfId="0" applyNumberFormat="1" applyBorder="1" applyAlignment="1">
      <alignment horizontal="center"/>
    </xf>
    <xf numFmtId="38" fontId="0" fillId="0" borderId="10" xfId="0" applyNumberFormat="1" applyBorder="1" applyAlignment="1">
      <alignment horizontal="left"/>
    </xf>
    <xf numFmtId="38" fontId="0" fillId="0" borderId="19" xfId="0" applyNumberFormat="1" applyBorder="1" applyAlignment="1">
      <alignment horizontal="right"/>
    </xf>
    <xf numFmtId="38" fontId="0" fillId="0" borderId="19" xfId="0" applyNumberFormat="1" applyBorder="1" applyAlignment="1">
      <alignment horizontal="center"/>
    </xf>
    <xf numFmtId="40" fontId="0" fillId="0" borderId="0" xfId="0" applyNumberFormat="1" applyBorder="1" applyAlignment="1">
      <alignment horizontal="left"/>
    </xf>
    <xf numFmtId="172" fontId="0" fillId="0" borderId="0" xfId="0" applyNumberFormat="1" applyAlignment="1">
      <alignment horizontal="right"/>
    </xf>
    <xf numFmtId="172" fontId="0" fillId="0" borderId="21" xfId="0" applyNumberFormat="1" applyBorder="1" applyAlignment="1">
      <alignment/>
    </xf>
    <xf numFmtId="175" fontId="0" fillId="0" borderId="0" xfId="0" applyNumberFormat="1" applyBorder="1" applyAlignment="1">
      <alignment/>
    </xf>
    <xf numFmtId="38" fontId="0" fillId="0" borderId="20" xfId="0" applyNumberFormat="1" applyBorder="1" applyAlignment="1">
      <alignment/>
    </xf>
    <xf numFmtId="38" fontId="0" fillId="33" borderId="15" xfId="0" applyNumberFormat="1" applyFill="1" applyBorder="1" applyAlignment="1">
      <alignment horizontal="centerContinuous"/>
    </xf>
    <xf numFmtId="38" fontId="0" fillId="33" borderId="16" xfId="0" applyNumberFormat="1" applyFill="1" applyBorder="1" applyAlignment="1">
      <alignment horizontal="centerContinuous"/>
    </xf>
    <xf numFmtId="38" fontId="0" fillId="0" borderId="15" xfId="0" applyNumberFormat="1" applyBorder="1" applyAlignment="1">
      <alignment horizontal="centerContinuous"/>
    </xf>
    <xf numFmtId="38" fontId="0" fillId="0" borderId="16" xfId="0" applyNumberFormat="1" applyBorder="1" applyAlignment="1">
      <alignment horizontal="centerContinuous"/>
    </xf>
    <xf numFmtId="41" fontId="0" fillId="0" borderId="0" xfId="0" applyNumberFormat="1" applyAlignment="1">
      <alignment horizontal="right"/>
    </xf>
    <xf numFmtId="41" fontId="0" fillId="0" borderId="0" xfId="0" applyNumberFormat="1" applyAlignment="1">
      <alignment/>
    </xf>
    <xf numFmtId="41" fontId="0" fillId="0" borderId="0" xfId="0" applyNumberFormat="1" applyBorder="1" applyAlignment="1">
      <alignment/>
    </xf>
    <xf numFmtId="41" fontId="0" fillId="0" borderId="0" xfId="0" applyNumberFormat="1" applyBorder="1" applyAlignment="1">
      <alignment horizontal="right"/>
    </xf>
    <xf numFmtId="41" fontId="0" fillId="0" borderId="20" xfId="0" applyNumberFormat="1" applyBorder="1" applyAlignment="1">
      <alignment horizontal="right"/>
    </xf>
    <xf numFmtId="3" fontId="1" fillId="0" borderId="10" xfId="0" applyNumberFormat="1" applyFont="1" applyBorder="1" applyAlignment="1" quotePrefix="1">
      <alignment horizontal="left"/>
    </xf>
    <xf numFmtId="3" fontId="1" fillId="0" borderId="15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38" fontId="1" fillId="0" borderId="18" xfId="0" applyNumberFormat="1" applyFont="1" applyBorder="1" applyAlignment="1">
      <alignment horizontal="center"/>
    </xf>
    <xf numFmtId="172" fontId="1" fillId="0" borderId="10" xfId="0" applyNumberFormat="1" applyFont="1" applyBorder="1" applyAlignment="1" quotePrefix="1">
      <alignment horizontal="left"/>
    </xf>
    <xf numFmtId="172" fontId="1" fillId="0" borderId="15" xfId="0" applyNumberFormat="1" applyFont="1" applyBorder="1" applyAlignment="1">
      <alignment/>
    </xf>
    <xf numFmtId="172" fontId="1" fillId="0" borderId="16" xfId="0" applyNumberFormat="1" applyFont="1" applyBorder="1" applyAlignment="1">
      <alignment/>
    </xf>
    <xf numFmtId="3" fontId="1" fillId="0" borderId="18" xfId="0" applyNumberFormat="1" applyFont="1" applyBorder="1" applyAlignment="1">
      <alignment horizontal="center"/>
    </xf>
    <xf numFmtId="41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41" fontId="1" fillId="0" borderId="0" xfId="0" applyNumberFormat="1" applyFont="1" applyAlignment="1">
      <alignment horizontal="right"/>
    </xf>
    <xf numFmtId="38" fontId="1" fillId="0" borderId="0" xfId="0" applyNumberFormat="1" applyFont="1" applyAlignment="1">
      <alignment/>
    </xf>
    <xf numFmtId="38" fontId="1" fillId="0" borderId="0" xfId="0" applyNumberFormat="1" applyFont="1" applyBorder="1" applyAlignment="1">
      <alignment horizontal="right"/>
    </xf>
    <xf numFmtId="38" fontId="1" fillId="0" borderId="20" xfId="0" applyNumberFormat="1" applyFont="1" applyBorder="1" applyAlignment="1">
      <alignment horizontal="right"/>
    </xf>
    <xf numFmtId="38" fontId="0" fillId="0" borderId="0" xfId="0" applyNumberFormat="1" applyFont="1" applyAlignment="1">
      <alignment horizontal="left"/>
    </xf>
    <xf numFmtId="38" fontId="0" fillId="33" borderId="10" xfId="0" applyNumberFormat="1" applyFont="1" applyFill="1" applyBorder="1" applyAlignment="1">
      <alignment horizontal="centerContinuous"/>
    </xf>
    <xf numFmtId="38" fontId="0" fillId="0" borderId="10" xfId="0" applyNumberFormat="1" applyFont="1" applyBorder="1" applyAlignment="1">
      <alignment horizontal="centerContinuous"/>
    </xf>
    <xf numFmtId="38" fontId="0" fillId="33" borderId="10" xfId="0" applyNumberFormat="1" applyFont="1" applyFill="1" applyBorder="1" applyAlignment="1">
      <alignment horizontal="left"/>
    </xf>
    <xf numFmtId="38" fontId="40" fillId="0" borderId="18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M53"/>
  <sheetViews>
    <sheetView zoomScalePageLayoutView="0" workbookViewId="0" topLeftCell="A1">
      <selection activeCell="D10" sqref="D10"/>
    </sheetView>
  </sheetViews>
  <sheetFormatPr defaultColWidth="13.7109375" defaultRowHeight="12.75"/>
  <cols>
    <col min="1" max="1" width="9.7109375" style="19" customWidth="1"/>
    <col min="2" max="2" width="3.7109375" style="0" customWidth="1"/>
    <col min="3" max="6" width="13.7109375" style="33" customWidth="1"/>
    <col min="7" max="7" width="16.28125" style="33" customWidth="1"/>
    <col min="8" max="8" width="3.7109375" style="33" customWidth="1"/>
    <col min="9" max="12" width="13.7109375" style="33" customWidth="1"/>
    <col min="13" max="13" width="16.00390625" style="33" customWidth="1"/>
    <col min="14" max="14" width="3.7109375" style="33" customWidth="1"/>
    <col min="15" max="18" width="13.7109375" style="0" customWidth="1"/>
    <col min="19" max="19" width="15.7109375" style="0" customWidth="1"/>
    <col min="20" max="20" width="3.7109375" style="33" customWidth="1"/>
    <col min="21" max="24" width="13.7109375" style="0" customWidth="1"/>
    <col min="25" max="25" width="15.00390625" style="0" customWidth="1"/>
    <col min="26" max="26" width="3.7109375" style="0" customWidth="1"/>
    <col min="27" max="31" width="13.7109375" style="0" customWidth="1"/>
    <col min="32" max="32" width="3.7109375" style="0" customWidth="1"/>
    <col min="33" max="37" width="13.7109375" style="0" customWidth="1"/>
    <col min="38" max="38" width="3.7109375" style="0" customWidth="1"/>
    <col min="39" max="43" width="13.7109375" style="0" customWidth="1"/>
    <col min="44" max="44" width="3.7109375" style="20" customWidth="1"/>
    <col min="45" max="49" width="13.7109375" style="20" customWidth="1"/>
    <col min="50" max="50" width="3.7109375" style="20" customWidth="1"/>
    <col min="51" max="55" width="13.7109375" style="20" customWidth="1"/>
    <col min="56" max="56" width="3.7109375" style="20" customWidth="1"/>
    <col min="57" max="61" width="13.7109375" style="20" customWidth="1"/>
    <col min="62" max="62" width="3.7109375" style="20" customWidth="1"/>
    <col min="63" max="67" width="13.7109375" style="20" customWidth="1"/>
    <col min="68" max="68" width="3.7109375" style="20" customWidth="1"/>
    <col min="69" max="73" width="13.7109375" style="20" customWidth="1"/>
    <col min="74" max="74" width="3.7109375" style="20" customWidth="1"/>
    <col min="75" max="79" width="13.7109375" style="20" customWidth="1"/>
    <col min="80" max="80" width="3.7109375" style="20" customWidth="1"/>
    <col min="81" max="85" width="13.7109375" style="20" customWidth="1"/>
    <col min="86" max="86" width="3.7109375" style="20" customWidth="1"/>
    <col min="87" max="91" width="13.7109375" style="20" customWidth="1"/>
    <col min="92" max="92" width="3.7109375" style="20" customWidth="1"/>
    <col min="93" max="97" width="13.7109375" style="20" customWidth="1"/>
    <col min="98" max="98" width="3.7109375" style="20" customWidth="1"/>
    <col min="99" max="103" width="13.7109375" style="20" customWidth="1"/>
    <col min="104" max="104" width="3.7109375" style="20" customWidth="1"/>
    <col min="105" max="109" width="13.7109375" style="20" customWidth="1"/>
    <col min="110" max="110" width="3.7109375" style="20" customWidth="1"/>
    <col min="111" max="115" width="13.7109375" style="20" customWidth="1"/>
    <col min="116" max="116" width="3.7109375" style="20" customWidth="1"/>
    <col min="117" max="121" width="13.7109375" style="88" customWidth="1"/>
    <col min="122" max="122" width="3.7109375" style="20" customWidth="1"/>
    <col min="123" max="127" width="13.7109375" style="20" customWidth="1"/>
    <col min="128" max="128" width="3.7109375" style="20" customWidth="1"/>
    <col min="129" max="133" width="13.7109375" style="20" customWidth="1"/>
    <col min="134" max="134" width="3.7109375" style="20" customWidth="1"/>
    <col min="135" max="139" width="13.7109375" style="20" customWidth="1"/>
    <col min="140" max="140" width="3.7109375" style="20" customWidth="1"/>
    <col min="141" max="145" width="13.7109375" style="20" customWidth="1"/>
    <col min="146" max="146" width="3.7109375" style="20" customWidth="1"/>
    <col min="147" max="151" width="13.7109375" style="20" customWidth="1"/>
    <col min="152" max="152" width="3.7109375" style="20" customWidth="1"/>
    <col min="153" max="157" width="13.7109375" style="20" customWidth="1"/>
    <col min="158" max="158" width="3.7109375" style="20" customWidth="1"/>
    <col min="159" max="163" width="13.7109375" style="20" customWidth="1"/>
    <col min="164" max="164" width="3.7109375" style="20" customWidth="1"/>
    <col min="165" max="168" width="13.7109375" style="20" customWidth="1"/>
  </cols>
  <sheetData>
    <row r="1" spans="1:168" ht="12.75">
      <c r="A1" s="44"/>
      <c r="B1" s="30"/>
      <c r="C1" s="43"/>
      <c r="D1" s="45"/>
      <c r="E1" s="45" t="s">
        <v>171</v>
      </c>
      <c r="G1" s="45"/>
      <c r="H1" s="45"/>
      <c r="I1" s="36"/>
      <c r="K1" s="45"/>
      <c r="O1" s="45" t="s">
        <v>171</v>
      </c>
      <c r="P1" s="33"/>
      <c r="Q1" s="33"/>
      <c r="R1" s="33"/>
      <c r="S1" s="33"/>
      <c r="U1" s="33"/>
      <c r="V1" s="33"/>
      <c r="W1" s="45"/>
      <c r="X1" s="33"/>
      <c r="Y1" s="33"/>
      <c r="Z1" s="33"/>
      <c r="AA1" s="45" t="s">
        <v>171</v>
      </c>
      <c r="AB1" s="33"/>
      <c r="AC1" s="33"/>
      <c r="AD1" s="33"/>
      <c r="AH1" s="33"/>
      <c r="AI1" s="45"/>
      <c r="AM1" s="45" t="s">
        <v>171</v>
      </c>
      <c r="AR1"/>
      <c r="AS1"/>
      <c r="AT1"/>
      <c r="AU1" s="45"/>
      <c r="AV1"/>
      <c r="AW1"/>
      <c r="AY1" s="45" t="s">
        <v>171</v>
      </c>
      <c r="BG1" s="45"/>
      <c r="BK1" s="45" t="s">
        <v>171</v>
      </c>
      <c r="BS1" s="45"/>
      <c r="BW1" s="45" t="s">
        <v>171</v>
      </c>
      <c r="CE1" s="45"/>
      <c r="CI1" s="45" t="s">
        <v>171</v>
      </c>
      <c r="CQ1" s="45"/>
      <c r="CU1" s="45" t="s">
        <v>171</v>
      </c>
      <c r="DC1" s="45"/>
      <c r="DG1" s="45" t="s">
        <v>171</v>
      </c>
      <c r="DM1" s="20"/>
      <c r="DN1" s="20"/>
      <c r="DO1" s="45"/>
      <c r="DP1" s="20"/>
      <c r="DQ1" s="20"/>
      <c r="DS1" s="45" t="s">
        <v>171</v>
      </c>
      <c r="EA1" s="45"/>
      <c r="ED1" s="45" t="s">
        <v>171</v>
      </c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</row>
    <row r="2" spans="1:168" ht="12.75">
      <c r="A2" s="44"/>
      <c r="B2" s="30"/>
      <c r="C2" s="43"/>
      <c r="D2" s="45"/>
      <c r="E2" s="93" t="s">
        <v>176</v>
      </c>
      <c r="G2" s="45"/>
      <c r="H2" s="45"/>
      <c r="I2" s="36"/>
      <c r="K2" s="45"/>
      <c r="O2" s="43" t="str">
        <f>E2</f>
        <v>Distribution of Debt Services after 2021A Bond Issue</v>
      </c>
      <c r="P2" s="33"/>
      <c r="Q2" s="33"/>
      <c r="R2" s="33"/>
      <c r="S2" s="33"/>
      <c r="U2" s="33"/>
      <c r="V2" s="33"/>
      <c r="W2" s="45"/>
      <c r="X2" s="33"/>
      <c r="Y2" s="33"/>
      <c r="Z2" s="33"/>
      <c r="AA2" s="43" t="str">
        <f>O2</f>
        <v>Distribution of Debt Services after 2021A Bond Issue</v>
      </c>
      <c r="AB2" s="33"/>
      <c r="AC2" s="33"/>
      <c r="AD2" s="33"/>
      <c r="AH2" s="33"/>
      <c r="AI2" s="45"/>
      <c r="AM2" s="43" t="str">
        <f>AA2</f>
        <v>Distribution of Debt Services after 2021A Bond Issue</v>
      </c>
      <c r="AR2"/>
      <c r="AS2"/>
      <c r="AT2"/>
      <c r="AU2" s="45"/>
      <c r="AV2"/>
      <c r="AW2"/>
      <c r="AY2" s="43" t="str">
        <f>AM2</f>
        <v>Distribution of Debt Services after 2021A Bond Issue</v>
      </c>
      <c r="BG2" s="45"/>
      <c r="BK2" s="43" t="str">
        <f>AY2</f>
        <v>Distribution of Debt Services after 2021A Bond Issue</v>
      </c>
      <c r="BS2" s="45"/>
      <c r="BW2" s="43" t="str">
        <f>BK2</f>
        <v>Distribution of Debt Services after 2021A Bond Issue</v>
      </c>
      <c r="CE2" s="45"/>
      <c r="CI2" s="43" t="str">
        <f>BW2</f>
        <v>Distribution of Debt Services after 2021A Bond Issue</v>
      </c>
      <c r="CQ2" s="45"/>
      <c r="CU2" s="43" t="str">
        <f>CI2</f>
        <v>Distribution of Debt Services after 2021A Bond Issue</v>
      </c>
      <c r="DC2" s="45"/>
      <c r="DG2" s="43" t="str">
        <f>CU2</f>
        <v>Distribution of Debt Services after 2021A Bond Issue</v>
      </c>
      <c r="DM2" s="20"/>
      <c r="DN2" s="20"/>
      <c r="DO2" s="45"/>
      <c r="DP2" s="20"/>
      <c r="DQ2" s="20"/>
      <c r="DS2" s="43" t="str">
        <f>DG2</f>
        <v>Distribution of Debt Services after 2021A Bond Issue</v>
      </c>
      <c r="EA2" s="45"/>
      <c r="ED2" s="43" t="str">
        <f>DS2</f>
        <v>Distribution of Debt Services after 2021A Bond Issue</v>
      </c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</row>
    <row r="3" spans="1:168" ht="12.75">
      <c r="A3" s="44"/>
      <c r="B3" s="30"/>
      <c r="C3" s="43"/>
      <c r="D3" s="43"/>
      <c r="E3" s="45" t="s">
        <v>172</v>
      </c>
      <c r="G3" s="43"/>
      <c r="H3" s="43"/>
      <c r="I3" s="36"/>
      <c r="K3" s="45"/>
      <c r="O3" s="45" t="s">
        <v>172</v>
      </c>
      <c r="P3" s="33"/>
      <c r="Q3" s="33"/>
      <c r="R3" s="33"/>
      <c r="S3" s="33"/>
      <c r="U3" s="33"/>
      <c r="V3" s="33"/>
      <c r="W3" s="45"/>
      <c r="X3" s="33"/>
      <c r="Y3" s="33"/>
      <c r="Z3" s="33"/>
      <c r="AA3" s="45" t="s">
        <v>172</v>
      </c>
      <c r="AB3" s="33"/>
      <c r="AC3" s="33"/>
      <c r="AD3" s="33"/>
      <c r="AF3" s="12"/>
      <c r="AH3" s="33"/>
      <c r="AI3" s="45"/>
      <c r="AM3" s="45" t="s">
        <v>172</v>
      </c>
      <c r="AR3"/>
      <c r="AS3"/>
      <c r="AT3"/>
      <c r="AU3" s="45"/>
      <c r="AV3"/>
      <c r="AW3"/>
      <c r="AY3" s="45" t="s">
        <v>172</v>
      </c>
      <c r="BG3" s="45"/>
      <c r="BK3" s="45" t="s">
        <v>172</v>
      </c>
      <c r="BS3" s="45"/>
      <c r="BW3" s="45" t="s">
        <v>172</v>
      </c>
      <c r="CE3" s="45"/>
      <c r="CI3" s="45" t="s">
        <v>172</v>
      </c>
      <c r="CQ3" s="45"/>
      <c r="CU3" s="45" t="s">
        <v>172</v>
      </c>
      <c r="DC3" s="45"/>
      <c r="DG3" s="45" t="s">
        <v>172</v>
      </c>
      <c r="DM3" s="20"/>
      <c r="DN3" s="20"/>
      <c r="DO3" s="45"/>
      <c r="DP3" s="20"/>
      <c r="DQ3" s="20"/>
      <c r="DS3" s="45" t="s">
        <v>172</v>
      </c>
      <c r="EA3" s="45"/>
      <c r="ED3" s="45" t="s">
        <v>172</v>
      </c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</row>
    <row r="4" spans="1:165" ht="12.75">
      <c r="A4" s="44"/>
      <c r="B4" s="30"/>
      <c r="FI4" s="21"/>
    </row>
    <row r="5" spans="1:169" ht="12.75">
      <c r="A5" s="22" t="s">
        <v>9</v>
      </c>
      <c r="C5" s="94" t="s">
        <v>175</v>
      </c>
      <c r="D5" s="70"/>
      <c r="E5" s="71"/>
      <c r="F5" s="41"/>
      <c r="G5" s="41"/>
      <c r="I5" s="37" t="s">
        <v>85</v>
      </c>
      <c r="J5" s="38"/>
      <c r="K5" s="39"/>
      <c r="L5" s="41"/>
      <c r="M5" s="41"/>
      <c r="O5" s="37" t="s">
        <v>116</v>
      </c>
      <c r="P5" s="38"/>
      <c r="Q5" s="39"/>
      <c r="R5" s="41"/>
      <c r="S5" s="41"/>
      <c r="U5" s="23" t="s">
        <v>117</v>
      </c>
      <c r="V5" s="24"/>
      <c r="W5" s="25"/>
      <c r="X5" s="41"/>
      <c r="Y5" s="41"/>
      <c r="AA5" s="23" t="s">
        <v>166</v>
      </c>
      <c r="AB5" s="24"/>
      <c r="AC5" s="25"/>
      <c r="AD5" s="41"/>
      <c r="AE5" s="41"/>
      <c r="AG5" s="23" t="s">
        <v>118</v>
      </c>
      <c r="AH5" s="24"/>
      <c r="AI5" s="25"/>
      <c r="AJ5" s="41"/>
      <c r="AK5" s="41"/>
      <c r="AM5" s="23" t="s">
        <v>119</v>
      </c>
      <c r="AN5" s="24"/>
      <c r="AO5" s="25"/>
      <c r="AP5" s="41"/>
      <c r="AQ5" s="41"/>
      <c r="AS5" s="23" t="s">
        <v>120</v>
      </c>
      <c r="AT5" s="24"/>
      <c r="AU5" s="25"/>
      <c r="AV5" s="41"/>
      <c r="AW5" s="41"/>
      <c r="AY5" s="23" t="s">
        <v>121</v>
      </c>
      <c r="AZ5" s="24"/>
      <c r="BA5" s="25"/>
      <c r="BB5" s="41"/>
      <c r="BC5" s="41"/>
      <c r="BE5" s="23" t="s">
        <v>122</v>
      </c>
      <c r="BF5" s="24"/>
      <c r="BG5" s="25"/>
      <c r="BH5" s="41"/>
      <c r="BI5" s="41"/>
      <c r="BK5" s="23" t="s">
        <v>123</v>
      </c>
      <c r="BL5" s="24"/>
      <c r="BM5" s="25"/>
      <c r="BN5" s="41"/>
      <c r="BO5" s="41"/>
      <c r="BQ5" s="23" t="s">
        <v>124</v>
      </c>
      <c r="BR5" s="24"/>
      <c r="BS5" s="25"/>
      <c r="BT5" s="41"/>
      <c r="BU5" s="41"/>
      <c r="BW5" s="23" t="s">
        <v>125</v>
      </c>
      <c r="BX5" s="24"/>
      <c r="BY5" s="25"/>
      <c r="BZ5" s="41"/>
      <c r="CA5" s="41"/>
      <c r="CC5" s="23" t="s">
        <v>126</v>
      </c>
      <c r="CD5" s="24"/>
      <c r="CE5" s="25"/>
      <c r="CF5" s="41"/>
      <c r="CG5" s="41"/>
      <c r="CI5" s="23" t="s">
        <v>127</v>
      </c>
      <c r="CJ5" s="24"/>
      <c r="CK5" s="25"/>
      <c r="CL5" s="41"/>
      <c r="CM5" s="41"/>
      <c r="CO5" s="23" t="s">
        <v>128</v>
      </c>
      <c r="CP5" s="24"/>
      <c r="CQ5" s="25"/>
      <c r="CR5" s="41"/>
      <c r="CS5" s="41"/>
      <c r="CU5" s="23" t="s">
        <v>129</v>
      </c>
      <c r="CV5" s="24"/>
      <c r="CW5" s="25"/>
      <c r="CX5" s="41"/>
      <c r="CY5" s="41"/>
      <c r="DA5" s="23" t="s">
        <v>130</v>
      </c>
      <c r="DB5" s="24"/>
      <c r="DC5" s="25"/>
      <c r="DD5" s="41"/>
      <c r="DE5" s="41"/>
      <c r="DG5" s="23" t="s">
        <v>131</v>
      </c>
      <c r="DH5" s="24"/>
      <c r="DI5" s="25"/>
      <c r="DJ5" s="41"/>
      <c r="DK5" s="41"/>
      <c r="DM5" s="79" t="s">
        <v>174</v>
      </c>
      <c r="DN5" s="80"/>
      <c r="DO5" s="81"/>
      <c r="DP5" s="82"/>
      <c r="DQ5" s="41"/>
      <c r="DS5" s="56" t="s">
        <v>144</v>
      </c>
      <c r="DT5" s="24"/>
      <c r="DU5" s="25"/>
      <c r="DV5" s="41"/>
      <c r="DW5" s="41"/>
      <c r="DY5" s="56" t="s">
        <v>132</v>
      </c>
      <c r="DZ5" s="24"/>
      <c r="EA5" s="25"/>
      <c r="EB5" s="41"/>
      <c r="EC5" s="41"/>
      <c r="EE5" s="56" t="s">
        <v>133</v>
      </c>
      <c r="EF5" s="24"/>
      <c r="EG5" s="25"/>
      <c r="EH5" s="41"/>
      <c r="EI5" s="41"/>
      <c r="EK5" s="56" t="s">
        <v>134</v>
      </c>
      <c r="EL5" s="24"/>
      <c r="EM5" s="25"/>
      <c r="EN5" s="41"/>
      <c r="EO5" s="41"/>
      <c r="EQ5" s="56" t="s">
        <v>135</v>
      </c>
      <c r="ER5" s="24"/>
      <c r="ES5" s="25"/>
      <c r="ET5" s="41"/>
      <c r="EU5" s="41"/>
      <c r="EW5" s="56" t="s">
        <v>136</v>
      </c>
      <c r="EX5" s="24"/>
      <c r="EY5" s="25"/>
      <c r="EZ5" s="41"/>
      <c r="FA5" s="41"/>
      <c r="FC5" s="56" t="s">
        <v>137</v>
      </c>
      <c r="FD5" s="24"/>
      <c r="FE5" s="25"/>
      <c r="FF5" s="41"/>
      <c r="FG5" s="41"/>
      <c r="FI5" s="56" t="s">
        <v>14</v>
      </c>
      <c r="FJ5" s="24"/>
      <c r="FK5" s="25"/>
      <c r="FL5" s="41"/>
      <c r="FM5" s="41"/>
    </row>
    <row r="6" spans="1:169" s="12" customFormat="1" ht="12.75">
      <c r="A6" s="46" t="s">
        <v>10</v>
      </c>
      <c r="C6" s="95" t="s">
        <v>177</v>
      </c>
      <c r="D6" s="72"/>
      <c r="E6" s="73"/>
      <c r="F6" s="41" t="s">
        <v>168</v>
      </c>
      <c r="G6" s="41" t="s">
        <v>173</v>
      </c>
      <c r="H6" s="33"/>
      <c r="I6" s="40"/>
      <c r="J6" s="67">
        <v>0.5428259</v>
      </c>
      <c r="K6" s="39"/>
      <c r="L6" s="41" t="s">
        <v>168</v>
      </c>
      <c r="M6" s="41" t="s">
        <v>173</v>
      </c>
      <c r="N6" s="33"/>
      <c r="O6" s="40"/>
      <c r="P6" s="53">
        <f>V6+AB6+AH6+AN6+AT6+AZ6+BF6+BL6+BR6+BX6+CD6+CJ6+CP6+CV6+DB6+DH6+DN6+DT6+DZ6+EF6+EL6+ER6+EX6+FD6</f>
        <v>0.4571741000000001</v>
      </c>
      <c r="Q6" s="39"/>
      <c r="R6" s="41" t="s">
        <v>168</v>
      </c>
      <c r="S6" s="41" t="s">
        <v>173</v>
      </c>
      <c r="T6" s="33"/>
      <c r="U6" s="47"/>
      <c r="V6" s="32">
        <v>0.081724</v>
      </c>
      <c r="W6" s="48"/>
      <c r="X6" s="41" t="s">
        <v>168</v>
      </c>
      <c r="Y6" s="41" t="s">
        <v>173</v>
      </c>
      <c r="AA6" s="47"/>
      <c r="AB6" s="32">
        <v>0.0595646</v>
      </c>
      <c r="AC6" s="48"/>
      <c r="AD6" s="41" t="s">
        <v>168</v>
      </c>
      <c r="AE6" s="41" t="s">
        <v>173</v>
      </c>
      <c r="AG6" s="47"/>
      <c r="AH6" s="32">
        <v>0.0315804</v>
      </c>
      <c r="AI6" s="48"/>
      <c r="AJ6" s="41" t="s">
        <v>168</v>
      </c>
      <c r="AK6" s="41" t="s">
        <v>173</v>
      </c>
      <c r="AM6" s="47"/>
      <c r="AN6" s="32">
        <v>0.022968</v>
      </c>
      <c r="AO6" s="48"/>
      <c r="AP6" s="41" t="s">
        <v>168</v>
      </c>
      <c r="AQ6" s="41" t="s">
        <v>173</v>
      </c>
      <c r="AS6" s="47"/>
      <c r="AT6" s="32">
        <v>0.0026309</v>
      </c>
      <c r="AU6" s="48"/>
      <c r="AV6" s="41" t="s">
        <v>168</v>
      </c>
      <c r="AW6" s="41" t="s">
        <v>173</v>
      </c>
      <c r="AY6" s="47"/>
      <c r="AZ6" s="32">
        <v>0.0416229</v>
      </c>
      <c r="BA6" s="48"/>
      <c r="BB6" s="41" t="s">
        <v>168</v>
      </c>
      <c r="BC6" s="41" t="s">
        <v>173</v>
      </c>
      <c r="BE6" s="47"/>
      <c r="BF6" s="32">
        <v>0.0045121</v>
      </c>
      <c r="BG6" s="48"/>
      <c r="BH6" s="41" t="s">
        <v>168</v>
      </c>
      <c r="BI6" s="41" t="s">
        <v>173</v>
      </c>
      <c r="BK6" s="47"/>
      <c r="BL6" s="32">
        <v>0.0141147</v>
      </c>
      <c r="BM6" s="48"/>
      <c r="BN6" s="41" t="s">
        <v>168</v>
      </c>
      <c r="BO6" s="41" t="s">
        <v>173</v>
      </c>
      <c r="BQ6" s="47"/>
      <c r="BR6" s="32">
        <v>0.0071579</v>
      </c>
      <c r="BS6" s="48"/>
      <c r="BT6" s="41" t="s">
        <v>168</v>
      </c>
      <c r="BU6" s="41" t="s">
        <v>173</v>
      </c>
      <c r="BW6" s="47"/>
      <c r="BX6" s="32">
        <v>0.0013901</v>
      </c>
      <c r="BY6" s="48"/>
      <c r="BZ6" s="41" t="s">
        <v>168</v>
      </c>
      <c r="CA6" s="41" t="s">
        <v>173</v>
      </c>
      <c r="CC6" s="47"/>
      <c r="CD6" s="32">
        <v>0.0055234</v>
      </c>
      <c r="CE6" s="48"/>
      <c r="CF6" s="41" t="s">
        <v>168</v>
      </c>
      <c r="CG6" s="41" t="s">
        <v>173</v>
      </c>
      <c r="CI6" s="47"/>
      <c r="CJ6" s="32">
        <v>0.0134713</v>
      </c>
      <c r="CK6" s="48"/>
      <c r="CL6" s="41" t="s">
        <v>168</v>
      </c>
      <c r="CM6" s="41" t="s">
        <v>173</v>
      </c>
      <c r="CO6" s="47"/>
      <c r="CP6" s="32">
        <v>0.0301524</v>
      </c>
      <c r="CQ6" s="48"/>
      <c r="CR6" s="41" t="s">
        <v>168</v>
      </c>
      <c r="CS6" s="41" t="s">
        <v>173</v>
      </c>
      <c r="CU6" s="47"/>
      <c r="CV6" s="32">
        <v>0.0045619</v>
      </c>
      <c r="CW6" s="48"/>
      <c r="CX6" s="41" t="s">
        <v>168</v>
      </c>
      <c r="CY6" s="41" t="s">
        <v>173</v>
      </c>
      <c r="DA6" s="47"/>
      <c r="DB6" s="32">
        <v>0.0131079</v>
      </c>
      <c r="DC6" s="48"/>
      <c r="DD6" s="41" t="s">
        <v>168</v>
      </c>
      <c r="DE6" s="41" t="s">
        <v>173</v>
      </c>
      <c r="DG6" s="47"/>
      <c r="DH6" s="32">
        <v>0.0005051</v>
      </c>
      <c r="DI6" s="48"/>
      <c r="DJ6" s="41" t="s">
        <v>168</v>
      </c>
      <c r="DK6" s="41" t="s">
        <v>173</v>
      </c>
      <c r="DM6" s="83"/>
      <c r="DN6" s="84">
        <v>0.0276518</v>
      </c>
      <c r="DO6" s="85"/>
      <c r="DP6" s="82" t="s">
        <v>168</v>
      </c>
      <c r="DQ6" s="41" t="s">
        <v>173</v>
      </c>
      <c r="DS6" s="47"/>
      <c r="DT6" s="32">
        <v>0.0043534</v>
      </c>
      <c r="DU6" s="48"/>
      <c r="DV6" s="41" t="s">
        <v>168</v>
      </c>
      <c r="DW6" s="41" t="s">
        <v>173</v>
      </c>
      <c r="DY6" s="47"/>
      <c r="DZ6" s="32">
        <v>0.0224029</v>
      </c>
      <c r="EA6" s="48"/>
      <c r="EB6" s="41" t="s">
        <v>168</v>
      </c>
      <c r="EC6" s="41" t="s">
        <v>173</v>
      </c>
      <c r="EE6" s="47"/>
      <c r="EF6" s="32">
        <v>0.0063958</v>
      </c>
      <c r="EG6" s="48"/>
      <c r="EH6" s="41" t="s">
        <v>168</v>
      </c>
      <c r="EI6" s="41" t="s">
        <v>173</v>
      </c>
      <c r="EK6" s="47"/>
      <c r="EL6" s="32">
        <v>6.42E-05</v>
      </c>
      <c r="EM6" s="48"/>
      <c r="EN6" s="41" t="s">
        <v>168</v>
      </c>
      <c r="EO6" s="41" t="s">
        <v>173</v>
      </c>
      <c r="EQ6" s="47"/>
      <c r="ER6" s="32">
        <v>0.0001192</v>
      </c>
      <c r="ES6" s="48"/>
      <c r="ET6" s="41" t="s">
        <v>168</v>
      </c>
      <c r="EU6" s="41" t="s">
        <v>173</v>
      </c>
      <c r="EW6" s="47"/>
      <c r="EX6" s="32">
        <v>0.0215476</v>
      </c>
      <c r="EY6" s="48"/>
      <c r="EZ6" s="41" t="s">
        <v>168</v>
      </c>
      <c r="FA6" s="41" t="s">
        <v>173</v>
      </c>
      <c r="FC6" s="47"/>
      <c r="FD6" s="32">
        <v>0.0400516</v>
      </c>
      <c r="FE6" s="48"/>
      <c r="FF6" s="41" t="s">
        <v>168</v>
      </c>
      <c r="FG6" s="41" t="s">
        <v>173</v>
      </c>
      <c r="FI6" s="47"/>
      <c r="FJ6" s="32"/>
      <c r="FK6" s="48"/>
      <c r="FL6" s="41" t="s">
        <v>168</v>
      </c>
      <c r="FM6" s="41" t="s">
        <v>173</v>
      </c>
    </row>
    <row r="7" spans="1:169" ht="12.75">
      <c r="A7" s="26"/>
      <c r="C7" s="41" t="s">
        <v>11</v>
      </c>
      <c r="D7" s="41" t="s">
        <v>12</v>
      </c>
      <c r="E7" s="41" t="s">
        <v>4</v>
      </c>
      <c r="F7" s="41" t="s">
        <v>169</v>
      </c>
      <c r="G7" s="97" t="s">
        <v>170</v>
      </c>
      <c r="I7" s="41" t="s">
        <v>11</v>
      </c>
      <c r="J7" s="41" t="s">
        <v>12</v>
      </c>
      <c r="K7" s="41" t="s">
        <v>4</v>
      </c>
      <c r="L7" s="41" t="s">
        <v>169</v>
      </c>
      <c r="M7" s="97" t="s">
        <v>170</v>
      </c>
      <c r="O7" s="41" t="s">
        <v>11</v>
      </c>
      <c r="P7" s="41" t="s">
        <v>12</v>
      </c>
      <c r="Q7" s="41" t="s">
        <v>4</v>
      </c>
      <c r="R7" s="41" t="s">
        <v>169</v>
      </c>
      <c r="S7" s="97" t="s">
        <v>170</v>
      </c>
      <c r="U7" s="27" t="s">
        <v>11</v>
      </c>
      <c r="V7" s="27" t="s">
        <v>12</v>
      </c>
      <c r="W7" s="27" t="s">
        <v>4</v>
      </c>
      <c r="X7" s="41" t="s">
        <v>169</v>
      </c>
      <c r="Y7" s="97" t="s">
        <v>170</v>
      </c>
      <c r="AA7" s="27" t="s">
        <v>11</v>
      </c>
      <c r="AB7" s="27" t="s">
        <v>12</v>
      </c>
      <c r="AC7" s="27" t="s">
        <v>4</v>
      </c>
      <c r="AD7" s="41" t="s">
        <v>169</v>
      </c>
      <c r="AE7" s="97" t="s">
        <v>170</v>
      </c>
      <c r="AG7" s="27" t="s">
        <v>11</v>
      </c>
      <c r="AH7" s="27" t="s">
        <v>12</v>
      </c>
      <c r="AI7" s="27" t="s">
        <v>4</v>
      </c>
      <c r="AJ7" s="41" t="s">
        <v>169</v>
      </c>
      <c r="AK7" s="97" t="s">
        <v>170</v>
      </c>
      <c r="AM7" s="27" t="s">
        <v>11</v>
      </c>
      <c r="AN7" s="27" t="s">
        <v>12</v>
      </c>
      <c r="AO7" s="27" t="s">
        <v>4</v>
      </c>
      <c r="AP7" s="41" t="s">
        <v>169</v>
      </c>
      <c r="AQ7" s="97" t="s">
        <v>170</v>
      </c>
      <c r="AS7" s="27" t="s">
        <v>11</v>
      </c>
      <c r="AT7" s="27" t="s">
        <v>12</v>
      </c>
      <c r="AU7" s="27" t="s">
        <v>4</v>
      </c>
      <c r="AV7" s="41" t="s">
        <v>169</v>
      </c>
      <c r="AW7" s="97" t="s">
        <v>170</v>
      </c>
      <c r="AY7" s="27" t="s">
        <v>11</v>
      </c>
      <c r="AZ7" s="27" t="s">
        <v>12</v>
      </c>
      <c r="BA7" s="27" t="s">
        <v>4</v>
      </c>
      <c r="BB7" s="41" t="s">
        <v>169</v>
      </c>
      <c r="BC7" s="97" t="s">
        <v>170</v>
      </c>
      <c r="BE7" s="27" t="s">
        <v>11</v>
      </c>
      <c r="BF7" s="27" t="s">
        <v>12</v>
      </c>
      <c r="BG7" s="27" t="s">
        <v>4</v>
      </c>
      <c r="BH7" s="41" t="s">
        <v>169</v>
      </c>
      <c r="BI7" s="97" t="s">
        <v>170</v>
      </c>
      <c r="BK7" s="27" t="s">
        <v>11</v>
      </c>
      <c r="BL7" s="27" t="s">
        <v>12</v>
      </c>
      <c r="BM7" s="27" t="s">
        <v>4</v>
      </c>
      <c r="BN7" s="41" t="s">
        <v>169</v>
      </c>
      <c r="BO7" s="97" t="s">
        <v>170</v>
      </c>
      <c r="BQ7" s="27" t="s">
        <v>11</v>
      </c>
      <c r="BR7" s="27" t="s">
        <v>12</v>
      </c>
      <c r="BS7" s="27" t="s">
        <v>4</v>
      </c>
      <c r="BT7" s="41" t="s">
        <v>169</v>
      </c>
      <c r="BU7" s="97" t="s">
        <v>170</v>
      </c>
      <c r="BW7" s="27" t="s">
        <v>11</v>
      </c>
      <c r="BX7" s="27" t="s">
        <v>12</v>
      </c>
      <c r="BY7" s="27" t="s">
        <v>4</v>
      </c>
      <c r="BZ7" s="41" t="s">
        <v>169</v>
      </c>
      <c r="CA7" s="97" t="s">
        <v>170</v>
      </c>
      <c r="CC7" s="27" t="s">
        <v>11</v>
      </c>
      <c r="CD7" s="27" t="s">
        <v>12</v>
      </c>
      <c r="CE7" s="27" t="s">
        <v>4</v>
      </c>
      <c r="CF7" s="41" t="s">
        <v>169</v>
      </c>
      <c r="CG7" s="97" t="s">
        <v>170</v>
      </c>
      <c r="CI7" s="27" t="s">
        <v>11</v>
      </c>
      <c r="CJ7" s="27" t="s">
        <v>12</v>
      </c>
      <c r="CK7" s="27" t="s">
        <v>4</v>
      </c>
      <c r="CL7" s="41" t="s">
        <v>169</v>
      </c>
      <c r="CM7" s="97" t="s">
        <v>170</v>
      </c>
      <c r="CO7" s="27" t="s">
        <v>11</v>
      </c>
      <c r="CP7" s="27" t="s">
        <v>12</v>
      </c>
      <c r="CQ7" s="27" t="s">
        <v>4</v>
      </c>
      <c r="CR7" s="41" t="s">
        <v>169</v>
      </c>
      <c r="CS7" s="97" t="s">
        <v>170</v>
      </c>
      <c r="CU7" s="27" t="s">
        <v>11</v>
      </c>
      <c r="CV7" s="27" t="s">
        <v>12</v>
      </c>
      <c r="CW7" s="27" t="s">
        <v>4</v>
      </c>
      <c r="CX7" s="41" t="s">
        <v>169</v>
      </c>
      <c r="CY7" s="97" t="s">
        <v>170</v>
      </c>
      <c r="DA7" s="27" t="s">
        <v>11</v>
      </c>
      <c r="DB7" s="27" t="s">
        <v>12</v>
      </c>
      <c r="DC7" s="27" t="s">
        <v>4</v>
      </c>
      <c r="DD7" s="41" t="s">
        <v>169</v>
      </c>
      <c r="DE7" s="97" t="s">
        <v>170</v>
      </c>
      <c r="DG7" s="27" t="s">
        <v>11</v>
      </c>
      <c r="DH7" s="27" t="s">
        <v>12</v>
      </c>
      <c r="DI7" s="27" t="s">
        <v>4</v>
      </c>
      <c r="DJ7" s="41" t="s">
        <v>169</v>
      </c>
      <c r="DK7" s="97" t="s">
        <v>170</v>
      </c>
      <c r="DM7" s="86" t="s">
        <v>11</v>
      </c>
      <c r="DN7" s="86" t="s">
        <v>12</v>
      </c>
      <c r="DO7" s="86" t="s">
        <v>4</v>
      </c>
      <c r="DP7" s="82" t="s">
        <v>169</v>
      </c>
      <c r="DQ7" s="97" t="s">
        <v>170</v>
      </c>
      <c r="DS7" s="27" t="s">
        <v>11</v>
      </c>
      <c r="DT7" s="27" t="s">
        <v>12</v>
      </c>
      <c r="DU7" s="27" t="s">
        <v>4</v>
      </c>
      <c r="DV7" s="41" t="s">
        <v>169</v>
      </c>
      <c r="DW7" s="97" t="s">
        <v>170</v>
      </c>
      <c r="DY7" s="27" t="s">
        <v>11</v>
      </c>
      <c r="DZ7" s="27" t="s">
        <v>12</v>
      </c>
      <c r="EA7" s="27" t="s">
        <v>4</v>
      </c>
      <c r="EB7" s="41" t="s">
        <v>169</v>
      </c>
      <c r="EC7" s="97" t="s">
        <v>170</v>
      </c>
      <c r="EE7" s="27" t="s">
        <v>11</v>
      </c>
      <c r="EF7" s="27" t="s">
        <v>12</v>
      </c>
      <c r="EG7" s="27" t="s">
        <v>4</v>
      </c>
      <c r="EH7" s="41" t="s">
        <v>169</v>
      </c>
      <c r="EI7" s="97" t="s">
        <v>170</v>
      </c>
      <c r="EK7" s="27" t="s">
        <v>11</v>
      </c>
      <c r="EL7" s="27" t="s">
        <v>12</v>
      </c>
      <c r="EM7" s="27" t="s">
        <v>4</v>
      </c>
      <c r="EN7" s="41" t="s">
        <v>169</v>
      </c>
      <c r="EO7" s="97" t="s">
        <v>170</v>
      </c>
      <c r="EQ7" s="27" t="s">
        <v>11</v>
      </c>
      <c r="ER7" s="27" t="s">
        <v>12</v>
      </c>
      <c r="ES7" s="27" t="s">
        <v>4</v>
      </c>
      <c r="ET7" s="41" t="s">
        <v>169</v>
      </c>
      <c r="EU7" s="97" t="s">
        <v>170</v>
      </c>
      <c r="EW7" s="27" t="s">
        <v>11</v>
      </c>
      <c r="EX7" s="27" t="s">
        <v>12</v>
      </c>
      <c r="EY7" s="27" t="s">
        <v>4</v>
      </c>
      <c r="EZ7" s="41" t="s">
        <v>169</v>
      </c>
      <c r="FA7" s="97" t="s">
        <v>170</v>
      </c>
      <c r="FC7" s="27" t="s">
        <v>11</v>
      </c>
      <c r="FD7" s="27" t="s">
        <v>12</v>
      </c>
      <c r="FE7" s="27" t="s">
        <v>4</v>
      </c>
      <c r="FF7" s="41" t="s">
        <v>169</v>
      </c>
      <c r="FG7" s="97" t="s">
        <v>170</v>
      </c>
      <c r="FI7" s="27" t="s">
        <v>11</v>
      </c>
      <c r="FJ7" s="27" t="s">
        <v>12</v>
      </c>
      <c r="FK7" s="27" t="s">
        <v>4</v>
      </c>
      <c r="FL7" s="41" t="s">
        <v>169</v>
      </c>
      <c r="FM7" s="97" t="s">
        <v>170</v>
      </c>
    </row>
    <row r="8" spans="1:169" s="52" customFormat="1" ht="12.75">
      <c r="A8" s="51">
        <v>44835</v>
      </c>
      <c r="C8" s="36"/>
      <c r="D8" s="36">
        <v>311000</v>
      </c>
      <c r="E8" s="74">
        <f>SUM(C8:D8)</f>
        <v>311000</v>
      </c>
      <c r="F8" s="74">
        <v>564792</v>
      </c>
      <c r="G8" s="74">
        <v>87474</v>
      </c>
      <c r="H8" s="76"/>
      <c r="I8" s="76">
        <f>'2021A Academic'!I8</f>
        <v>0</v>
      </c>
      <c r="J8" s="76">
        <f>'2021A Academic'!J8</f>
        <v>168818.85489999998</v>
      </c>
      <c r="K8" s="76">
        <f>I8+J8</f>
        <v>168818.85489999998</v>
      </c>
      <c r="L8" s="76">
        <f>'2021A Academic'!L8</f>
        <v>306583.7257128</v>
      </c>
      <c r="M8" s="76">
        <f>'2021A Academic'!M8</f>
        <v>47483.1527766</v>
      </c>
      <c r="N8" s="76"/>
      <c r="O8" s="75">
        <f aca="true" t="shared" si="0" ref="O8:P11">U8+AA8+AG8+AM8+AS8+AY8+BE8+BK8+BQ8+BW8+CC8+CI8+CO8+CU8+DA8+DG8+DM8+DS8+DY8+EE8+EK8+EQ8+EW8+FC8</f>
        <v>0</v>
      </c>
      <c r="P8" s="77">
        <f t="shared" si="0"/>
        <v>142181.14510000002</v>
      </c>
      <c r="Q8" s="75">
        <f>O8+P8</f>
        <v>142181.14510000002</v>
      </c>
      <c r="R8" s="75">
        <f aca="true" t="shared" si="1" ref="R8:S11">X8+AD8+AJ8+AP8+AV8+BB8+BH8+BN8+BT8+BZ8+CF8+CL8+CR8+CX8+DD8+DJ8+DP8+DV8+EB8+EH8+EN8+ET8+EZ8+FF8+FL8</f>
        <v>258208.27428720007</v>
      </c>
      <c r="S8" s="75">
        <f t="shared" si="1"/>
        <v>39990.8472234</v>
      </c>
      <c r="T8" s="76"/>
      <c r="U8" s="75"/>
      <c r="V8" s="74">
        <f>D8*8.1724/100</f>
        <v>25416.164</v>
      </c>
      <c r="W8" s="75">
        <f>U8+V8</f>
        <v>25416.164</v>
      </c>
      <c r="X8" s="75">
        <f>V$6*$F8</f>
        <v>46157.061408</v>
      </c>
      <c r="Y8" s="74">
        <f>V$6*$G8</f>
        <v>7148.725176000001</v>
      </c>
      <c r="Z8" s="76"/>
      <c r="AA8" s="75"/>
      <c r="AB8" s="75">
        <f>D8*5.95646/100</f>
        <v>18524.5906</v>
      </c>
      <c r="AC8" s="75">
        <f>AA8+AB8</f>
        <v>18524.5906</v>
      </c>
      <c r="AD8" s="75">
        <f>AB$6*$F8</f>
        <v>33641.6095632</v>
      </c>
      <c r="AE8" s="74">
        <f>AB$6*$G8</f>
        <v>5210.353820400001</v>
      </c>
      <c r="AF8" s="76"/>
      <c r="AG8" s="75"/>
      <c r="AH8" s="75">
        <f>D8*3.15804/100</f>
        <v>9821.5044</v>
      </c>
      <c r="AI8" s="75">
        <f>AG8+AH8</f>
        <v>9821.5044</v>
      </c>
      <c r="AJ8" s="75">
        <f>AH$6*$F8</f>
        <v>17836.3572768</v>
      </c>
      <c r="AK8" s="74">
        <f>AH$6*$G8</f>
        <v>2762.4639096</v>
      </c>
      <c r="AL8" s="76"/>
      <c r="AM8" s="75"/>
      <c r="AN8" s="75">
        <f>D8*2.2968/100</f>
        <v>7143.048000000001</v>
      </c>
      <c r="AO8" s="75">
        <f>AM8+AN8</f>
        <v>7143.048000000001</v>
      </c>
      <c r="AP8" s="75">
        <f>AN$6*$F8</f>
        <v>12972.142656</v>
      </c>
      <c r="AQ8" s="74">
        <f>AN$6*$G8</f>
        <v>2009.1028319999998</v>
      </c>
      <c r="AR8" s="76"/>
      <c r="AS8" s="75"/>
      <c r="AT8" s="75">
        <f>D8*0.26309/100</f>
        <v>818.2099</v>
      </c>
      <c r="AU8" s="75">
        <f>AS8+AT8</f>
        <v>818.2099</v>
      </c>
      <c r="AV8" s="75">
        <f>AT$6*$F8</f>
        <v>1485.9112728</v>
      </c>
      <c r="AW8" s="74">
        <f>AT$6*$G8</f>
        <v>230.1353466</v>
      </c>
      <c r="AX8" s="76"/>
      <c r="AY8" s="75"/>
      <c r="AZ8" s="75">
        <f>D8*4.16229/100</f>
        <v>12944.721899999999</v>
      </c>
      <c r="BA8" s="75">
        <f>AY8+AZ8</f>
        <v>12944.721899999999</v>
      </c>
      <c r="BB8" s="75">
        <f>AZ$6*$F8</f>
        <v>23508.280936799998</v>
      </c>
      <c r="BC8" s="74">
        <f>AZ$6*$G8</f>
        <v>3640.9215545999996</v>
      </c>
      <c r="BD8" s="76"/>
      <c r="BE8" s="75"/>
      <c r="BF8" s="75">
        <f>D8*0.45121/100</f>
        <v>1403.2631</v>
      </c>
      <c r="BG8" s="75">
        <f>BE8+BF8</f>
        <v>1403.2631</v>
      </c>
      <c r="BH8" s="75">
        <f>BF$6*$F8</f>
        <v>2548.3979832</v>
      </c>
      <c r="BI8" s="74">
        <f>BF$6*$G8</f>
        <v>394.6914354</v>
      </c>
      <c r="BJ8" s="76"/>
      <c r="BK8" s="75"/>
      <c r="BL8" s="75">
        <f>D8*1.41147/100</f>
        <v>4389.6717</v>
      </c>
      <c r="BM8" s="75">
        <f>BK8+BL8</f>
        <v>4389.6717</v>
      </c>
      <c r="BN8" s="75">
        <f>BL$6*$F8</f>
        <v>7971.869642400001</v>
      </c>
      <c r="BO8" s="74">
        <f>BL$6*$G8</f>
        <v>1234.6692678000002</v>
      </c>
      <c r="BP8" s="76"/>
      <c r="BQ8" s="75"/>
      <c r="BR8" s="75">
        <f>D8*0.71579/100</f>
        <v>2226.1069</v>
      </c>
      <c r="BS8" s="75">
        <f>BQ8+BR8</f>
        <v>2226.1069</v>
      </c>
      <c r="BT8" s="75">
        <f>BR$6*$F8</f>
        <v>4042.7246568</v>
      </c>
      <c r="BU8" s="74">
        <f>BR$6*$G8</f>
        <v>626.1301446</v>
      </c>
      <c r="BV8" s="76"/>
      <c r="BW8" s="75"/>
      <c r="BX8" s="75">
        <f>D8*0.13901/100</f>
        <v>432.3211</v>
      </c>
      <c r="BY8" s="75">
        <f>BW8+BX8</f>
        <v>432.3211</v>
      </c>
      <c r="BZ8" s="75">
        <f>BX$6*$F8</f>
        <v>785.1173592</v>
      </c>
      <c r="CA8" s="74">
        <f>BX$6*$G8</f>
        <v>121.5976074</v>
      </c>
      <c r="CB8" s="76"/>
      <c r="CC8" s="75"/>
      <c r="CD8" s="75">
        <f>D8*0.55234/100</f>
        <v>1717.7774000000002</v>
      </c>
      <c r="CE8" s="75">
        <f>CC8+CD8</f>
        <v>1717.7774000000002</v>
      </c>
      <c r="CF8" s="75">
        <f>CD$6*$F8</f>
        <v>3119.5721328000004</v>
      </c>
      <c r="CG8" s="74">
        <f>CD$6*$G8</f>
        <v>483.1538916</v>
      </c>
      <c r="CH8" s="76"/>
      <c r="CI8" s="75"/>
      <c r="CJ8" s="75">
        <f>D8*1.34713/100</f>
        <v>4189.5743</v>
      </c>
      <c r="CK8" s="75">
        <f>CI8+CJ8</f>
        <v>4189.5743</v>
      </c>
      <c r="CL8" s="75">
        <f>CJ$6*$F8</f>
        <v>7608.4824696000005</v>
      </c>
      <c r="CM8" s="74">
        <f>CJ$6*$G8</f>
        <v>1178.3884962</v>
      </c>
      <c r="CN8" s="76"/>
      <c r="CO8" s="75"/>
      <c r="CP8" s="75">
        <f>D8*3.01524/100</f>
        <v>9377.3964</v>
      </c>
      <c r="CQ8" s="75">
        <f>CO8+CP8</f>
        <v>9377.3964</v>
      </c>
      <c r="CR8" s="75">
        <f>CP$6*$F8</f>
        <v>17029.8343008</v>
      </c>
      <c r="CS8" s="74">
        <f>CP$6*$G8</f>
        <v>2637.5510375999997</v>
      </c>
      <c r="CT8" s="76"/>
      <c r="CU8" s="75"/>
      <c r="CV8" s="75">
        <f>D8*0.45619/100</f>
        <v>1418.7509</v>
      </c>
      <c r="CW8" s="75">
        <f>CU8+CV8</f>
        <v>1418.7509</v>
      </c>
      <c r="CX8" s="75">
        <f>CV$6*$F8</f>
        <v>2576.5246248</v>
      </c>
      <c r="CY8" s="74">
        <f>CV$6*$G8</f>
        <v>399.04764059999997</v>
      </c>
      <c r="CZ8" s="76"/>
      <c r="DA8" s="75"/>
      <c r="DB8" s="75">
        <f>D8*1.31079/100</f>
        <v>4076.5568999999996</v>
      </c>
      <c r="DC8" s="75">
        <f>DA8+DB8</f>
        <v>4076.5568999999996</v>
      </c>
      <c r="DD8" s="75">
        <f>DB$6*$F8</f>
        <v>7403.237056800001</v>
      </c>
      <c r="DE8" s="74">
        <f>DB$6*$G8</f>
        <v>1146.6004446</v>
      </c>
      <c r="DF8" s="76"/>
      <c r="DG8" s="75"/>
      <c r="DH8" s="75">
        <f>D8*0.05051/100</f>
        <v>157.08610000000002</v>
      </c>
      <c r="DI8" s="75">
        <f>DG8+DH8</f>
        <v>157.08610000000002</v>
      </c>
      <c r="DJ8" s="75">
        <f>DH$6*$F8</f>
        <v>285.27643919999997</v>
      </c>
      <c r="DK8" s="74">
        <f>DH$6*$G8</f>
        <v>44.1831174</v>
      </c>
      <c r="DL8" s="76"/>
      <c r="DM8" s="87"/>
      <c r="DN8" s="87">
        <f>D8*2.76518/100</f>
        <v>8599.7098</v>
      </c>
      <c r="DO8" s="87">
        <f>DM8+DN8</f>
        <v>8599.7098</v>
      </c>
      <c r="DP8" s="87">
        <f>DN$6*$F8</f>
        <v>15617.5154256</v>
      </c>
      <c r="DQ8" s="89">
        <f>DN$6*$G8</f>
        <v>2418.8135532</v>
      </c>
      <c r="DR8" s="76"/>
      <c r="DS8" s="75"/>
      <c r="DT8" s="75">
        <f>D8*0.43534/100</f>
        <v>1353.9073999999998</v>
      </c>
      <c r="DU8" s="75">
        <f>DS8+DT8</f>
        <v>1353.9073999999998</v>
      </c>
      <c r="DV8" s="75">
        <f>DT$6*$F8</f>
        <v>2458.7654928</v>
      </c>
      <c r="DW8" s="74">
        <f>DT$6*$G8</f>
        <v>380.8093116</v>
      </c>
      <c r="DX8" s="76"/>
      <c r="DY8" s="75"/>
      <c r="DZ8" s="75">
        <f>D8*2.24029/100</f>
        <v>6967.3018999999995</v>
      </c>
      <c r="EA8" s="75">
        <f>DY8+DZ8</f>
        <v>6967.3018999999995</v>
      </c>
      <c r="EB8" s="75">
        <f>DZ$6*$F8</f>
        <v>12652.9786968</v>
      </c>
      <c r="EC8" s="74">
        <f>DZ$6*$G8</f>
        <v>1959.6712746</v>
      </c>
      <c r="ED8" s="76"/>
      <c r="EE8" s="75"/>
      <c r="EF8" s="75">
        <f>D8*0.63958/100</f>
        <v>1989.0938</v>
      </c>
      <c r="EG8" s="75">
        <f>EE8+EF8</f>
        <v>1989.0938</v>
      </c>
      <c r="EH8" s="75">
        <f>EF$6*$F8</f>
        <v>3612.2966736</v>
      </c>
      <c r="EI8" s="74">
        <f>EF$6*$G8</f>
        <v>559.4662092</v>
      </c>
      <c r="EJ8" s="76"/>
      <c r="EK8" s="75"/>
      <c r="EL8" s="75">
        <f>D8*0.00642/100</f>
        <v>19.9662</v>
      </c>
      <c r="EM8" s="75">
        <f>EK8+EL8</f>
        <v>19.9662</v>
      </c>
      <c r="EN8" s="75">
        <f>EL$6*$F8</f>
        <v>36.2596464</v>
      </c>
      <c r="EO8" s="74">
        <f>EL$6*$G8</f>
        <v>5.6158308</v>
      </c>
      <c r="EP8" s="76"/>
      <c r="EQ8" s="75"/>
      <c r="ER8" s="75">
        <f>D8*0.01192/100</f>
        <v>37.0712</v>
      </c>
      <c r="ES8" s="75">
        <f>EQ8+ER8</f>
        <v>37.0712</v>
      </c>
      <c r="ET8" s="75">
        <f>ER$6*$F8</f>
        <v>67.3232064</v>
      </c>
      <c r="EU8" s="74">
        <f>ER$6*$G8</f>
        <v>10.4269008</v>
      </c>
      <c r="EV8" s="76"/>
      <c r="EW8" s="75"/>
      <c r="EX8" s="75">
        <f>D8*2.15476/100</f>
        <v>6701.3036</v>
      </c>
      <c r="EY8" s="75">
        <f>EW8+EX8</f>
        <v>6701.3036</v>
      </c>
      <c r="EZ8" s="75">
        <f>EX$6*$F8</f>
        <v>12169.9120992</v>
      </c>
      <c r="FA8" s="74">
        <f>EX$6*$G8</f>
        <v>1884.8547624</v>
      </c>
      <c r="FB8" s="76"/>
      <c r="FC8" s="75"/>
      <c r="FD8" s="75">
        <f>D8*4.00516/100</f>
        <v>12456.0476</v>
      </c>
      <c r="FE8" s="75">
        <f>FC8+FD8</f>
        <v>12456.0476</v>
      </c>
      <c r="FF8" s="75">
        <f>FD$6*$F8</f>
        <v>22620.8232672</v>
      </c>
      <c r="FG8" s="74">
        <f>FD$6*$G8</f>
        <v>3503.4736583999997</v>
      </c>
      <c r="FH8" s="76"/>
      <c r="FI8" s="77"/>
      <c r="FJ8" s="75"/>
      <c r="FK8" s="75"/>
      <c r="FL8" s="75"/>
      <c r="FM8" s="74">
        <f>FJ$6*$G8</f>
        <v>0</v>
      </c>
    </row>
    <row r="9" spans="1:169" s="52" customFormat="1" ht="12.75">
      <c r="A9" s="51">
        <v>45017</v>
      </c>
      <c r="C9" s="36">
        <v>5470000</v>
      </c>
      <c r="D9" s="36">
        <v>311000</v>
      </c>
      <c r="E9" s="74">
        <f>SUM(C9:D9)</f>
        <v>5781000</v>
      </c>
      <c r="F9" s="74">
        <v>564792</v>
      </c>
      <c r="G9" s="74">
        <v>87474</v>
      </c>
      <c r="H9" s="76"/>
      <c r="I9" s="76">
        <f>'2021A Academic'!I9</f>
        <v>2969257.6729999995</v>
      </c>
      <c r="J9" s="76">
        <f>'2021A Academic'!J9</f>
        <v>168818.85489999998</v>
      </c>
      <c r="K9" s="76">
        <f>I9+J9</f>
        <v>3138076.5278999996</v>
      </c>
      <c r="L9" s="76">
        <f>'2021A Academic'!L9</f>
        <v>306583.7257128</v>
      </c>
      <c r="M9" s="76">
        <f>'2021A Academic'!M9</f>
        <v>47483.1527766</v>
      </c>
      <c r="N9" s="76"/>
      <c r="O9" s="75">
        <f t="shared" si="0"/>
        <v>2500742.327</v>
      </c>
      <c r="P9" s="77">
        <f t="shared" si="0"/>
        <v>142181.14510000002</v>
      </c>
      <c r="Q9" s="75">
        <f>O9+P9</f>
        <v>2642923.4721</v>
      </c>
      <c r="R9" s="75">
        <f t="shared" si="1"/>
        <v>258208.27428720007</v>
      </c>
      <c r="S9" s="75">
        <f t="shared" si="1"/>
        <v>39990.8472234</v>
      </c>
      <c r="T9" s="76"/>
      <c r="U9" s="75">
        <f>C9*8.1724/100</f>
        <v>447030.28</v>
      </c>
      <c r="V9" s="74">
        <f>D9*8.1724/100</f>
        <v>25416.164</v>
      </c>
      <c r="W9" s="75">
        <f>U9+V9</f>
        <v>472446.444</v>
      </c>
      <c r="X9" s="75">
        <f>V$6*$F9</f>
        <v>46157.061408</v>
      </c>
      <c r="Y9" s="74">
        <f>V$6*$G9</f>
        <v>7148.725176000001</v>
      </c>
      <c r="Z9" s="76"/>
      <c r="AA9" s="75">
        <f>C9*5.95646/100</f>
        <v>325818.36199999996</v>
      </c>
      <c r="AB9" s="75">
        <f>D9*5.95646/100</f>
        <v>18524.5906</v>
      </c>
      <c r="AC9" s="75">
        <f>AA9+AB9</f>
        <v>344342.95259999996</v>
      </c>
      <c r="AD9" s="75">
        <f>AB$6*$F9</f>
        <v>33641.6095632</v>
      </c>
      <c r="AE9" s="74">
        <f>AB$6*$G9</f>
        <v>5210.353820400001</v>
      </c>
      <c r="AF9" s="76"/>
      <c r="AG9" s="75">
        <f>C9*3.15804/100</f>
        <v>172744.788</v>
      </c>
      <c r="AH9" s="75">
        <f>D9*3.15804/100</f>
        <v>9821.5044</v>
      </c>
      <c r="AI9" s="75">
        <f>AG9+AH9</f>
        <v>182566.2924</v>
      </c>
      <c r="AJ9" s="75">
        <f>AH$6*$F9</f>
        <v>17836.3572768</v>
      </c>
      <c r="AK9" s="74">
        <f>AH$6*$G9</f>
        <v>2762.4639096</v>
      </c>
      <c r="AL9" s="76"/>
      <c r="AM9" s="75">
        <f>C9*2.2968/100</f>
        <v>125634.96000000002</v>
      </c>
      <c r="AN9" s="75">
        <f>D9*2.2968/100</f>
        <v>7143.048000000001</v>
      </c>
      <c r="AO9" s="75">
        <f>AM9+AN9</f>
        <v>132778.00800000003</v>
      </c>
      <c r="AP9" s="75">
        <f>AN$6*$F9</f>
        <v>12972.142656</v>
      </c>
      <c r="AQ9" s="74">
        <f>AN$6*$G9</f>
        <v>2009.1028319999998</v>
      </c>
      <c r="AR9" s="76"/>
      <c r="AS9" s="75">
        <f>C9*0.26309/100</f>
        <v>14391.023000000001</v>
      </c>
      <c r="AT9" s="75">
        <f>D9*0.26309/100</f>
        <v>818.2099</v>
      </c>
      <c r="AU9" s="75">
        <f>AS9+AT9</f>
        <v>15209.2329</v>
      </c>
      <c r="AV9" s="75">
        <f>AT$6*$F9</f>
        <v>1485.9112728</v>
      </c>
      <c r="AW9" s="74">
        <f>AT$6*$G9</f>
        <v>230.1353466</v>
      </c>
      <c r="AX9" s="76"/>
      <c r="AY9" s="75">
        <f>C9*4.16229/100</f>
        <v>227677.26299999998</v>
      </c>
      <c r="AZ9" s="75">
        <f>D9*4.16229/100</f>
        <v>12944.721899999999</v>
      </c>
      <c r="BA9" s="75">
        <f>AY9+AZ9</f>
        <v>240621.98489999998</v>
      </c>
      <c r="BB9" s="75">
        <f>AZ$6*$F9</f>
        <v>23508.280936799998</v>
      </c>
      <c r="BC9" s="74">
        <f>AZ$6*$G9</f>
        <v>3640.9215545999996</v>
      </c>
      <c r="BD9" s="76"/>
      <c r="BE9" s="75">
        <f>C9*0.45121/100</f>
        <v>24681.187</v>
      </c>
      <c r="BF9" s="75">
        <f>D9*0.45121/100</f>
        <v>1403.2631</v>
      </c>
      <c r="BG9" s="75">
        <f>BE9+BF9</f>
        <v>26084.450100000002</v>
      </c>
      <c r="BH9" s="75">
        <f>BF$6*$F9</f>
        <v>2548.3979832</v>
      </c>
      <c r="BI9" s="74">
        <f>BF$6*$G9</f>
        <v>394.6914354</v>
      </c>
      <c r="BJ9" s="76"/>
      <c r="BK9" s="75">
        <f>C9*1.41147/100</f>
        <v>77207.409</v>
      </c>
      <c r="BL9" s="75">
        <f>D9*1.41147/100</f>
        <v>4389.6717</v>
      </c>
      <c r="BM9" s="75">
        <f>BK9+BL9</f>
        <v>81597.0807</v>
      </c>
      <c r="BN9" s="75">
        <f>BL$6*$F9</f>
        <v>7971.869642400001</v>
      </c>
      <c r="BO9" s="74">
        <f>BL$6*$G9</f>
        <v>1234.6692678000002</v>
      </c>
      <c r="BP9" s="76"/>
      <c r="BQ9" s="75">
        <f>C9*0.71579/100</f>
        <v>39153.713</v>
      </c>
      <c r="BR9" s="75">
        <f>D9*0.71579/100</f>
        <v>2226.1069</v>
      </c>
      <c r="BS9" s="75">
        <f>BQ9+BR9</f>
        <v>41379.8199</v>
      </c>
      <c r="BT9" s="75">
        <f>BR$6*$F9</f>
        <v>4042.7246568</v>
      </c>
      <c r="BU9" s="74">
        <f>BR$6*$G9</f>
        <v>626.1301446</v>
      </c>
      <c r="BV9" s="76"/>
      <c r="BW9" s="75">
        <f>C9*0.13901/100</f>
        <v>7603.847</v>
      </c>
      <c r="BX9" s="75">
        <f>D9*0.13901/100</f>
        <v>432.3211</v>
      </c>
      <c r="BY9" s="75">
        <f>BW9+BX9</f>
        <v>8036.1681</v>
      </c>
      <c r="BZ9" s="75">
        <f>BX$6*$F9</f>
        <v>785.1173592</v>
      </c>
      <c r="CA9" s="74">
        <f>BX$6*$G9</f>
        <v>121.5976074</v>
      </c>
      <c r="CB9" s="76"/>
      <c r="CC9" s="75">
        <f>C9*0.55234/100</f>
        <v>30212.998000000003</v>
      </c>
      <c r="CD9" s="75">
        <f>D9*0.55234/100</f>
        <v>1717.7774000000002</v>
      </c>
      <c r="CE9" s="75">
        <f>CC9+CD9</f>
        <v>31930.775400000002</v>
      </c>
      <c r="CF9" s="75">
        <f>CD$6*$F9</f>
        <v>3119.5721328000004</v>
      </c>
      <c r="CG9" s="74">
        <f>CD$6*$G9</f>
        <v>483.1538916</v>
      </c>
      <c r="CH9" s="76"/>
      <c r="CI9" s="75">
        <f>C9*1.34713/100</f>
        <v>73688.011</v>
      </c>
      <c r="CJ9" s="75">
        <f>D9*1.34713/100</f>
        <v>4189.5743</v>
      </c>
      <c r="CK9" s="75">
        <f>CI9+CJ9</f>
        <v>77877.5853</v>
      </c>
      <c r="CL9" s="75">
        <f>CJ$6*$F9</f>
        <v>7608.4824696000005</v>
      </c>
      <c r="CM9" s="74">
        <f>CJ$6*$G9</f>
        <v>1178.3884962</v>
      </c>
      <c r="CN9" s="76"/>
      <c r="CO9" s="75">
        <f>C9*3.01524/100</f>
        <v>164933.628</v>
      </c>
      <c r="CP9" s="75">
        <f>D9*3.01524/100</f>
        <v>9377.3964</v>
      </c>
      <c r="CQ9" s="75">
        <f>CO9+CP9</f>
        <v>174311.0244</v>
      </c>
      <c r="CR9" s="75">
        <f>CP$6*$F9</f>
        <v>17029.8343008</v>
      </c>
      <c r="CS9" s="74">
        <f>CP$6*$G9</f>
        <v>2637.5510375999997</v>
      </c>
      <c r="CT9" s="76"/>
      <c r="CU9" s="75">
        <f>C9*0.45619/100</f>
        <v>24953.592999999997</v>
      </c>
      <c r="CV9" s="75">
        <f>D9*0.45619/100</f>
        <v>1418.7509</v>
      </c>
      <c r="CW9" s="75">
        <f>CU9+CV9</f>
        <v>26372.343899999996</v>
      </c>
      <c r="CX9" s="75">
        <f>CV$6*$F9</f>
        <v>2576.5246248</v>
      </c>
      <c r="CY9" s="74">
        <f>CV$6*$G9</f>
        <v>399.04764059999997</v>
      </c>
      <c r="CZ9" s="76"/>
      <c r="DA9" s="75">
        <f>C9*1.31079/100</f>
        <v>71700.213</v>
      </c>
      <c r="DB9" s="75">
        <f>D9*1.31079/100</f>
        <v>4076.5568999999996</v>
      </c>
      <c r="DC9" s="75">
        <f>DA9+DB9</f>
        <v>75776.7699</v>
      </c>
      <c r="DD9" s="75">
        <f>DB$6*$F9</f>
        <v>7403.237056800001</v>
      </c>
      <c r="DE9" s="74">
        <f>DB$6*$G9</f>
        <v>1146.6004446</v>
      </c>
      <c r="DF9" s="76"/>
      <c r="DG9" s="75">
        <f>C9*0.05051/100</f>
        <v>2762.897</v>
      </c>
      <c r="DH9" s="75">
        <f>D9*0.05051/100</f>
        <v>157.08610000000002</v>
      </c>
      <c r="DI9" s="75">
        <f>DG9+DH9</f>
        <v>2919.9831</v>
      </c>
      <c r="DJ9" s="75">
        <f>DH$6*$F9</f>
        <v>285.27643919999997</v>
      </c>
      <c r="DK9" s="74">
        <f>DH$6*$G9</f>
        <v>44.1831174</v>
      </c>
      <c r="DL9" s="76"/>
      <c r="DM9" s="87">
        <f>C9*2.76518/100</f>
        <v>151255.346</v>
      </c>
      <c r="DN9" s="87">
        <f>D9*2.76518/100</f>
        <v>8599.7098</v>
      </c>
      <c r="DO9" s="87">
        <f>DM9+DN9</f>
        <v>159855.0558</v>
      </c>
      <c r="DP9" s="87">
        <f>DN$6*$F9</f>
        <v>15617.5154256</v>
      </c>
      <c r="DQ9" s="89">
        <f>DN$6*$G9</f>
        <v>2418.8135532</v>
      </c>
      <c r="DR9" s="76"/>
      <c r="DS9" s="75">
        <f>C9*0.43534/100</f>
        <v>23813.097999999998</v>
      </c>
      <c r="DT9" s="75">
        <f>D9*0.43534/100</f>
        <v>1353.9073999999998</v>
      </c>
      <c r="DU9" s="75">
        <f>DS9+DT9</f>
        <v>25167.0054</v>
      </c>
      <c r="DV9" s="75">
        <f>DT$6*$F9</f>
        <v>2458.7654928</v>
      </c>
      <c r="DW9" s="74">
        <f>DT$6*$G9</f>
        <v>380.8093116</v>
      </c>
      <c r="DX9" s="76"/>
      <c r="DY9" s="75">
        <f>C9*2.24029/100</f>
        <v>122543.86299999998</v>
      </c>
      <c r="DZ9" s="75">
        <f>D9*2.24029/100</f>
        <v>6967.3018999999995</v>
      </c>
      <c r="EA9" s="75">
        <f>DY9+DZ9</f>
        <v>129511.16489999999</v>
      </c>
      <c r="EB9" s="75">
        <f>DZ$6*$F9</f>
        <v>12652.9786968</v>
      </c>
      <c r="EC9" s="74">
        <f>DZ$6*$G9</f>
        <v>1959.6712746</v>
      </c>
      <c r="ED9" s="76"/>
      <c r="EE9" s="75">
        <f>C9*0.63958/100</f>
        <v>34985.026</v>
      </c>
      <c r="EF9" s="75">
        <f>D9*0.63958/100</f>
        <v>1989.0938</v>
      </c>
      <c r="EG9" s="75">
        <f>EE9+EF9</f>
        <v>36974.1198</v>
      </c>
      <c r="EH9" s="75">
        <f>EF$6*$F9</f>
        <v>3612.2966736</v>
      </c>
      <c r="EI9" s="74">
        <f>EF$6*$G9</f>
        <v>559.4662092</v>
      </c>
      <c r="EJ9" s="76"/>
      <c r="EK9" s="75">
        <f>C9*0.00642/100</f>
        <v>351.17400000000004</v>
      </c>
      <c r="EL9" s="75">
        <f>D9*0.00642/100</f>
        <v>19.9662</v>
      </c>
      <c r="EM9" s="75">
        <f>EK9+EL9</f>
        <v>371.14020000000005</v>
      </c>
      <c r="EN9" s="75">
        <f>EL$6*$F9</f>
        <v>36.2596464</v>
      </c>
      <c r="EO9" s="74">
        <f>EL$6*$G9</f>
        <v>5.6158308</v>
      </c>
      <c r="EP9" s="76"/>
      <c r="EQ9" s="75">
        <f>C9*0.01192/100</f>
        <v>652.024</v>
      </c>
      <c r="ER9" s="75">
        <f>D9*0.01192/100</f>
        <v>37.0712</v>
      </c>
      <c r="ES9" s="75">
        <f>EQ9+ER9</f>
        <v>689.0952</v>
      </c>
      <c r="ET9" s="75">
        <f>ER$6*$F9</f>
        <v>67.3232064</v>
      </c>
      <c r="EU9" s="74">
        <f>ER$6*$G9</f>
        <v>10.4269008</v>
      </c>
      <c r="EV9" s="76"/>
      <c r="EW9" s="75">
        <f>C9*2.15476/100</f>
        <v>117865.37199999999</v>
      </c>
      <c r="EX9" s="75">
        <f>D9*2.15476/100</f>
        <v>6701.3036</v>
      </c>
      <c r="EY9" s="75">
        <f>EW9+EX9</f>
        <v>124566.67559999999</v>
      </c>
      <c r="EZ9" s="75">
        <f>EX$6*$F9</f>
        <v>12169.9120992</v>
      </c>
      <c r="FA9" s="74">
        <f>EX$6*$G9</f>
        <v>1884.8547624</v>
      </c>
      <c r="FB9" s="76"/>
      <c r="FC9" s="75">
        <f>C9*4.00516/100</f>
        <v>219082.25199999998</v>
      </c>
      <c r="FD9" s="75">
        <f>D9*4.00516/100</f>
        <v>12456.0476</v>
      </c>
      <c r="FE9" s="75">
        <f>FC9+FD9</f>
        <v>231538.29959999997</v>
      </c>
      <c r="FF9" s="75">
        <f>FD$6*$F9</f>
        <v>22620.8232672</v>
      </c>
      <c r="FG9" s="74">
        <f>FD$6*$G9</f>
        <v>3503.4736583999997</v>
      </c>
      <c r="FH9" s="76"/>
      <c r="FI9" s="77"/>
      <c r="FJ9" s="75"/>
      <c r="FK9" s="75"/>
      <c r="FL9" s="75"/>
      <c r="FM9" s="74">
        <f>FJ$6*$G9</f>
        <v>0</v>
      </c>
    </row>
    <row r="10" spans="1:169" s="52" customFormat="1" ht="12.75">
      <c r="A10" s="51">
        <v>45200</v>
      </c>
      <c r="C10" s="36"/>
      <c r="D10" s="36">
        <v>174250</v>
      </c>
      <c r="E10" s="74">
        <f>SUM(C10:D10)</f>
        <v>174250</v>
      </c>
      <c r="F10" s="74">
        <v>564792</v>
      </c>
      <c r="G10" s="74">
        <v>87474</v>
      </c>
      <c r="H10" s="76"/>
      <c r="I10" s="76">
        <f>'2021A Academic'!I10</f>
        <v>0</v>
      </c>
      <c r="J10" s="76">
        <f>'2021A Academic'!J10</f>
        <v>94587.41307500002</v>
      </c>
      <c r="K10" s="76">
        <f>I10+J10</f>
        <v>94587.41307500002</v>
      </c>
      <c r="L10" s="76">
        <f>'2021A Academic'!L10</f>
        <v>306583.7257128</v>
      </c>
      <c r="M10" s="76">
        <f>'2021A Academic'!M10</f>
        <v>47483.1527766</v>
      </c>
      <c r="N10" s="76"/>
      <c r="O10" s="75">
        <f t="shared" si="0"/>
        <v>0</v>
      </c>
      <c r="P10" s="77">
        <f t="shared" si="0"/>
        <v>79662.58692499998</v>
      </c>
      <c r="Q10" s="75">
        <f>O10+P10</f>
        <v>79662.58692499998</v>
      </c>
      <c r="R10" s="75">
        <f t="shared" si="1"/>
        <v>258208.27428720007</v>
      </c>
      <c r="S10" s="75">
        <f t="shared" si="1"/>
        <v>39990.8472234</v>
      </c>
      <c r="T10" s="76"/>
      <c r="U10" s="75"/>
      <c r="V10" s="74">
        <f>D10*8.1724/100</f>
        <v>14240.407</v>
      </c>
      <c r="W10" s="75">
        <f>U10+V10</f>
        <v>14240.407</v>
      </c>
      <c r="X10" s="75">
        <f>V$6*$F10</f>
        <v>46157.061408</v>
      </c>
      <c r="Y10" s="74">
        <f>V$6*$G10</f>
        <v>7148.725176000001</v>
      </c>
      <c r="Z10" s="76"/>
      <c r="AA10" s="75"/>
      <c r="AB10" s="75">
        <f>D10*5.95646/100</f>
        <v>10379.13155</v>
      </c>
      <c r="AC10" s="75">
        <f>AA10+AB10</f>
        <v>10379.13155</v>
      </c>
      <c r="AD10" s="75">
        <f>AB$6*$F10</f>
        <v>33641.6095632</v>
      </c>
      <c r="AE10" s="74">
        <f>AB$6*$G10</f>
        <v>5210.353820400001</v>
      </c>
      <c r="AF10" s="76"/>
      <c r="AG10" s="75"/>
      <c r="AH10" s="75">
        <f>D10*3.15804/100</f>
        <v>5502.8847000000005</v>
      </c>
      <c r="AI10" s="75">
        <f>AG10+AH10</f>
        <v>5502.8847000000005</v>
      </c>
      <c r="AJ10" s="75">
        <f>AH$6*$F10</f>
        <v>17836.3572768</v>
      </c>
      <c r="AK10" s="74">
        <f>AH$6*$G10</f>
        <v>2762.4639096</v>
      </c>
      <c r="AL10" s="76"/>
      <c r="AM10" s="75"/>
      <c r="AN10" s="75">
        <f>D10*2.2968/100</f>
        <v>4002.1740000000004</v>
      </c>
      <c r="AO10" s="75">
        <f>AM10+AN10</f>
        <v>4002.1740000000004</v>
      </c>
      <c r="AP10" s="75">
        <f>AN$6*$F10</f>
        <v>12972.142656</v>
      </c>
      <c r="AQ10" s="74">
        <f>AN$6*$G10</f>
        <v>2009.1028319999998</v>
      </c>
      <c r="AR10" s="76"/>
      <c r="AS10" s="75"/>
      <c r="AT10" s="75">
        <f>D10*0.26309/100</f>
        <v>458.43432499999994</v>
      </c>
      <c r="AU10" s="75">
        <f>AS10+AT10</f>
        <v>458.43432499999994</v>
      </c>
      <c r="AV10" s="75">
        <f>AT$6*$F10</f>
        <v>1485.9112728</v>
      </c>
      <c r="AW10" s="74">
        <f>AT$6*$G10</f>
        <v>230.1353466</v>
      </c>
      <c r="AX10" s="76"/>
      <c r="AY10" s="75"/>
      <c r="AZ10" s="75">
        <f>D10*4.16229/100</f>
        <v>7252.790325</v>
      </c>
      <c r="BA10" s="75">
        <f>AY10+AZ10</f>
        <v>7252.790325</v>
      </c>
      <c r="BB10" s="75">
        <f>AZ$6*$F10</f>
        <v>23508.280936799998</v>
      </c>
      <c r="BC10" s="74">
        <f>AZ$6*$G10</f>
        <v>3640.9215545999996</v>
      </c>
      <c r="BD10" s="76"/>
      <c r="BE10" s="75"/>
      <c r="BF10" s="75">
        <f>D10*0.45121/100</f>
        <v>786.233425</v>
      </c>
      <c r="BG10" s="75">
        <f>BE10+BF10</f>
        <v>786.233425</v>
      </c>
      <c r="BH10" s="75">
        <f>BF$6*$F10</f>
        <v>2548.3979832</v>
      </c>
      <c r="BI10" s="74">
        <f>BF$6*$G10</f>
        <v>394.6914354</v>
      </c>
      <c r="BJ10" s="76"/>
      <c r="BK10" s="75"/>
      <c r="BL10" s="75">
        <f>D10*1.41147/100</f>
        <v>2459.4864749999997</v>
      </c>
      <c r="BM10" s="75">
        <f>BK10+BL10</f>
        <v>2459.4864749999997</v>
      </c>
      <c r="BN10" s="75">
        <f>BL$6*$F10</f>
        <v>7971.869642400001</v>
      </c>
      <c r="BO10" s="74">
        <f>BL$6*$G10</f>
        <v>1234.6692678000002</v>
      </c>
      <c r="BP10" s="76"/>
      <c r="BQ10" s="75"/>
      <c r="BR10" s="75">
        <f>D10*0.71579/100</f>
        <v>1247.264075</v>
      </c>
      <c r="BS10" s="75">
        <f>BQ10+BR10</f>
        <v>1247.264075</v>
      </c>
      <c r="BT10" s="75">
        <f>BR$6*$F10</f>
        <v>4042.7246568</v>
      </c>
      <c r="BU10" s="74">
        <f>BR$6*$G10</f>
        <v>626.1301446</v>
      </c>
      <c r="BV10" s="76"/>
      <c r="BW10" s="75"/>
      <c r="BX10" s="75">
        <f>D10*0.13901/100</f>
        <v>242.224925</v>
      </c>
      <c r="BY10" s="75">
        <f>BW10+BX10</f>
        <v>242.224925</v>
      </c>
      <c r="BZ10" s="75">
        <f>BX$6*$F10</f>
        <v>785.1173592</v>
      </c>
      <c r="CA10" s="74">
        <f>BX$6*$G10</f>
        <v>121.5976074</v>
      </c>
      <c r="CB10" s="76"/>
      <c r="CC10" s="75"/>
      <c r="CD10" s="75">
        <f>D10*0.55234/100</f>
        <v>962.4524500000001</v>
      </c>
      <c r="CE10" s="75">
        <f>CC10+CD10</f>
        <v>962.4524500000001</v>
      </c>
      <c r="CF10" s="75">
        <f>CD$6*$F10</f>
        <v>3119.5721328000004</v>
      </c>
      <c r="CG10" s="74">
        <f>CD$6*$G10</f>
        <v>483.1538916</v>
      </c>
      <c r="CH10" s="76"/>
      <c r="CI10" s="75"/>
      <c r="CJ10" s="75">
        <f>D10*1.34713/100</f>
        <v>2347.374025</v>
      </c>
      <c r="CK10" s="75">
        <f>CI10+CJ10</f>
        <v>2347.374025</v>
      </c>
      <c r="CL10" s="75">
        <f>CJ$6*$F10</f>
        <v>7608.4824696000005</v>
      </c>
      <c r="CM10" s="74">
        <f>CJ$6*$G10</f>
        <v>1178.3884962</v>
      </c>
      <c r="CN10" s="76"/>
      <c r="CO10" s="75"/>
      <c r="CP10" s="75">
        <f>D10*3.01524/100</f>
        <v>5254.0557</v>
      </c>
      <c r="CQ10" s="75">
        <f>CO10+CP10</f>
        <v>5254.0557</v>
      </c>
      <c r="CR10" s="75">
        <f>CP$6*$F10</f>
        <v>17029.8343008</v>
      </c>
      <c r="CS10" s="74">
        <f>CP$6*$G10</f>
        <v>2637.5510375999997</v>
      </c>
      <c r="CT10" s="76"/>
      <c r="CU10" s="75"/>
      <c r="CV10" s="75">
        <f>D10*0.45619/100</f>
        <v>794.911075</v>
      </c>
      <c r="CW10" s="75">
        <f>CU10+CV10</f>
        <v>794.911075</v>
      </c>
      <c r="CX10" s="75">
        <f>CV$6*$F10</f>
        <v>2576.5246248</v>
      </c>
      <c r="CY10" s="74">
        <f>CV$6*$G10</f>
        <v>399.04764059999997</v>
      </c>
      <c r="CZ10" s="76"/>
      <c r="DA10" s="75"/>
      <c r="DB10" s="75">
        <f>D10*1.31079/100</f>
        <v>2284.0515749999995</v>
      </c>
      <c r="DC10" s="75">
        <f>DA10+DB10</f>
        <v>2284.0515749999995</v>
      </c>
      <c r="DD10" s="75">
        <f>DB$6*$F10</f>
        <v>7403.237056800001</v>
      </c>
      <c r="DE10" s="74">
        <f>DB$6*$G10</f>
        <v>1146.6004446</v>
      </c>
      <c r="DF10" s="76"/>
      <c r="DG10" s="75"/>
      <c r="DH10" s="75">
        <f>D10*0.05051/100</f>
        <v>88.013675</v>
      </c>
      <c r="DI10" s="75">
        <f>DG10+DH10</f>
        <v>88.013675</v>
      </c>
      <c r="DJ10" s="75">
        <f>DH$6*$F10</f>
        <v>285.27643919999997</v>
      </c>
      <c r="DK10" s="74">
        <f>DH$6*$G10</f>
        <v>44.1831174</v>
      </c>
      <c r="DL10" s="76"/>
      <c r="DM10" s="87"/>
      <c r="DN10" s="87">
        <f>D10*2.76518/100</f>
        <v>4818.32615</v>
      </c>
      <c r="DO10" s="87">
        <f>DM10+DN10</f>
        <v>4818.32615</v>
      </c>
      <c r="DP10" s="87">
        <f>DN$6*$F10</f>
        <v>15617.5154256</v>
      </c>
      <c r="DQ10" s="89">
        <f>DN$6*$G10</f>
        <v>2418.8135532</v>
      </c>
      <c r="DR10" s="76"/>
      <c r="DS10" s="75"/>
      <c r="DT10" s="75">
        <f>D10*0.43534/100</f>
        <v>758.5799499999999</v>
      </c>
      <c r="DU10" s="75">
        <f>DS10+DT10</f>
        <v>758.5799499999999</v>
      </c>
      <c r="DV10" s="75">
        <f>DT$6*$F10</f>
        <v>2458.7654928</v>
      </c>
      <c r="DW10" s="74">
        <f>DT$6*$G10</f>
        <v>380.8093116</v>
      </c>
      <c r="DX10" s="76"/>
      <c r="DY10" s="75"/>
      <c r="DZ10" s="75">
        <f>D10*2.24029/100</f>
        <v>3903.705325</v>
      </c>
      <c r="EA10" s="75">
        <f>DY10+DZ10</f>
        <v>3903.705325</v>
      </c>
      <c r="EB10" s="75">
        <f>DZ$6*$F10</f>
        <v>12652.9786968</v>
      </c>
      <c r="EC10" s="74">
        <f>DZ$6*$G10</f>
        <v>1959.6712746</v>
      </c>
      <c r="ED10" s="76"/>
      <c r="EE10" s="75"/>
      <c r="EF10" s="75">
        <f>D10*0.63958/100</f>
        <v>1114.46815</v>
      </c>
      <c r="EG10" s="75">
        <f>EE10+EF10</f>
        <v>1114.46815</v>
      </c>
      <c r="EH10" s="75">
        <f>EF$6*$F10</f>
        <v>3612.2966736</v>
      </c>
      <c r="EI10" s="74">
        <f>EF$6*$G10</f>
        <v>559.4662092</v>
      </c>
      <c r="EJ10" s="76"/>
      <c r="EK10" s="75"/>
      <c r="EL10" s="75">
        <f>D10*0.00642/100</f>
        <v>11.186850000000002</v>
      </c>
      <c r="EM10" s="75">
        <f>EK10+EL10</f>
        <v>11.186850000000002</v>
      </c>
      <c r="EN10" s="75">
        <f>EL$6*$F10</f>
        <v>36.2596464</v>
      </c>
      <c r="EO10" s="74">
        <f>EL$6*$G10</f>
        <v>5.6158308</v>
      </c>
      <c r="EP10" s="76"/>
      <c r="EQ10" s="75"/>
      <c r="ER10" s="75">
        <f>D10*0.01192/100</f>
        <v>20.770599999999998</v>
      </c>
      <c r="ES10" s="75">
        <f>EQ10+ER10</f>
        <v>20.770599999999998</v>
      </c>
      <c r="ET10" s="75">
        <f>ER$6*$F10</f>
        <v>67.3232064</v>
      </c>
      <c r="EU10" s="74">
        <f>ER$6*$G10</f>
        <v>10.4269008</v>
      </c>
      <c r="EV10" s="76"/>
      <c r="EW10" s="75"/>
      <c r="EX10" s="75">
        <f>D10*2.15476/100</f>
        <v>3754.6693</v>
      </c>
      <c r="EY10" s="75">
        <f>EW10+EX10</f>
        <v>3754.6693</v>
      </c>
      <c r="EZ10" s="75">
        <f>EX$6*$F10</f>
        <v>12169.9120992</v>
      </c>
      <c r="FA10" s="74">
        <f>EX$6*$G10</f>
        <v>1884.8547624</v>
      </c>
      <c r="FB10" s="76"/>
      <c r="FC10" s="75"/>
      <c r="FD10" s="75">
        <f>D10*4.00516/100</f>
        <v>6978.9913</v>
      </c>
      <c r="FE10" s="75">
        <f>FC10+FD10</f>
        <v>6978.9913</v>
      </c>
      <c r="FF10" s="75">
        <f>FD$6*$F10</f>
        <v>22620.8232672</v>
      </c>
      <c r="FG10" s="74">
        <f>FD$6*$G10</f>
        <v>3503.4736583999997</v>
      </c>
      <c r="FH10" s="76"/>
      <c r="FI10" s="77"/>
      <c r="FJ10" s="75"/>
      <c r="FK10" s="75"/>
      <c r="FL10" s="75"/>
      <c r="FM10" s="74">
        <f>FJ$6*$G10</f>
        <v>0</v>
      </c>
    </row>
    <row r="11" spans="1:169" s="52" customFormat="1" ht="12.75">
      <c r="A11" s="51">
        <v>45383</v>
      </c>
      <c r="C11" s="36">
        <v>6970000</v>
      </c>
      <c r="D11" s="36">
        <v>174250</v>
      </c>
      <c r="E11" s="74">
        <f>SUM(C11:D11)</f>
        <v>7144250</v>
      </c>
      <c r="F11" s="74">
        <v>564792</v>
      </c>
      <c r="G11" s="74">
        <v>87474</v>
      </c>
      <c r="H11" s="76"/>
      <c r="I11" s="76">
        <f>'2021A Academic'!I11</f>
        <v>3783496.5230000005</v>
      </c>
      <c r="J11" s="76">
        <f>'2021A Academic'!J11</f>
        <v>94587.41307500002</v>
      </c>
      <c r="K11" s="76">
        <f>I11+J11</f>
        <v>3878083.9360750006</v>
      </c>
      <c r="L11" s="76">
        <f>'2021A Academic'!L11</f>
        <v>306583.7257128</v>
      </c>
      <c r="M11" s="76">
        <f>'2021A Academic'!M11</f>
        <v>47483.1527766</v>
      </c>
      <c r="N11" s="76"/>
      <c r="O11" s="75">
        <f t="shared" si="0"/>
        <v>3186503.476999999</v>
      </c>
      <c r="P11" s="77">
        <f t="shared" si="0"/>
        <v>79662.58692499998</v>
      </c>
      <c r="Q11" s="75">
        <f>O11+P11</f>
        <v>3266166.063924999</v>
      </c>
      <c r="R11" s="75">
        <f t="shared" si="1"/>
        <v>258208.27428720007</v>
      </c>
      <c r="S11" s="75">
        <f t="shared" si="1"/>
        <v>39990.8472234</v>
      </c>
      <c r="T11" s="76"/>
      <c r="U11" s="75">
        <f>C11*8.1724/100</f>
        <v>569616.28</v>
      </c>
      <c r="V11" s="74">
        <f>D11*8.1724/100</f>
        <v>14240.407</v>
      </c>
      <c r="W11" s="75">
        <f>U11+V11</f>
        <v>583856.687</v>
      </c>
      <c r="X11" s="75">
        <f>V$6*$F11</f>
        <v>46157.061408</v>
      </c>
      <c r="Y11" s="74">
        <f>V$6*$G11</f>
        <v>7148.725176000001</v>
      </c>
      <c r="Z11" s="76"/>
      <c r="AA11" s="75">
        <f>C11*5.95646/100</f>
        <v>415165.26199999993</v>
      </c>
      <c r="AB11" s="75">
        <f>D11*5.95646/100</f>
        <v>10379.13155</v>
      </c>
      <c r="AC11" s="75">
        <f>AA11+AB11</f>
        <v>425544.3935499999</v>
      </c>
      <c r="AD11" s="75">
        <f>AB$6*$F11</f>
        <v>33641.6095632</v>
      </c>
      <c r="AE11" s="74">
        <f>AB$6*$G11</f>
        <v>5210.353820400001</v>
      </c>
      <c r="AF11" s="76"/>
      <c r="AG11" s="75">
        <f>C11*3.15804/100</f>
        <v>220115.388</v>
      </c>
      <c r="AH11" s="75">
        <f>D11*3.15804/100</f>
        <v>5502.8847000000005</v>
      </c>
      <c r="AI11" s="75">
        <f>AG11+AH11</f>
        <v>225618.2727</v>
      </c>
      <c r="AJ11" s="75">
        <f>AH$6*$F11</f>
        <v>17836.3572768</v>
      </c>
      <c r="AK11" s="74">
        <f>AH$6*$G11</f>
        <v>2762.4639096</v>
      </c>
      <c r="AL11" s="76"/>
      <c r="AM11" s="75">
        <f>C11*2.2968/100</f>
        <v>160086.96000000002</v>
      </c>
      <c r="AN11" s="75">
        <f>D11*2.2968/100</f>
        <v>4002.1740000000004</v>
      </c>
      <c r="AO11" s="75">
        <f>AM11+AN11</f>
        <v>164089.13400000002</v>
      </c>
      <c r="AP11" s="75">
        <f>AN$6*$F11</f>
        <v>12972.142656</v>
      </c>
      <c r="AQ11" s="74">
        <f>AN$6*$G11</f>
        <v>2009.1028319999998</v>
      </c>
      <c r="AR11" s="76"/>
      <c r="AS11" s="75">
        <f>C11*0.26309/100</f>
        <v>18337.373</v>
      </c>
      <c r="AT11" s="75">
        <f>D11*0.26309/100</f>
        <v>458.43432499999994</v>
      </c>
      <c r="AU11" s="75">
        <f>AS11+AT11</f>
        <v>18795.807324999998</v>
      </c>
      <c r="AV11" s="75">
        <f>AT$6*$F11</f>
        <v>1485.9112728</v>
      </c>
      <c r="AW11" s="74">
        <f>AT$6*$G11</f>
        <v>230.1353466</v>
      </c>
      <c r="AX11" s="76"/>
      <c r="AY11" s="75">
        <f>C11*4.16229/100</f>
        <v>290111.61299999995</v>
      </c>
      <c r="AZ11" s="75">
        <f>D11*4.16229/100</f>
        <v>7252.790325</v>
      </c>
      <c r="BA11" s="75">
        <f>AY11+AZ11</f>
        <v>297364.40332499996</v>
      </c>
      <c r="BB11" s="75">
        <f>AZ$6*$F11</f>
        <v>23508.280936799998</v>
      </c>
      <c r="BC11" s="74">
        <f>AZ$6*$G11</f>
        <v>3640.9215545999996</v>
      </c>
      <c r="BD11" s="76"/>
      <c r="BE11" s="75">
        <f>C11*0.45121/100</f>
        <v>31449.337000000003</v>
      </c>
      <c r="BF11" s="75">
        <f>D11*0.45121/100</f>
        <v>786.233425</v>
      </c>
      <c r="BG11" s="75">
        <f>BE11+BF11</f>
        <v>32235.570425</v>
      </c>
      <c r="BH11" s="75">
        <f>BF$6*$F11</f>
        <v>2548.3979832</v>
      </c>
      <c r="BI11" s="74">
        <f>BF$6*$G11</f>
        <v>394.6914354</v>
      </c>
      <c r="BJ11" s="76"/>
      <c r="BK11" s="75">
        <f>C11*1.41147/100</f>
        <v>98379.459</v>
      </c>
      <c r="BL11" s="75">
        <f>D11*1.41147/100</f>
        <v>2459.4864749999997</v>
      </c>
      <c r="BM11" s="75">
        <f>BK11+BL11</f>
        <v>100838.945475</v>
      </c>
      <c r="BN11" s="75">
        <f>BL$6*$F11</f>
        <v>7971.869642400001</v>
      </c>
      <c r="BO11" s="74">
        <f>BL$6*$G11</f>
        <v>1234.6692678000002</v>
      </c>
      <c r="BP11" s="76"/>
      <c r="BQ11" s="75">
        <f>C11*0.71579/100</f>
        <v>49890.562999999995</v>
      </c>
      <c r="BR11" s="75">
        <f>D11*0.71579/100</f>
        <v>1247.264075</v>
      </c>
      <c r="BS11" s="75">
        <f>BQ11+BR11</f>
        <v>51137.827074999994</v>
      </c>
      <c r="BT11" s="75">
        <f>BR$6*$F11</f>
        <v>4042.7246568</v>
      </c>
      <c r="BU11" s="74">
        <f>BR$6*$G11</f>
        <v>626.1301446</v>
      </c>
      <c r="BV11" s="76"/>
      <c r="BW11" s="75">
        <f>C11*0.13901/100</f>
        <v>9688.997</v>
      </c>
      <c r="BX11" s="75">
        <f>D11*0.13901/100</f>
        <v>242.224925</v>
      </c>
      <c r="BY11" s="75">
        <f>BW11+BX11</f>
        <v>9931.221925</v>
      </c>
      <c r="BZ11" s="75">
        <f>BX$6*$F11</f>
        <v>785.1173592</v>
      </c>
      <c r="CA11" s="74">
        <f>BX$6*$G11</f>
        <v>121.5976074</v>
      </c>
      <c r="CB11" s="76"/>
      <c r="CC11" s="75">
        <f>C11*0.55234/100</f>
        <v>38498.098000000005</v>
      </c>
      <c r="CD11" s="75">
        <f>D11*0.55234/100</f>
        <v>962.4524500000001</v>
      </c>
      <c r="CE11" s="75">
        <f>CC11+CD11</f>
        <v>39460.55045</v>
      </c>
      <c r="CF11" s="75">
        <f>CD$6*$F11</f>
        <v>3119.5721328000004</v>
      </c>
      <c r="CG11" s="74">
        <f>CD$6*$G11</f>
        <v>483.1538916</v>
      </c>
      <c r="CH11" s="76"/>
      <c r="CI11" s="75">
        <f>C11*1.34713/100</f>
        <v>93894.961</v>
      </c>
      <c r="CJ11" s="75">
        <f>D11*1.34713/100</f>
        <v>2347.374025</v>
      </c>
      <c r="CK11" s="75">
        <f>CI11+CJ11</f>
        <v>96242.335025</v>
      </c>
      <c r="CL11" s="75">
        <f>CJ$6*$F11</f>
        <v>7608.4824696000005</v>
      </c>
      <c r="CM11" s="74">
        <f>CJ$6*$G11</f>
        <v>1178.3884962</v>
      </c>
      <c r="CN11" s="76"/>
      <c r="CO11" s="75">
        <f>C11*3.01524/100</f>
        <v>210162.228</v>
      </c>
      <c r="CP11" s="75">
        <f>D11*3.01524/100</f>
        <v>5254.0557</v>
      </c>
      <c r="CQ11" s="75">
        <f>CO11+CP11</f>
        <v>215416.2837</v>
      </c>
      <c r="CR11" s="75">
        <f>CP$6*$F11</f>
        <v>17029.8343008</v>
      </c>
      <c r="CS11" s="74">
        <f>CP$6*$G11</f>
        <v>2637.5510375999997</v>
      </c>
      <c r="CT11" s="76"/>
      <c r="CU11" s="75">
        <f>C11*0.45619/100</f>
        <v>31796.443</v>
      </c>
      <c r="CV11" s="75">
        <f>D11*0.45619/100</f>
        <v>794.911075</v>
      </c>
      <c r="CW11" s="75">
        <f>CU11+CV11</f>
        <v>32591.354075</v>
      </c>
      <c r="CX11" s="75">
        <f>CV$6*$F11</f>
        <v>2576.5246248</v>
      </c>
      <c r="CY11" s="74">
        <f>CV$6*$G11</f>
        <v>399.04764059999997</v>
      </c>
      <c r="CZ11" s="76"/>
      <c r="DA11" s="75">
        <f>C11*1.31079/100</f>
        <v>91362.063</v>
      </c>
      <c r="DB11" s="75">
        <f>D11*1.31079/100</f>
        <v>2284.0515749999995</v>
      </c>
      <c r="DC11" s="75">
        <f>DA11+DB11</f>
        <v>93646.114575</v>
      </c>
      <c r="DD11" s="75">
        <f>DB$6*$F11</f>
        <v>7403.237056800001</v>
      </c>
      <c r="DE11" s="74">
        <f>DB$6*$G11</f>
        <v>1146.6004446</v>
      </c>
      <c r="DF11" s="76"/>
      <c r="DG11" s="75">
        <f>C11*0.05051/100</f>
        <v>3520.547</v>
      </c>
      <c r="DH11" s="75">
        <f>D11*0.05051/100</f>
        <v>88.013675</v>
      </c>
      <c r="DI11" s="75">
        <f>DG11+DH11</f>
        <v>3608.560675</v>
      </c>
      <c r="DJ11" s="75">
        <f>DH$6*$F11</f>
        <v>285.27643919999997</v>
      </c>
      <c r="DK11" s="74">
        <f>DH$6*$G11</f>
        <v>44.1831174</v>
      </c>
      <c r="DL11" s="76"/>
      <c r="DM11" s="87">
        <f>C11*2.76518/100</f>
        <v>192733.046</v>
      </c>
      <c r="DN11" s="87">
        <f>D11*2.76518/100</f>
        <v>4818.32615</v>
      </c>
      <c r="DO11" s="87">
        <f>DM11+DN11</f>
        <v>197551.37215</v>
      </c>
      <c r="DP11" s="87">
        <f>DN$6*$F11</f>
        <v>15617.5154256</v>
      </c>
      <c r="DQ11" s="89">
        <f>DN$6*$G11</f>
        <v>2418.8135532</v>
      </c>
      <c r="DR11" s="76"/>
      <c r="DS11" s="75">
        <f>C11*0.43534/100</f>
        <v>30343.197999999997</v>
      </c>
      <c r="DT11" s="75">
        <f>D11*0.43534/100</f>
        <v>758.5799499999999</v>
      </c>
      <c r="DU11" s="75">
        <f>DS11+DT11</f>
        <v>31101.777949999996</v>
      </c>
      <c r="DV11" s="75">
        <f>DT$6*$F11</f>
        <v>2458.7654928</v>
      </c>
      <c r="DW11" s="74">
        <f>DT$6*$G11</f>
        <v>380.8093116</v>
      </c>
      <c r="DX11" s="76"/>
      <c r="DY11" s="75">
        <f>C11*2.24029/100</f>
        <v>156148.213</v>
      </c>
      <c r="DZ11" s="75">
        <f>D11*2.24029/100</f>
        <v>3903.705325</v>
      </c>
      <c r="EA11" s="75">
        <f>DY11+DZ11</f>
        <v>160051.91832499998</v>
      </c>
      <c r="EB11" s="75">
        <f>DZ$6*$F11</f>
        <v>12652.9786968</v>
      </c>
      <c r="EC11" s="74">
        <f>DZ$6*$G11</f>
        <v>1959.6712746</v>
      </c>
      <c r="ED11" s="76"/>
      <c r="EE11" s="75">
        <f>C11*0.63958/100</f>
        <v>44578.726</v>
      </c>
      <c r="EF11" s="75">
        <f>D11*0.63958/100</f>
        <v>1114.46815</v>
      </c>
      <c r="EG11" s="75">
        <f>EE11+EF11</f>
        <v>45693.19415</v>
      </c>
      <c r="EH11" s="75">
        <f>EF$6*$F11</f>
        <v>3612.2966736</v>
      </c>
      <c r="EI11" s="74">
        <f>EF$6*$G11</f>
        <v>559.4662092</v>
      </c>
      <c r="EJ11" s="76"/>
      <c r="EK11" s="75">
        <f>C11*0.00642/100</f>
        <v>447.474</v>
      </c>
      <c r="EL11" s="75">
        <f>D11*0.00642/100</f>
        <v>11.186850000000002</v>
      </c>
      <c r="EM11" s="75">
        <f>EK11+EL11</f>
        <v>458.66085</v>
      </c>
      <c r="EN11" s="75">
        <f>EL$6*$F11</f>
        <v>36.2596464</v>
      </c>
      <c r="EO11" s="74">
        <f>EL$6*$G11</f>
        <v>5.6158308</v>
      </c>
      <c r="EP11" s="76"/>
      <c r="EQ11" s="75">
        <f>C11*0.01192/100</f>
        <v>830.824</v>
      </c>
      <c r="ER11" s="75">
        <f>D11*0.01192/100</f>
        <v>20.770599999999998</v>
      </c>
      <c r="ES11" s="75">
        <f>EQ11+ER11</f>
        <v>851.5945999999999</v>
      </c>
      <c r="ET11" s="75">
        <f>ER$6*$F11</f>
        <v>67.3232064</v>
      </c>
      <c r="EU11" s="74">
        <f>ER$6*$G11</f>
        <v>10.4269008</v>
      </c>
      <c r="EV11" s="76"/>
      <c r="EW11" s="75">
        <f>C11*2.15476/100</f>
        <v>150186.772</v>
      </c>
      <c r="EX11" s="75">
        <f>D11*2.15476/100</f>
        <v>3754.6693</v>
      </c>
      <c r="EY11" s="75">
        <f>EW11+EX11</f>
        <v>153941.4413</v>
      </c>
      <c r="EZ11" s="75">
        <f>EX$6*$F11</f>
        <v>12169.9120992</v>
      </c>
      <c r="FA11" s="74">
        <f>EX$6*$G11</f>
        <v>1884.8547624</v>
      </c>
      <c r="FB11" s="76"/>
      <c r="FC11" s="75">
        <f>C11*4.00516/100</f>
        <v>279159.652</v>
      </c>
      <c r="FD11" s="75">
        <f>D11*4.00516/100</f>
        <v>6978.9913</v>
      </c>
      <c r="FE11" s="75">
        <f>FC11+FD11</f>
        <v>286138.6433</v>
      </c>
      <c r="FF11" s="75">
        <f>FD$6*$F11</f>
        <v>22620.8232672</v>
      </c>
      <c r="FG11" s="74">
        <f>FD$6*$G11</f>
        <v>3503.4736583999997</v>
      </c>
      <c r="FH11" s="76"/>
      <c r="FI11" s="77"/>
      <c r="FJ11" s="75"/>
      <c r="FK11" s="75"/>
      <c r="FL11" s="75"/>
      <c r="FM11" s="74">
        <f>FJ$6*$G11</f>
        <v>0</v>
      </c>
    </row>
    <row r="12" spans="3:169" ht="12.75">
      <c r="C12" s="42"/>
      <c r="D12" s="42"/>
      <c r="E12" s="42"/>
      <c r="F12" s="42"/>
      <c r="G12" s="42"/>
      <c r="J12" s="50"/>
      <c r="M12" s="42"/>
      <c r="S12" s="42"/>
      <c r="Y12" s="42"/>
      <c r="AA12" s="33"/>
      <c r="AB12" s="33"/>
      <c r="AE12" s="42"/>
      <c r="AG12" s="33"/>
      <c r="AH12" s="33"/>
      <c r="AI12" s="33"/>
      <c r="AJ12" s="33"/>
      <c r="AK12" s="42"/>
      <c r="AM12" s="20"/>
      <c r="AN12" s="20"/>
      <c r="AO12" s="20"/>
      <c r="AP12" s="20"/>
      <c r="AQ12" s="42"/>
      <c r="AR12" s="33"/>
      <c r="AS12" s="33"/>
      <c r="AT12" s="33"/>
      <c r="AU12" s="33"/>
      <c r="AV12" s="33"/>
      <c r="AW12" s="42"/>
      <c r="AX12" s="33"/>
      <c r="AY12" s="33"/>
      <c r="AZ12" s="33"/>
      <c r="BA12" s="33"/>
      <c r="BB12" s="33"/>
      <c r="BC12" s="42"/>
      <c r="BD12" s="33"/>
      <c r="BE12" s="33"/>
      <c r="BF12" s="33"/>
      <c r="BG12" s="33"/>
      <c r="BH12" s="33"/>
      <c r="BI12" s="42"/>
      <c r="BJ12" s="33"/>
      <c r="BK12" s="33"/>
      <c r="BL12" s="33"/>
      <c r="BM12" s="33"/>
      <c r="BN12" s="33"/>
      <c r="BO12" s="42"/>
      <c r="BP12" s="33"/>
      <c r="BQ12" s="33"/>
      <c r="BR12" s="33"/>
      <c r="BS12" s="33"/>
      <c r="BT12" s="33"/>
      <c r="BU12" s="42"/>
      <c r="BV12" s="33"/>
      <c r="BW12" s="33"/>
      <c r="BX12" s="33"/>
      <c r="BY12" s="33"/>
      <c r="BZ12" s="33"/>
      <c r="CA12" s="42"/>
      <c r="CB12" s="33"/>
      <c r="CC12" s="33"/>
      <c r="CD12" s="33"/>
      <c r="CE12" s="33"/>
      <c r="CF12" s="33"/>
      <c r="CG12" s="42"/>
      <c r="CH12" s="33"/>
      <c r="CI12" s="33"/>
      <c r="CJ12" s="33"/>
      <c r="CK12" s="33"/>
      <c r="CL12" s="33"/>
      <c r="CM12" s="42"/>
      <c r="CN12" s="33"/>
      <c r="CO12" s="33"/>
      <c r="CP12" s="33"/>
      <c r="CQ12" s="33"/>
      <c r="CR12" s="33"/>
      <c r="CS12" s="42"/>
      <c r="CT12" s="33"/>
      <c r="CU12" s="33"/>
      <c r="CV12" s="33"/>
      <c r="CW12" s="33"/>
      <c r="CX12" s="33"/>
      <c r="CY12" s="42"/>
      <c r="CZ12" s="33"/>
      <c r="DA12" s="33"/>
      <c r="DB12" s="33"/>
      <c r="DC12" s="33"/>
      <c r="DD12" s="33"/>
      <c r="DE12" s="42"/>
      <c r="DF12" s="33"/>
      <c r="DG12" s="33"/>
      <c r="DH12" s="33"/>
      <c r="DI12" s="33"/>
      <c r="DJ12" s="33"/>
      <c r="DK12" s="42"/>
      <c r="DL12" s="33"/>
      <c r="DM12" s="90"/>
      <c r="DN12" s="90"/>
      <c r="DO12" s="90"/>
      <c r="DP12" s="90"/>
      <c r="DQ12" s="91"/>
      <c r="DR12" s="33"/>
      <c r="DS12" s="33"/>
      <c r="DT12" s="33"/>
      <c r="DU12" s="33"/>
      <c r="DV12" s="33"/>
      <c r="DW12" s="42"/>
      <c r="DX12" s="33"/>
      <c r="DY12" s="33"/>
      <c r="DZ12" s="33"/>
      <c r="EA12" s="33"/>
      <c r="EB12" s="33"/>
      <c r="EC12" s="42"/>
      <c r="ED12" s="33"/>
      <c r="EE12" s="33"/>
      <c r="EF12" s="33"/>
      <c r="EG12" s="33"/>
      <c r="EH12" s="33"/>
      <c r="EI12" s="42"/>
      <c r="EJ12" s="33"/>
      <c r="EK12" s="33"/>
      <c r="EL12" s="33"/>
      <c r="EM12" s="33"/>
      <c r="EN12" s="33"/>
      <c r="EO12" s="42"/>
      <c r="EP12" s="33"/>
      <c r="EQ12" s="33"/>
      <c r="ER12" s="33"/>
      <c r="ES12" s="33"/>
      <c r="ET12" s="33"/>
      <c r="EU12" s="42"/>
      <c r="EV12" s="33"/>
      <c r="EW12" s="33"/>
      <c r="EX12" s="33"/>
      <c r="EY12" s="33"/>
      <c r="EZ12" s="33"/>
      <c r="FA12" s="42"/>
      <c r="FB12" s="33"/>
      <c r="FC12" s="33"/>
      <c r="FD12" s="33"/>
      <c r="FE12" s="33"/>
      <c r="FF12" s="33"/>
      <c r="FG12" s="42"/>
      <c r="FH12" s="33"/>
      <c r="FI12" s="50"/>
      <c r="FJ12" s="50"/>
      <c r="FK12" s="50"/>
      <c r="FL12" s="50"/>
      <c r="FM12" s="42"/>
    </row>
    <row r="13" spans="1:169" ht="13.5" thickBot="1">
      <c r="A13" s="31" t="s">
        <v>4</v>
      </c>
      <c r="C13" s="49">
        <f>SUM(C8:C12)</f>
        <v>12440000</v>
      </c>
      <c r="D13" s="49">
        <f>SUM(D8:D12)</f>
        <v>970500</v>
      </c>
      <c r="E13" s="49">
        <f>SUM(E8:E12)</f>
        <v>13410500</v>
      </c>
      <c r="F13" s="49">
        <f>SUM(F8:F12)</f>
        <v>2259168</v>
      </c>
      <c r="G13" s="49">
        <f>SUM(G8:G12)</f>
        <v>349896</v>
      </c>
      <c r="I13" s="49">
        <f>SUM(I8:I12)</f>
        <v>6752754.196</v>
      </c>
      <c r="J13" s="49">
        <f>SUM(J8:J12)</f>
        <v>526812.53595</v>
      </c>
      <c r="K13" s="49">
        <f>SUM(K8:K12)</f>
        <v>7279566.73195</v>
      </c>
      <c r="L13" s="49">
        <f>SUM(L8:L12)</f>
        <v>1226334.9028512</v>
      </c>
      <c r="M13" s="49">
        <f>SUM(M8:M12)</f>
        <v>189932.6111064</v>
      </c>
      <c r="O13" s="49">
        <f>SUM(O8:O12)</f>
        <v>5687245.804</v>
      </c>
      <c r="P13" s="49">
        <f>SUM(P8:P12)</f>
        <v>443687.46404999995</v>
      </c>
      <c r="Q13" s="49">
        <f>SUM(Q8:Q12)</f>
        <v>6130933.268049998</v>
      </c>
      <c r="R13" s="49">
        <f>SUM(R8:R12)</f>
        <v>1032833.0971488003</v>
      </c>
      <c r="S13" s="49">
        <f>SUM(S8:S12)</f>
        <v>159963.3888936</v>
      </c>
      <c r="U13" s="49">
        <f>SUM(U8:U12)</f>
        <v>1016646.56</v>
      </c>
      <c r="V13" s="49">
        <f>SUM(V8:V12)</f>
        <v>79313.14199999999</v>
      </c>
      <c r="W13" s="49">
        <f>SUM(W8:W12)</f>
        <v>1095959.702</v>
      </c>
      <c r="X13" s="49">
        <f>SUM(X8:X12)</f>
        <v>184628.245632</v>
      </c>
      <c r="Y13" s="49">
        <f>SUM(Y8:Y12)</f>
        <v>28594.900704000003</v>
      </c>
      <c r="AA13" s="49">
        <f>SUM(AA8:AA12)</f>
        <v>740983.6239999998</v>
      </c>
      <c r="AB13" s="49">
        <f>SUM(AB8:AB12)</f>
        <v>57807.444299999996</v>
      </c>
      <c r="AC13" s="49">
        <f>SUM(AC8:AC12)</f>
        <v>798791.0682999999</v>
      </c>
      <c r="AD13" s="49">
        <f>SUM(AD8:AD12)</f>
        <v>134566.4382528</v>
      </c>
      <c r="AE13" s="49">
        <f>SUM(AE8:AE12)</f>
        <v>20841.415281600002</v>
      </c>
      <c r="AG13" s="49">
        <f>SUM(AG8:AG12)</f>
        <v>392860.176</v>
      </c>
      <c r="AH13" s="49">
        <f>SUM(AH8:AH12)</f>
        <v>30648.7782</v>
      </c>
      <c r="AI13" s="49">
        <f>SUM(AI8:AI12)</f>
        <v>423508.95420000004</v>
      </c>
      <c r="AJ13" s="49">
        <f>SUM(AJ8:AJ12)</f>
        <v>71345.4291072</v>
      </c>
      <c r="AK13" s="49">
        <f>SUM(AK8:AK12)</f>
        <v>11049.8556384</v>
      </c>
      <c r="AM13" s="49">
        <f>SUM(AM8:AM12)</f>
        <v>285721.92000000004</v>
      </c>
      <c r="AN13" s="49">
        <f>SUM(AN8:AN12)</f>
        <v>22290.444</v>
      </c>
      <c r="AO13" s="49">
        <f>SUM(AO8:AO12)</f>
        <v>308012.36400000006</v>
      </c>
      <c r="AP13" s="49">
        <f>SUM(AP8:AP12)</f>
        <v>51888.570624</v>
      </c>
      <c r="AQ13" s="49">
        <f>SUM(AQ8:AQ12)</f>
        <v>8036.411327999999</v>
      </c>
      <c r="AR13" s="33"/>
      <c r="AS13" s="49">
        <f>SUM(AS8:AS12)</f>
        <v>32728.396</v>
      </c>
      <c r="AT13" s="49">
        <f>SUM(AT8:AT12)</f>
        <v>2553.28845</v>
      </c>
      <c r="AU13" s="49">
        <f>SUM(AU8:AU12)</f>
        <v>35281.68445</v>
      </c>
      <c r="AV13" s="49">
        <f>SUM(AV8:AV12)</f>
        <v>5943.6450912</v>
      </c>
      <c r="AW13" s="49">
        <f>SUM(AW8:AW12)</f>
        <v>920.5413864</v>
      </c>
      <c r="AX13" s="33"/>
      <c r="AY13" s="49">
        <f>SUM(AY8:AY12)</f>
        <v>517788.87599999993</v>
      </c>
      <c r="AZ13" s="49">
        <f>SUM(AZ8:AZ12)</f>
        <v>40395.02445</v>
      </c>
      <c r="BA13" s="49">
        <f>SUM(BA8:BA12)</f>
        <v>558183.90045</v>
      </c>
      <c r="BB13" s="49">
        <f>SUM(BB8:BB12)</f>
        <v>94033.12374719999</v>
      </c>
      <c r="BC13" s="49">
        <f>SUM(BC8:BC12)</f>
        <v>14563.686218399998</v>
      </c>
      <c r="BD13" s="33"/>
      <c r="BE13" s="49">
        <f>SUM(BE8:BE12)</f>
        <v>56130.524000000005</v>
      </c>
      <c r="BF13" s="49">
        <f>SUM(BF8:BF12)</f>
        <v>4378.99305</v>
      </c>
      <c r="BG13" s="49">
        <f>SUM(BG8:BG12)</f>
        <v>60509.51705</v>
      </c>
      <c r="BH13" s="49">
        <f>SUM(BH8:BH12)</f>
        <v>10193.5919328</v>
      </c>
      <c r="BI13" s="49">
        <f>SUM(BI8:BI12)</f>
        <v>1578.7657416</v>
      </c>
      <c r="BJ13" s="33"/>
      <c r="BK13" s="49">
        <f>SUM(BK8:BK12)</f>
        <v>175586.86800000002</v>
      </c>
      <c r="BL13" s="49">
        <f>SUM(BL8:BL12)</f>
        <v>13698.31635</v>
      </c>
      <c r="BM13" s="49">
        <f>SUM(BM8:BM12)</f>
        <v>189285.18435</v>
      </c>
      <c r="BN13" s="49">
        <f>SUM(BN8:BN12)</f>
        <v>31887.478569600004</v>
      </c>
      <c r="BO13" s="49">
        <f>SUM(BO8:BO12)</f>
        <v>4938.677071200001</v>
      </c>
      <c r="BP13" s="33"/>
      <c r="BQ13" s="49">
        <f>SUM(BQ8:BQ12)</f>
        <v>89044.276</v>
      </c>
      <c r="BR13" s="49">
        <f>SUM(BR8:BR12)</f>
        <v>6946.7419500000005</v>
      </c>
      <c r="BS13" s="49">
        <f>SUM(BS8:BS12)</f>
        <v>95991.01795</v>
      </c>
      <c r="BT13" s="49">
        <f>SUM(BT8:BT12)</f>
        <v>16170.8986272</v>
      </c>
      <c r="BU13" s="49">
        <f>SUM(BU8:BU12)</f>
        <v>2504.5205784</v>
      </c>
      <c r="BV13" s="33"/>
      <c r="BW13" s="49">
        <f>SUM(BW8:BW12)</f>
        <v>17292.843999999997</v>
      </c>
      <c r="BX13" s="49">
        <f>SUM(BX8:BX12)</f>
        <v>1349.09205</v>
      </c>
      <c r="BY13" s="49">
        <f>SUM(BY8:BY12)</f>
        <v>18641.93605</v>
      </c>
      <c r="BZ13" s="49">
        <f>SUM(BZ8:BZ12)</f>
        <v>3140.4694368</v>
      </c>
      <c r="CA13" s="49">
        <f>SUM(CA8:CA12)</f>
        <v>486.3904296</v>
      </c>
      <c r="CB13" s="33"/>
      <c r="CC13" s="49">
        <f>SUM(CC8:CC12)</f>
        <v>68711.096</v>
      </c>
      <c r="CD13" s="49">
        <f>SUM(CD8:CD12)</f>
        <v>5360.4597</v>
      </c>
      <c r="CE13" s="49">
        <f>SUM(CE8:CE12)</f>
        <v>74071.5557</v>
      </c>
      <c r="CF13" s="49">
        <f>SUM(CF8:CF12)</f>
        <v>12478.288531200002</v>
      </c>
      <c r="CG13" s="49">
        <f>SUM(CG8:CG12)</f>
        <v>1932.6155664</v>
      </c>
      <c r="CH13" s="33"/>
      <c r="CI13" s="49">
        <f>SUM(CI8:CI12)</f>
        <v>167582.972</v>
      </c>
      <c r="CJ13" s="49">
        <f>SUM(CJ8:CJ12)</f>
        <v>13073.896650000002</v>
      </c>
      <c r="CK13" s="49">
        <f>SUM(CK8:CK12)</f>
        <v>180656.86865000002</v>
      </c>
      <c r="CL13" s="49">
        <f>SUM(CL8:CL12)</f>
        <v>30433.929878400002</v>
      </c>
      <c r="CM13" s="49">
        <f>SUM(CM8:CM12)</f>
        <v>4713.5539848</v>
      </c>
      <c r="CN13" s="33"/>
      <c r="CO13" s="49">
        <f>SUM(CO8:CO12)</f>
        <v>375095.856</v>
      </c>
      <c r="CP13" s="49">
        <f>SUM(CP8:CP12)</f>
        <v>29262.9042</v>
      </c>
      <c r="CQ13" s="49">
        <f>SUM(CQ8:CQ12)</f>
        <v>404358.7602</v>
      </c>
      <c r="CR13" s="49">
        <f>SUM(CR8:CR12)</f>
        <v>68119.3372032</v>
      </c>
      <c r="CS13" s="49">
        <f>SUM(CS8:CS12)</f>
        <v>10550.204150399999</v>
      </c>
      <c r="CT13" s="33"/>
      <c r="CU13" s="49">
        <f>SUM(CU8:CU12)</f>
        <v>56750.03599999999</v>
      </c>
      <c r="CV13" s="49">
        <f>SUM(CV8:CV12)</f>
        <v>4427.32395</v>
      </c>
      <c r="CW13" s="49">
        <f>SUM(CW8:CW12)</f>
        <v>61177.35995</v>
      </c>
      <c r="CX13" s="49">
        <f>SUM(CX8:CX12)</f>
        <v>10306.0984992</v>
      </c>
      <c r="CY13" s="49">
        <f>SUM(CY8:CY12)</f>
        <v>1596.1905623999999</v>
      </c>
      <c r="CZ13" s="33"/>
      <c r="DA13" s="49">
        <f>SUM(DA8:DA12)</f>
        <v>163062.276</v>
      </c>
      <c r="DB13" s="49">
        <f>SUM(DB8:DB12)</f>
        <v>12721.216949999998</v>
      </c>
      <c r="DC13" s="49">
        <f>SUM(DC8:DC12)</f>
        <v>175783.49294999999</v>
      </c>
      <c r="DD13" s="49">
        <f>SUM(DD8:DD12)</f>
        <v>29612.948227200002</v>
      </c>
      <c r="DE13" s="49">
        <f>SUM(DE8:DE12)</f>
        <v>4586.4017784</v>
      </c>
      <c r="DF13" s="33"/>
      <c r="DG13" s="49">
        <f>SUM(DG8:DG12)</f>
        <v>6283.4439999999995</v>
      </c>
      <c r="DH13" s="49">
        <f>SUM(DH8:DH12)</f>
        <v>490.19955000000004</v>
      </c>
      <c r="DI13" s="49">
        <f>SUM(DI8:DI12)</f>
        <v>6773.643550000001</v>
      </c>
      <c r="DJ13" s="49">
        <f>SUM(DJ8:DJ12)</f>
        <v>1141.1057567999999</v>
      </c>
      <c r="DK13" s="49">
        <f>SUM(DK8:DK12)</f>
        <v>176.7324696</v>
      </c>
      <c r="DL13" s="33"/>
      <c r="DM13" s="92">
        <f>SUM(DM8:DM12)</f>
        <v>343988.392</v>
      </c>
      <c r="DN13" s="92">
        <f>SUM(DN8:DN12)</f>
        <v>26836.071900000003</v>
      </c>
      <c r="DO13" s="92">
        <f>SUM(DO8:DO12)</f>
        <v>370824.46390000003</v>
      </c>
      <c r="DP13" s="92">
        <f>SUM(DP8:DP12)</f>
        <v>62470.0617024</v>
      </c>
      <c r="DQ13" s="92">
        <f>SUM(DQ8:DQ12)</f>
        <v>9675.2542128</v>
      </c>
      <c r="DR13" s="33"/>
      <c r="DS13" s="49">
        <f>SUM(DS8:DS12)</f>
        <v>54156.295999999995</v>
      </c>
      <c r="DT13" s="49">
        <f>SUM(DT8:DT12)</f>
        <v>4224.9747</v>
      </c>
      <c r="DU13" s="49">
        <f>SUM(DU8:DU12)</f>
        <v>58381.270699999994</v>
      </c>
      <c r="DV13" s="49">
        <f>SUM(DV8:DV12)</f>
        <v>9835.0619712</v>
      </c>
      <c r="DW13" s="49">
        <f>SUM(DW8:DW12)</f>
        <v>1523.2372464</v>
      </c>
      <c r="DX13" s="33"/>
      <c r="DY13" s="49">
        <f>SUM(DY8:DY12)</f>
        <v>278692.076</v>
      </c>
      <c r="DZ13" s="49">
        <f>SUM(DZ8:DZ12)</f>
        <v>21742.01445</v>
      </c>
      <c r="EA13" s="49">
        <f>SUM(EA8:EA12)</f>
        <v>300434.09044999996</v>
      </c>
      <c r="EB13" s="49">
        <f>SUM(EB8:EB12)</f>
        <v>50611.9147872</v>
      </c>
      <c r="EC13" s="49">
        <f>SUM(EC8:EC12)</f>
        <v>7838.6850984</v>
      </c>
      <c r="ED13" s="33"/>
      <c r="EE13" s="49">
        <f>SUM(EE8:EE12)</f>
        <v>79563.75200000001</v>
      </c>
      <c r="EF13" s="49">
        <f>SUM(EF8:EF12)</f>
        <v>6207.1239</v>
      </c>
      <c r="EG13" s="49">
        <f>SUM(EG8:EG12)</f>
        <v>85770.87590000001</v>
      </c>
      <c r="EH13" s="49">
        <f>SUM(EH8:EH12)</f>
        <v>14449.1866944</v>
      </c>
      <c r="EI13" s="49">
        <f>SUM(EI8:EI12)</f>
        <v>2237.8648368</v>
      </c>
      <c r="EJ13" s="33"/>
      <c r="EK13" s="49">
        <f>SUM(EK8:EK12)</f>
        <v>798.648</v>
      </c>
      <c r="EL13" s="49">
        <f>SUM(EL8:EL12)</f>
        <v>62.3061</v>
      </c>
      <c r="EM13" s="49">
        <f>SUM(EM8:EM12)</f>
        <v>860.9541</v>
      </c>
      <c r="EN13" s="49">
        <f>SUM(EN8:EN12)</f>
        <v>145.0385856</v>
      </c>
      <c r="EO13" s="49">
        <f>SUM(EO8:EO12)</f>
        <v>22.4633232</v>
      </c>
      <c r="EP13" s="33"/>
      <c r="EQ13" s="49">
        <f>SUM(EQ8:EQ12)</f>
        <v>1482.848</v>
      </c>
      <c r="ER13" s="49">
        <f>SUM(ER8:ER12)</f>
        <v>115.6836</v>
      </c>
      <c r="ES13" s="49">
        <f>SUM(ES8:ES12)</f>
        <v>1598.5315999999998</v>
      </c>
      <c r="ET13" s="49">
        <f>SUM(ET8:ET12)</f>
        <v>269.2928256</v>
      </c>
      <c r="EU13" s="49">
        <f>SUM(EU8:EU12)</f>
        <v>41.7076032</v>
      </c>
      <c r="EV13" s="33"/>
      <c r="EW13" s="49">
        <f>SUM(EW8:EW12)</f>
        <v>268052.144</v>
      </c>
      <c r="EX13" s="49">
        <f>SUM(EX8:EX12)</f>
        <v>20911.9458</v>
      </c>
      <c r="EY13" s="49">
        <f>SUM(EY8:EY12)</f>
        <v>288964.0898</v>
      </c>
      <c r="EZ13" s="49">
        <f>SUM(EZ8:EZ12)</f>
        <v>48679.6483968</v>
      </c>
      <c r="FA13" s="49">
        <f>SUM(FA8:FA12)</f>
        <v>7539.4190496</v>
      </c>
      <c r="FB13" s="33"/>
      <c r="FC13" s="49">
        <f>SUM(FC8:FC12)</f>
        <v>498241.904</v>
      </c>
      <c r="FD13" s="49">
        <f>SUM(FD8:FD12)</f>
        <v>38870.0778</v>
      </c>
      <c r="FE13" s="49">
        <f>SUM(FE8:FE12)</f>
        <v>537111.9818</v>
      </c>
      <c r="FF13" s="49">
        <f>SUM(FF8:FF12)</f>
        <v>90483.2930688</v>
      </c>
      <c r="FG13" s="49">
        <f>SUM(FG8:FG12)</f>
        <v>14013.894633599999</v>
      </c>
      <c r="FH13" s="33"/>
      <c r="FI13" s="49">
        <f>SUM(FI8:FI12)</f>
        <v>0</v>
      </c>
      <c r="FJ13" s="49">
        <f>SUM(FJ8:FJ12)</f>
        <v>0</v>
      </c>
      <c r="FK13" s="49">
        <f>SUM(FK8:IV12)</f>
        <v>0</v>
      </c>
      <c r="FL13" s="42"/>
      <c r="FM13" s="49">
        <f>SUM(FM8:FM12)</f>
        <v>0</v>
      </c>
    </row>
    <row r="14" spans="33:43" ht="13.5" thickTop="1">
      <c r="AG14" s="33"/>
      <c r="AH14" s="33"/>
      <c r="AI14" s="33"/>
      <c r="AJ14" s="33"/>
      <c r="AK14" s="33"/>
      <c r="AM14" s="20"/>
      <c r="AN14" s="20"/>
      <c r="AO14" s="20"/>
      <c r="AP14" s="20"/>
      <c r="AQ14" s="20"/>
    </row>
    <row r="15" spans="3:43" ht="12.75">
      <c r="C15" s="33">
        <f>I13+O13</f>
        <v>12440000</v>
      </c>
      <c r="D15" s="33">
        <f>J13+P13</f>
        <v>970500</v>
      </c>
      <c r="E15" s="33">
        <f>K13+Q13</f>
        <v>13410499.999999998</v>
      </c>
      <c r="F15" s="33">
        <f>L13+R13</f>
        <v>2259168</v>
      </c>
      <c r="G15" s="33">
        <f>M13+S13</f>
        <v>349896</v>
      </c>
      <c r="P15" s="33"/>
      <c r="AG15" s="33"/>
      <c r="AH15" s="33"/>
      <c r="AI15" s="33"/>
      <c r="AJ15" s="33"/>
      <c r="AK15" s="33"/>
      <c r="AM15" s="20"/>
      <c r="AN15" s="20"/>
      <c r="AO15" s="20"/>
      <c r="AP15" s="20"/>
      <c r="AQ15" s="20"/>
    </row>
    <row r="16" spans="33:43" ht="12.75">
      <c r="AG16" s="33"/>
      <c r="AH16" s="33"/>
      <c r="AI16" s="33"/>
      <c r="AJ16" s="33"/>
      <c r="AK16" s="33"/>
      <c r="AM16" s="20"/>
      <c r="AN16" s="20"/>
      <c r="AO16" s="20"/>
      <c r="AP16" s="20"/>
      <c r="AQ16" s="20"/>
    </row>
    <row r="17" spans="33:43" ht="12.75">
      <c r="AG17" s="33"/>
      <c r="AH17" s="33"/>
      <c r="AI17" s="33"/>
      <c r="AJ17" s="33"/>
      <c r="AK17" s="33"/>
      <c r="AM17" s="20"/>
      <c r="AN17" s="20"/>
      <c r="AO17" s="20"/>
      <c r="AP17" s="20"/>
      <c r="AQ17" s="20"/>
    </row>
    <row r="18" spans="33:43" ht="12.75">
      <c r="AG18" s="33"/>
      <c r="AH18" s="33"/>
      <c r="AI18" s="33"/>
      <c r="AJ18" s="33"/>
      <c r="AK18" s="33"/>
      <c r="AM18" s="20"/>
      <c r="AN18" s="20"/>
      <c r="AO18" s="20"/>
      <c r="AP18" s="20"/>
      <c r="AQ18" s="20"/>
    </row>
    <row r="19" spans="33:43" ht="12.75">
      <c r="AG19" s="33"/>
      <c r="AH19" s="33"/>
      <c r="AI19" s="33"/>
      <c r="AJ19" s="33"/>
      <c r="AK19" s="33"/>
      <c r="AM19" s="20"/>
      <c r="AN19" s="20"/>
      <c r="AO19" s="20"/>
      <c r="AP19" s="20"/>
      <c r="AQ19" s="20"/>
    </row>
    <row r="20" spans="33:43" ht="12.75">
      <c r="AG20" s="33"/>
      <c r="AH20" s="33"/>
      <c r="AI20" s="33"/>
      <c r="AJ20" s="33"/>
      <c r="AK20" s="33"/>
      <c r="AM20" s="20"/>
      <c r="AN20" s="20"/>
      <c r="AO20" s="20"/>
      <c r="AP20" s="20"/>
      <c r="AQ20" s="20"/>
    </row>
    <row r="21" spans="33:43" ht="12.75">
      <c r="AG21" s="33"/>
      <c r="AH21" s="33"/>
      <c r="AI21" s="33"/>
      <c r="AJ21" s="33"/>
      <c r="AK21" s="33"/>
      <c r="AM21" s="20"/>
      <c r="AN21" s="20"/>
      <c r="AO21" s="20"/>
      <c r="AP21" s="20"/>
      <c r="AQ21" s="20"/>
    </row>
    <row r="22" spans="33:43" ht="12.75">
      <c r="AG22" s="33"/>
      <c r="AH22" s="33"/>
      <c r="AI22" s="33"/>
      <c r="AJ22" s="33"/>
      <c r="AK22" s="33"/>
      <c r="AM22" s="20"/>
      <c r="AN22" s="20"/>
      <c r="AO22" s="20"/>
      <c r="AP22" s="20"/>
      <c r="AQ22" s="20"/>
    </row>
    <row r="23" spans="33:43" ht="12.75">
      <c r="AG23" s="33"/>
      <c r="AH23" s="33"/>
      <c r="AI23" s="33"/>
      <c r="AJ23" s="33"/>
      <c r="AK23" s="33"/>
      <c r="AM23" s="20"/>
      <c r="AN23" s="20"/>
      <c r="AO23" s="20"/>
      <c r="AP23" s="20"/>
      <c r="AQ23" s="20"/>
    </row>
    <row r="24" spans="33:43" ht="12.75">
      <c r="AG24" s="33"/>
      <c r="AH24" s="33"/>
      <c r="AI24" s="33"/>
      <c r="AJ24" s="33"/>
      <c r="AK24" s="33"/>
      <c r="AM24" s="20"/>
      <c r="AN24" s="20"/>
      <c r="AO24" s="20"/>
      <c r="AP24" s="20"/>
      <c r="AQ24" s="20"/>
    </row>
    <row r="25" spans="33:43" ht="12.75">
      <c r="AG25" s="33"/>
      <c r="AH25" s="33"/>
      <c r="AI25" s="33"/>
      <c r="AJ25" s="33"/>
      <c r="AK25" s="33"/>
      <c r="AM25" s="20"/>
      <c r="AN25" s="20"/>
      <c r="AO25" s="20"/>
      <c r="AP25" s="20"/>
      <c r="AQ25" s="20"/>
    </row>
    <row r="26" spans="33:43" ht="12.75">
      <c r="AG26" s="33"/>
      <c r="AH26" s="33"/>
      <c r="AI26" s="33"/>
      <c r="AJ26" s="33"/>
      <c r="AK26" s="33"/>
      <c r="AM26" s="20"/>
      <c r="AN26" s="20"/>
      <c r="AO26" s="20"/>
      <c r="AP26" s="20"/>
      <c r="AQ26" s="20"/>
    </row>
    <row r="27" spans="1:168" ht="12.75">
      <c r="A27"/>
      <c r="C27"/>
      <c r="D27"/>
      <c r="E27"/>
      <c r="F27"/>
      <c r="G27"/>
      <c r="H27"/>
      <c r="I27"/>
      <c r="J27"/>
      <c r="K27"/>
      <c r="L27"/>
      <c r="M27"/>
      <c r="N27"/>
      <c r="T27"/>
      <c r="AG27" s="33"/>
      <c r="AH27" s="33"/>
      <c r="AI27" s="33"/>
      <c r="AJ27" s="33"/>
      <c r="AK27" s="33"/>
      <c r="AM27" s="20"/>
      <c r="AN27" s="20"/>
      <c r="AO27" s="20"/>
      <c r="AP27" s="20"/>
      <c r="AQ27" s="20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</row>
    <row r="28" spans="1:168" ht="12.75">
      <c r="A28"/>
      <c r="C28"/>
      <c r="D28"/>
      <c r="E28"/>
      <c r="F28"/>
      <c r="G28"/>
      <c r="H28"/>
      <c r="I28"/>
      <c r="J28"/>
      <c r="K28"/>
      <c r="L28"/>
      <c r="M28"/>
      <c r="N28"/>
      <c r="T28"/>
      <c r="AG28" s="33"/>
      <c r="AH28" s="33"/>
      <c r="AI28" s="33"/>
      <c r="AJ28" s="33"/>
      <c r="AK28" s="33"/>
      <c r="AM28" s="20"/>
      <c r="AN28" s="20"/>
      <c r="AO28" s="20"/>
      <c r="AP28" s="20"/>
      <c r="AQ28" s="20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</row>
    <row r="29" spans="1:168" ht="12.75">
      <c r="A29"/>
      <c r="C29"/>
      <c r="D29"/>
      <c r="E29"/>
      <c r="F29"/>
      <c r="G29"/>
      <c r="H29"/>
      <c r="I29"/>
      <c r="J29"/>
      <c r="K29"/>
      <c r="L29"/>
      <c r="M29"/>
      <c r="N29"/>
      <c r="T29"/>
      <c r="AG29" s="33"/>
      <c r="AH29" s="33"/>
      <c r="AI29" s="33"/>
      <c r="AJ29" s="33"/>
      <c r="AK29" s="33"/>
      <c r="AM29" s="20"/>
      <c r="AN29" s="20"/>
      <c r="AO29" s="20"/>
      <c r="AP29" s="20"/>
      <c r="AQ29" s="20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</row>
    <row r="30" spans="1:168" ht="12.75">
      <c r="A30"/>
      <c r="C30"/>
      <c r="D30"/>
      <c r="E30"/>
      <c r="F30"/>
      <c r="G30"/>
      <c r="H30"/>
      <c r="I30"/>
      <c r="J30"/>
      <c r="K30"/>
      <c r="L30"/>
      <c r="M30"/>
      <c r="N30"/>
      <c r="T30"/>
      <c r="AG30" s="33"/>
      <c r="AH30" s="33"/>
      <c r="AI30" s="33"/>
      <c r="AJ30" s="33"/>
      <c r="AK30" s="33"/>
      <c r="AM30" s="20"/>
      <c r="AN30" s="20"/>
      <c r="AO30" s="20"/>
      <c r="AP30" s="20"/>
      <c r="AQ30" s="2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</row>
    <row r="31" spans="1:168" ht="12.75">
      <c r="A31"/>
      <c r="C31"/>
      <c r="D31"/>
      <c r="E31"/>
      <c r="F31"/>
      <c r="G31"/>
      <c r="H31"/>
      <c r="I31"/>
      <c r="J31"/>
      <c r="K31"/>
      <c r="L31"/>
      <c r="M31"/>
      <c r="N31"/>
      <c r="T31"/>
      <c r="AG31" s="33"/>
      <c r="AH31" s="33"/>
      <c r="AI31" s="33"/>
      <c r="AJ31" s="33"/>
      <c r="AK31" s="33"/>
      <c r="AM31" s="20"/>
      <c r="AN31" s="20"/>
      <c r="AO31" s="20"/>
      <c r="AP31" s="20"/>
      <c r="AQ31" s="20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</row>
    <row r="32" spans="1:168" ht="12.75">
      <c r="A32"/>
      <c r="C32"/>
      <c r="D32"/>
      <c r="E32"/>
      <c r="F32"/>
      <c r="G32"/>
      <c r="H32"/>
      <c r="I32"/>
      <c r="J32"/>
      <c r="K32"/>
      <c r="L32"/>
      <c r="M32"/>
      <c r="N32"/>
      <c r="T32"/>
      <c r="AG32" s="33"/>
      <c r="AH32" s="33"/>
      <c r="AI32" s="33"/>
      <c r="AJ32" s="33"/>
      <c r="AK32" s="33"/>
      <c r="AM32" s="20"/>
      <c r="AN32" s="20"/>
      <c r="AO32" s="20"/>
      <c r="AP32" s="20"/>
      <c r="AQ32" s="20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</row>
    <row r="33" spans="33:43" ht="12.75">
      <c r="AG33" s="33"/>
      <c r="AH33" s="33"/>
      <c r="AI33" s="33"/>
      <c r="AJ33" s="33"/>
      <c r="AK33" s="33"/>
      <c r="AM33" s="20"/>
      <c r="AN33" s="20"/>
      <c r="AO33" s="20"/>
      <c r="AP33" s="20"/>
      <c r="AQ33" s="20"/>
    </row>
    <row r="34" spans="33:43" ht="12.75">
      <c r="AG34" s="33"/>
      <c r="AH34" s="33"/>
      <c r="AI34" s="33"/>
      <c r="AJ34" s="33"/>
      <c r="AK34" s="33"/>
      <c r="AM34" s="20"/>
      <c r="AN34" s="20"/>
      <c r="AO34" s="20"/>
      <c r="AP34" s="20"/>
      <c r="AQ34" s="20"/>
    </row>
    <row r="35" spans="33:43" ht="12.75">
      <c r="AG35" s="33"/>
      <c r="AH35" s="33"/>
      <c r="AI35" s="33"/>
      <c r="AJ35" s="33"/>
      <c r="AK35" s="33"/>
      <c r="AM35" s="20"/>
      <c r="AN35" s="20"/>
      <c r="AO35" s="20"/>
      <c r="AP35" s="20"/>
      <c r="AQ35" s="20"/>
    </row>
    <row r="36" spans="33:43" ht="12.75">
      <c r="AG36" s="33"/>
      <c r="AH36" s="33"/>
      <c r="AI36" s="33"/>
      <c r="AJ36" s="33"/>
      <c r="AK36" s="33"/>
      <c r="AM36" s="20"/>
      <c r="AN36" s="20"/>
      <c r="AO36" s="20"/>
      <c r="AP36" s="20"/>
      <c r="AQ36" s="20"/>
    </row>
    <row r="37" spans="33:43" ht="12.75">
      <c r="AG37" s="33"/>
      <c r="AH37" s="33"/>
      <c r="AI37" s="33"/>
      <c r="AJ37" s="33"/>
      <c r="AK37" s="33"/>
      <c r="AM37" s="20"/>
      <c r="AN37" s="20"/>
      <c r="AO37" s="20"/>
      <c r="AP37" s="20"/>
      <c r="AQ37" s="20"/>
    </row>
    <row r="38" spans="33:43" ht="12.75">
      <c r="AG38" s="33"/>
      <c r="AH38" s="33"/>
      <c r="AI38" s="33"/>
      <c r="AJ38" s="33"/>
      <c r="AK38" s="33"/>
      <c r="AM38" s="20"/>
      <c r="AN38" s="20"/>
      <c r="AO38" s="20"/>
      <c r="AP38" s="20"/>
      <c r="AQ38" s="20"/>
    </row>
    <row r="39" spans="33:43" ht="12.75">
      <c r="AG39" s="33"/>
      <c r="AH39" s="33"/>
      <c r="AI39" s="33"/>
      <c r="AJ39" s="33"/>
      <c r="AK39" s="33"/>
      <c r="AM39" s="20"/>
      <c r="AN39" s="20"/>
      <c r="AO39" s="20"/>
      <c r="AP39" s="20"/>
      <c r="AQ39" s="20"/>
    </row>
    <row r="40" spans="33:43" ht="12.75">
      <c r="AG40" s="33"/>
      <c r="AH40" s="33"/>
      <c r="AI40" s="33"/>
      <c r="AJ40" s="33"/>
      <c r="AK40" s="33"/>
      <c r="AM40" s="20"/>
      <c r="AN40" s="20"/>
      <c r="AO40" s="20"/>
      <c r="AP40" s="20"/>
      <c r="AQ40" s="20"/>
    </row>
    <row r="41" spans="33:37" ht="12.75">
      <c r="AG41" s="33"/>
      <c r="AH41" s="33"/>
      <c r="AI41" s="33"/>
      <c r="AJ41" s="33"/>
      <c r="AK41" s="33"/>
    </row>
    <row r="42" spans="33:37" ht="12.75">
      <c r="AG42" s="33"/>
      <c r="AH42" s="33"/>
      <c r="AI42" s="33"/>
      <c r="AJ42" s="33"/>
      <c r="AK42" s="33"/>
    </row>
    <row r="43" spans="33:37" ht="12.75">
      <c r="AG43" s="33"/>
      <c r="AH43" s="33"/>
      <c r="AI43" s="33"/>
      <c r="AJ43" s="33"/>
      <c r="AK43" s="33"/>
    </row>
    <row r="44" spans="33:37" ht="12.75">
      <c r="AG44" s="33"/>
      <c r="AH44" s="33"/>
      <c r="AI44" s="33"/>
      <c r="AJ44" s="33"/>
      <c r="AK44" s="33"/>
    </row>
    <row r="45" spans="33:37" ht="12.75">
      <c r="AG45" s="33"/>
      <c r="AH45" s="33"/>
      <c r="AI45" s="33"/>
      <c r="AJ45" s="33"/>
      <c r="AK45" s="33"/>
    </row>
    <row r="46" spans="33:37" ht="12.75">
      <c r="AG46" s="33"/>
      <c r="AH46" s="33"/>
      <c r="AI46" s="33"/>
      <c r="AJ46" s="33"/>
      <c r="AK46" s="33"/>
    </row>
    <row r="47" spans="33:37" ht="12.75">
      <c r="AG47" s="33"/>
      <c r="AH47" s="33"/>
      <c r="AI47" s="33"/>
      <c r="AJ47" s="33"/>
      <c r="AK47" s="33"/>
    </row>
    <row r="48" spans="33:37" ht="12.75">
      <c r="AG48" s="33"/>
      <c r="AH48" s="33"/>
      <c r="AI48" s="33"/>
      <c r="AJ48" s="33"/>
      <c r="AK48" s="33"/>
    </row>
    <row r="49" spans="33:37" ht="12.75">
      <c r="AG49" s="33"/>
      <c r="AH49" s="33"/>
      <c r="AI49" s="33"/>
      <c r="AJ49" s="33"/>
      <c r="AK49" s="33"/>
    </row>
    <row r="50" spans="33:37" ht="12.75">
      <c r="AG50" s="33"/>
      <c r="AH50" s="33"/>
      <c r="AI50" s="33"/>
      <c r="AJ50" s="33"/>
      <c r="AK50" s="33"/>
    </row>
    <row r="51" spans="33:37" ht="12.75">
      <c r="AG51" s="33"/>
      <c r="AH51" s="33"/>
      <c r="AI51" s="33"/>
      <c r="AJ51" s="33"/>
      <c r="AK51" s="33"/>
    </row>
    <row r="52" spans="33:37" ht="12.75">
      <c r="AG52" s="33"/>
      <c r="AH52" s="33"/>
      <c r="AI52" s="33"/>
      <c r="AJ52" s="33"/>
      <c r="AK52" s="33"/>
    </row>
    <row r="53" spans="33:37" ht="12.75">
      <c r="AG53" s="33"/>
      <c r="AH53" s="33"/>
      <c r="AI53" s="33"/>
      <c r="AJ53" s="33"/>
      <c r="AK53" s="33"/>
    </row>
  </sheetData>
  <sheetProtection/>
  <printOptions/>
  <pageMargins left="0.7" right="0.7" top="0.75" bottom="0.75" header="0.3" footer="0.3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I53"/>
  <sheetViews>
    <sheetView tabSelected="1" zoomScalePageLayoutView="0" workbookViewId="0" topLeftCell="A1">
      <selection activeCell="E19" sqref="E19"/>
    </sheetView>
  </sheetViews>
  <sheetFormatPr defaultColWidth="8.7109375" defaultRowHeight="12.75"/>
  <cols>
    <col min="1" max="1" width="9.7109375" style="19" customWidth="1"/>
    <col min="2" max="2" width="3.7109375" style="0" customWidth="1"/>
    <col min="3" max="6" width="13.7109375" style="33" customWidth="1"/>
    <col min="7" max="7" width="15.7109375" style="33" customWidth="1"/>
    <col min="8" max="8" width="3.7109375" style="33" customWidth="1"/>
    <col min="9" max="12" width="13.7109375" style="33" customWidth="1"/>
    <col min="13" max="13" width="15.7109375" style="33" customWidth="1"/>
    <col min="14" max="14" width="3.7109375" style="33" customWidth="1"/>
    <col min="15" max="18" width="13.7109375" style="33" customWidth="1"/>
    <col min="19" max="19" width="15.00390625" style="33" customWidth="1"/>
    <col min="20" max="20" width="3.7109375" style="33" customWidth="1"/>
    <col min="21" max="25" width="13.7109375" style="33" customWidth="1"/>
    <col min="26" max="26" width="3.7109375" style="33" customWidth="1"/>
    <col min="27" max="31" width="13.7109375" style="33" customWidth="1"/>
    <col min="32" max="32" width="3.7109375" style="33" customWidth="1"/>
    <col min="33" max="37" width="13.7109375" style="33" customWidth="1"/>
    <col min="38" max="38" width="3.7109375" style="33" customWidth="1"/>
    <col min="39" max="43" width="13.7109375" style="33" customWidth="1"/>
    <col min="44" max="44" width="3.7109375" style="33" customWidth="1"/>
    <col min="45" max="49" width="13.7109375" style="33" customWidth="1"/>
    <col min="50" max="50" width="3.7109375" style="33" customWidth="1"/>
    <col min="51" max="55" width="13.7109375" style="33" customWidth="1"/>
    <col min="56" max="56" width="3.7109375" style="33" customWidth="1"/>
    <col min="57" max="61" width="13.7109375" style="33" customWidth="1"/>
    <col min="62" max="62" width="3.7109375" style="33" customWidth="1"/>
    <col min="63" max="67" width="13.7109375" style="33" customWidth="1"/>
    <col min="68" max="68" width="3.7109375" style="33" customWidth="1"/>
    <col min="69" max="73" width="13.7109375" style="33" customWidth="1"/>
    <col min="74" max="74" width="3.7109375" style="33" customWidth="1"/>
    <col min="75" max="79" width="13.7109375" style="33" customWidth="1"/>
    <col min="80" max="80" width="3.7109375" style="33" customWidth="1"/>
    <col min="81" max="85" width="13.7109375" style="33" customWidth="1"/>
    <col min="86" max="86" width="3.7109375" style="33" customWidth="1"/>
    <col min="87" max="91" width="13.7109375" style="33" customWidth="1"/>
    <col min="92" max="92" width="3.7109375" style="33" customWidth="1"/>
    <col min="93" max="97" width="13.7109375" style="33" customWidth="1"/>
    <col min="98" max="98" width="3.7109375" style="33" customWidth="1"/>
    <col min="99" max="103" width="13.7109375" style="33" customWidth="1"/>
    <col min="104" max="104" width="3.7109375" style="33" customWidth="1"/>
    <col min="105" max="109" width="13.7109375" style="33" customWidth="1"/>
    <col min="110" max="110" width="3.7109375" style="33" customWidth="1"/>
    <col min="111" max="115" width="13.7109375" style="33" customWidth="1"/>
    <col min="116" max="116" width="3.7109375" style="33" customWidth="1"/>
    <col min="117" max="121" width="13.7109375" style="33" customWidth="1"/>
    <col min="122" max="122" width="3.7109375" style="33" customWidth="1"/>
    <col min="123" max="127" width="13.7109375" style="33" customWidth="1"/>
    <col min="128" max="128" width="3.7109375" style="33" customWidth="1"/>
    <col min="129" max="133" width="13.7109375" style="33" customWidth="1"/>
    <col min="134" max="134" width="3.7109375" style="33" customWidth="1"/>
    <col min="135" max="139" width="13.7109375" style="33" customWidth="1"/>
    <col min="140" max="140" width="3.7109375" style="33" customWidth="1"/>
    <col min="141" max="145" width="13.7109375" style="33" customWidth="1"/>
    <col min="146" max="146" width="3.7109375" style="33" customWidth="1"/>
    <col min="147" max="151" width="13.7109375" style="33" customWidth="1"/>
    <col min="152" max="152" width="3.7109375" style="33" customWidth="1"/>
    <col min="153" max="157" width="13.7109375" style="33" customWidth="1"/>
    <col min="158" max="158" width="3.7109375" style="33" customWidth="1"/>
    <col min="159" max="163" width="13.7109375" style="33" customWidth="1"/>
    <col min="164" max="164" width="3.7109375" style="33" customWidth="1"/>
    <col min="165" max="169" width="13.7109375" style="33" customWidth="1"/>
    <col min="170" max="170" width="3.7109375" style="33" customWidth="1"/>
    <col min="171" max="175" width="13.7109375" style="33" customWidth="1"/>
    <col min="176" max="176" width="3.7109375" style="33" customWidth="1"/>
    <col min="177" max="181" width="13.7109375" style="33" customWidth="1"/>
    <col min="182" max="182" width="3.7109375" style="33" customWidth="1"/>
    <col min="183" max="187" width="13.7109375" style="33" customWidth="1"/>
    <col min="188" max="188" width="3.7109375" style="33" customWidth="1"/>
    <col min="189" max="193" width="13.7109375" style="33" customWidth="1"/>
    <col min="194" max="194" width="3.7109375" style="33" customWidth="1"/>
    <col min="195" max="199" width="13.7109375" style="33" customWidth="1"/>
    <col min="200" max="200" width="3.7109375" style="33" customWidth="1"/>
    <col min="201" max="205" width="13.7109375" style="33" customWidth="1"/>
    <col min="206" max="206" width="3.7109375" style="33" customWidth="1"/>
    <col min="207" max="211" width="13.7109375" style="33" customWidth="1"/>
    <col min="212" max="212" width="3.7109375" style="33" customWidth="1"/>
  </cols>
  <sheetData>
    <row r="1" spans="1:212" ht="12.75">
      <c r="A1" s="44"/>
      <c r="B1" s="30"/>
      <c r="C1" s="43"/>
      <c r="D1" s="45"/>
      <c r="E1" s="45" t="s">
        <v>171</v>
      </c>
      <c r="G1" s="45"/>
      <c r="H1" s="45"/>
      <c r="I1" s="36"/>
      <c r="K1" s="45"/>
      <c r="O1" s="45" t="s">
        <v>171</v>
      </c>
      <c r="W1" s="45"/>
      <c r="AA1" s="45" t="s">
        <v>171</v>
      </c>
      <c r="AE1"/>
      <c r="AF1"/>
      <c r="AG1"/>
      <c r="AI1" s="45"/>
      <c r="AJ1"/>
      <c r="AK1"/>
      <c r="AL1"/>
      <c r="AM1" s="45" t="s">
        <v>171</v>
      </c>
      <c r="AN1"/>
      <c r="AO1"/>
      <c r="AP1"/>
      <c r="AQ1"/>
      <c r="AR1"/>
      <c r="AS1"/>
      <c r="AT1"/>
      <c r="AU1" s="45"/>
      <c r="AV1"/>
      <c r="AW1"/>
      <c r="AX1" s="20"/>
      <c r="AY1" s="45" t="s">
        <v>171</v>
      </c>
      <c r="AZ1" s="20"/>
      <c r="BA1" s="20"/>
      <c r="BB1" s="20"/>
      <c r="BC1" s="20"/>
      <c r="BD1" s="20"/>
      <c r="BE1" s="20"/>
      <c r="BF1" s="20"/>
      <c r="BG1" s="45"/>
      <c r="BH1" s="20"/>
      <c r="BI1" s="20"/>
      <c r="BJ1" s="20"/>
      <c r="BK1" s="45" t="s">
        <v>171</v>
      </c>
      <c r="BL1" s="20"/>
      <c r="BM1" s="20"/>
      <c r="BN1" s="20"/>
      <c r="BO1" s="20"/>
      <c r="BP1" s="20"/>
      <c r="BQ1" s="20"/>
      <c r="BR1" s="20"/>
      <c r="BS1" s="45"/>
      <c r="BT1" s="20"/>
      <c r="BU1" s="20"/>
      <c r="BV1" s="20"/>
      <c r="BW1" s="45" t="s">
        <v>171</v>
      </c>
      <c r="BX1" s="20"/>
      <c r="BY1" s="20"/>
      <c r="BZ1" s="20"/>
      <c r="CA1" s="20"/>
      <c r="CB1" s="20"/>
      <c r="CC1" s="20"/>
      <c r="CD1" s="20"/>
      <c r="CE1" s="45"/>
      <c r="CF1" s="20"/>
      <c r="CG1" s="20"/>
      <c r="CH1" s="20"/>
      <c r="CI1" s="45" t="s">
        <v>171</v>
      </c>
      <c r="CJ1" s="20"/>
      <c r="CK1" s="20"/>
      <c r="CL1" s="20"/>
      <c r="CM1" s="20"/>
      <c r="CN1" s="20"/>
      <c r="CO1" s="20"/>
      <c r="CP1" s="20"/>
      <c r="CQ1" s="45"/>
      <c r="CR1" s="20"/>
      <c r="CS1" s="20"/>
      <c r="CT1" s="20"/>
      <c r="CU1" s="45" t="s">
        <v>171</v>
      </c>
      <c r="CV1" s="20"/>
      <c r="CW1" s="20"/>
      <c r="CX1" s="20"/>
      <c r="CY1" s="20"/>
      <c r="CZ1" s="20"/>
      <c r="DA1" s="20"/>
      <c r="DB1" s="20"/>
      <c r="DC1" s="45"/>
      <c r="DD1" s="20"/>
      <c r="DE1" s="20"/>
      <c r="DF1" s="20"/>
      <c r="DG1" s="45" t="s">
        <v>171</v>
      </c>
      <c r="DH1" s="20"/>
      <c r="DI1" s="20"/>
      <c r="DJ1" s="20"/>
      <c r="DK1" s="20"/>
      <c r="DL1" s="20"/>
      <c r="DM1" s="20"/>
      <c r="DN1" s="20"/>
      <c r="DO1" s="45"/>
      <c r="DP1" s="20"/>
      <c r="DQ1" s="20"/>
      <c r="DR1" s="20"/>
      <c r="DS1" s="45" t="s">
        <v>171</v>
      </c>
      <c r="DT1" s="20"/>
      <c r="DU1" s="20"/>
      <c r="DV1" s="20"/>
      <c r="DW1" s="20"/>
      <c r="DX1" s="20"/>
      <c r="DY1" s="20"/>
      <c r="DZ1" s="20"/>
      <c r="EA1" s="45"/>
      <c r="EB1" s="20"/>
      <c r="EC1" s="20"/>
      <c r="ED1" s="45" t="s">
        <v>171</v>
      </c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</row>
    <row r="2" spans="1:212" ht="12.75">
      <c r="A2" s="44"/>
      <c r="B2" s="30"/>
      <c r="C2" s="43"/>
      <c r="D2" s="45"/>
      <c r="E2" s="93" t="s">
        <v>176</v>
      </c>
      <c r="G2" s="45"/>
      <c r="H2" s="45"/>
      <c r="I2" s="36"/>
      <c r="K2" s="45"/>
      <c r="O2" s="43" t="str">
        <f>E2</f>
        <v>Distribution of Debt Services after 2021A Bond Issue</v>
      </c>
      <c r="W2" s="45"/>
      <c r="AA2" s="43" t="str">
        <f>O2</f>
        <v>Distribution of Debt Services after 2021A Bond Issue</v>
      </c>
      <c r="AE2"/>
      <c r="AF2"/>
      <c r="AG2"/>
      <c r="AI2" s="45"/>
      <c r="AJ2"/>
      <c r="AK2"/>
      <c r="AL2"/>
      <c r="AM2" s="43" t="str">
        <f>AA2</f>
        <v>Distribution of Debt Services after 2021A Bond Issue</v>
      </c>
      <c r="AN2"/>
      <c r="AO2"/>
      <c r="AP2"/>
      <c r="AQ2"/>
      <c r="AR2"/>
      <c r="AS2"/>
      <c r="AT2"/>
      <c r="AU2" s="45"/>
      <c r="AV2"/>
      <c r="AW2"/>
      <c r="AX2" s="20"/>
      <c r="AY2" s="43" t="str">
        <f>AM2</f>
        <v>Distribution of Debt Services after 2021A Bond Issue</v>
      </c>
      <c r="AZ2" s="20"/>
      <c r="BA2" s="20"/>
      <c r="BB2" s="20"/>
      <c r="BC2" s="20"/>
      <c r="BD2" s="20"/>
      <c r="BE2" s="20"/>
      <c r="BF2" s="20"/>
      <c r="BG2" s="45"/>
      <c r="BH2" s="20"/>
      <c r="BI2" s="20"/>
      <c r="BJ2" s="20"/>
      <c r="BK2" s="43" t="str">
        <f>AY2</f>
        <v>Distribution of Debt Services after 2021A Bond Issue</v>
      </c>
      <c r="BL2" s="20"/>
      <c r="BM2" s="20"/>
      <c r="BN2" s="20"/>
      <c r="BO2" s="20"/>
      <c r="BP2" s="20"/>
      <c r="BQ2" s="20"/>
      <c r="BR2" s="20"/>
      <c r="BS2" s="45"/>
      <c r="BT2" s="20"/>
      <c r="BU2" s="20"/>
      <c r="BV2" s="20"/>
      <c r="BW2" s="43" t="str">
        <f>BK2</f>
        <v>Distribution of Debt Services after 2021A Bond Issue</v>
      </c>
      <c r="BX2" s="20"/>
      <c r="BY2" s="20"/>
      <c r="BZ2" s="20"/>
      <c r="CA2" s="20"/>
      <c r="CB2" s="20"/>
      <c r="CC2" s="20"/>
      <c r="CD2" s="20"/>
      <c r="CE2" s="45"/>
      <c r="CF2" s="20"/>
      <c r="CG2" s="20"/>
      <c r="CH2" s="20"/>
      <c r="CI2" s="43" t="str">
        <f>BW2</f>
        <v>Distribution of Debt Services after 2021A Bond Issue</v>
      </c>
      <c r="CJ2" s="20"/>
      <c r="CK2" s="20"/>
      <c r="CL2" s="20"/>
      <c r="CM2" s="20"/>
      <c r="CN2" s="20"/>
      <c r="CO2" s="20"/>
      <c r="CP2" s="20"/>
      <c r="CQ2" s="45"/>
      <c r="CR2" s="20"/>
      <c r="CS2" s="20"/>
      <c r="CT2" s="20"/>
      <c r="CU2" s="43" t="str">
        <f>CI2</f>
        <v>Distribution of Debt Services after 2021A Bond Issue</v>
      </c>
      <c r="CV2" s="20"/>
      <c r="CW2" s="20"/>
      <c r="CX2" s="20"/>
      <c r="CY2" s="20"/>
      <c r="CZ2" s="20"/>
      <c r="DA2" s="20"/>
      <c r="DB2" s="20"/>
      <c r="DC2" s="45"/>
      <c r="DD2" s="20"/>
      <c r="DE2" s="20"/>
      <c r="DF2" s="20"/>
      <c r="DG2" s="43" t="str">
        <f>CU2</f>
        <v>Distribution of Debt Services after 2021A Bond Issue</v>
      </c>
      <c r="DH2" s="20"/>
      <c r="DI2" s="20"/>
      <c r="DJ2" s="20"/>
      <c r="DK2" s="20"/>
      <c r="DL2" s="20"/>
      <c r="DM2" s="20"/>
      <c r="DN2" s="20"/>
      <c r="DO2" s="45"/>
      <c r="DP2" s="20"/>
      <c r="DQ2" s="20"/>
      <c r="DR2" s="20"/>
      <c r="DS2" s="43" t="str">
        <f>DG2</f>
        <v>Distribution of Debt Services after 2021A Bond Issue</v>
      </c>
      <c r="DT2" s="20"/>
      <c r="DU2" s="20"/>
      <c r="DV2" s="20"/>
      <c r="DW2" s="20"/>
      <c r="DX2" s="20"/>
      <c r="DY2" s="20"/>
      <c r="DZ2" s="20"/>
      <c r="EA2" s="45"/>
      <c r="EB2" s="20"/>
      <c r="EC2" s="20"/>
      <c r="ED2" s="43" t="str">
        <f>DS2</f>
        <v>Distribution of Debt Services after 2021A Bond Issue</v>
      </c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</row>
    <row r="3" spans="1:212" ht="12.75">
      <c r="A3" s="44"/>
      <c r="B3" s="30"/>
      <c r="C3" s="43"/>
      <c r="D3" s="43"/>
      <c r="E3" s="45" t="s">
        <v>172</v>
      </c>
      <c r="G3" s="43"/>
      <c r="H3" s="43"/>
      <c r="I3" s="36"/>
      <c r="K3" s="45"/>
      <c r="O3" s="45" t="s">
        <v>172</v>
      </c>
      <c r="W3" s="45"/>
      <c r="AA3" s="45" t="s">
        <v>172</v>
      </c>
      <c r="AE3"/>
      <c r="AF3" s="12"/>
      <c r="AG3"/>
      <c r="AI3" s="45"/>
      <c r="AJ3"/>
      <c r="AK3"/>
      <c r="AL3"/>
      <c r="AM3" s="45" t="s">
        <v>172</v>
      </c>
      <c r="AN3"/>
      <c r="AO3"/>
      <c r="AP3"/>
      <c r="AQ3"/>
      <c r="AR3"/>
      <c r="AS3"/>
      <c r="AT3"/>
      <c r="AU3" s="45"/>
      <c r="AV3"/>
      <c r="AW3"/>
      <c r="AX3" s="20"/>
      <c r="AY3" s="45" t="s">
        <v>172</v>
      </c>
      <c r="AZ3" s="20"/>
      <c r="BA3" s="20"/>
      <c r="BB3" s="20"/>
      <c r="BC3" s="20"/>
      <c r="BD3" s="20"/>
      <c r="BE3" s="20"/>
      <c r="BF3" s="20"/>
      <c r="BG3" s="45"/>
      <c r="BH3" s="20"/>
      <c r="BI3" s="20"/>
      <c r="BJ3" s="20"/>
      <c r="BK3" s="45" t="s">
        <v>172</v>
      </c>
      <c r="BL3" s="20"/>
      <c r="BM3" s="20"/>
      <c r="BN3" s="20"/>
      <c r="BO3" s="20"/>
      <c r="BP3" s="20"/>
      <c r="BQ3" s="20"/>
      <c r="BR3" s="20"/>
      <c r="BS3" s="45"/>
      <c r="BT3" s="20"/>
      <c r="BU3" s="20"/>
      <c r="BV3" s="20"/>
      <c r="BW3" s="45" t="s">
        <v>172</v>
      </c>
      <c r="BX3" s="20"/>
      <c r="BY3" s="20"/>
      <c r="BZ3" s="20"/>
      <c r="CA3" s="20"/>
      <c r="CB3" s="20"/>
      <c r="CC3" s="20"/>
      <c r="CD3" s="20"/>
      <c r="CE3" s="45"/>
      <c r="CF3" s="20"/>
      <c r="CG3" s="20"/>
      <c r="CH3" s="20"/>
      <c r="CI3" s="45" t="s">
        <v>172</v>
      </c>
      <c r="CJ3" s="20"/>
      <c r="CK3" s="20"/>
      <c r="CL3" s="20"/>
      <c r="CM3" s="20"/>
      <c r="CN3" s="20"/>
      <c r="CO3" s="20"/>
      <c r="CP3" s="20"/>
      <c r="CQ3" s="45"/>
      <c r="CR3" s="20"/>
      <c r="CS3" s="20"/>
      <c r="CT3" s="20"/>
      <c r="CU3" s="45" t="s">
        <v>172</v>
      </c>
      <c r="CV3" s="20"/>
      <c r="CW3" s="20"/>
      <c r="CX3" s="20"/>
      <c r="CY3" s="20"/>
      <c r="CZ3" s="20"/>
      <c r="DA3" s="20"/>
      <c r="DB3" s="20"/>
      <c r="DC3" s="45"/>
      <c r="DD3" s="20"/>
      <c r="DE3" s="20"/>
      <c r="DF3" s="20"/>
      <c r="DG3" s="45" t="s">
        <v>172</v>
      </c>
      <c r="DH3" s="20"/>
      <c r="DI3" s="20"/>
      <c r="DJ3" s="20"/>
      <c r="DK3" s="20"/>
      <c r="DL3" s="20"/>
      <c r="DM3" s="20"/>
      <c r="DN3" s="20"/>
      <c r="DO3" s="45"/>
      <c r="DP3" s="20"/>
      <c r="DQ3" s="20"/>
      <c r="DR3" s="20"/>
      <c r="DS3" s="45" t="s">
        <v>172</v>
      </c>
      <c r="DT3" s="20"/>
      <c r="DU3" s="20"/>
      <c r="DV3" s="20"/>
      <c r="DW3" s="20"/>
      <c r="DX3" s="20"/>
      <c r="DY3" s="20"/>
      <c r="DZ3" s="20"/>
      <c r="EA3" s="45"/>
      <c r="EB3" s="20"/>
      <c r="EC3" s="20"/>
      <c r="ED3" s="45" t="s">
        <v>172</v>
      </c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</row>
    <row r="4" spans="1:2" ht="12.75">
      <c r="A4" s="44"/>
      <c r="B4" s="30"/>
    </row>
    <row r="5" spans="1:211" ht="12.75">
      <c r="A5" s="22" t="s">
        <v>9</v>
      </c>
      <c r="C5" s="96" t="s">
        <v>175</v>
      </c>
      <c r="D5" s="38"/>
      <c r="E5" s="39"/>
      <c r="F5" s="41"/>
      <c r="G5" s="41"/>
      <c r="I5" s="37" t="s">
        <v>85</v>
      </c>
      <c r="J5" s="38"/>
      <c r="K5" s="39"/>
      <c r="L5" s="41"/>
      <c r="M5" s="41"/>
      <c r="O5" s="37" t="s">
        <v>86</v>
      </c>
      <c r="P5" s="38"/>
      <c r="Q5" s="39"/>
      <c r="R5" s="41"/>
      <c r="S5" s="41"/>
      <c r="U5" s="37" t="s">
        <v>164</v>
      </c>
      <c r="V5" s="38"/>
      <c r="W5" s="39"/>
      <c r="X5" s="41"/>
      <c r="Y5" s="41"/>
      <c r="AA5" s="62" t="s">
        <v>87</v>
      </c>
      <c r="AB5" s="38"/>
      <c r="AC5" s="39"/>
      <c r="AD5" s="41"/>
      <c r="AE5" s="41"/>
      <c r="AG5" s="62" t="s">
        <v>142</v>
      </c>
      <c r="AH5" s="38"/>
      <c r="AI5" s="39"/>
      <c r="AJ5" s="41"/>
      <c r="AK5" s="41"/>
      <c r="AM5" s="62" t="s">
        <v>88</v>
      </c>
      <c r="AN5" s="38"/>
      <c r="AO5" s="39"/>
      <c r="AP5" s="41"/>
      <c r="AQ5" s="41"/>
      <c r="AR5" s="63"/>
      <c r="AS5" s="37" t="s">
        <v>89</v>
      </c>
      <c r="AT5" s="38"/>
      <c r="AU5" s="39"/>
      <c r="AV5" s="41"/>
      <c r="AW5" s="41"/>
      <c r="AY5" s="37" t="s">
        <v>90</v>
      </c>
      <c r="AZ5" s="38"/>
      <c r="BA5" s="39"/>
      <c r="BB5" s="41"/>
      <c r="BC5" s="41"/>
      <c r="BE5" s="37" t="s">
        <v>91</v>
      </c>
      <c r="BF5" s="38"/>
      <c r="BG5" s="39"/>
      <c r="BH5" s="41"/>
      <c r="BI5" s="41"/>
      <c r="BK5" s="37" t="s">
        <v>92</v>
      </c>
      <c r="BL5" s="38"/>
      <c r="BM5" s="39"/>
      <c r="BN5" s="41"/>
      <c r="BO5" s="41"/>
      <c r="BQ5" s="37" t="s">
        <v>93</v>
      </c>
      <c r="BR5" s="38"/>
      <c r="BS5" s="39"/>
      <c r="BT5" s="41"/>
      <c r="BU5" s="41"/>
      <c r="BW5" s="37" t="s">
        <v>94</v>
      </c>
      <c r="BX5" s="38"/>
      <c r="BY5" s="39"/>
      <c r="BZ5" s="41"/>
      <c r="CA5" s="41"/>
      <c r="CB5" s="63"/>
      <c r="CC5" s="37" t="s">
        <v>95</v>
      </c>
      <c r="CD5" s="38"/>
      <c r="CE5" s="39"/>
      <c r="CF5" s="41"/>
      <c r="CG5" s="41"/>
      <c r="CI5" s="37" t="s">
        <v>96</v>
      </c>
      <c r="CJ5" s="38"/>
      <c r="CK5" s="39"/>
      <c r="CL5" s="41"/>
      <c r="CM5" s="41"/>
      <c r="CO5" s="37" t="s">
        <v>97</v>
      </c>
      <c r="CP5" s="38"/>
      <c r="CQ5" s="39"/>
      <c r="CR5" s="41"/>
      <c r="CS5" s="41"/>
      <c r="CU5" s="37" t="s">
        <v>98</v>
      </c>
      <c r="CV5" s="38"/>
      <c r="CW5" s="39"/>
      <c r="CX5" s="41"/>
      <c r="CY5" s="41"/>
      <c r="DA5" s="37" t="s">
        <v>99</v>
      </c>
      <c r="DB5" s="38"/>
      <c r="DC5" s="39"/>
      <c r="DD5" s="41"/>
      <c r="DE5" s="41"/>
      <c r="DG5" s="37" t="s">
        <v>100</v>
      </c>
      <c r="DH5" s="38"/>
      <c r="DI5" s="39"/>
      <c r="DJ5" s="41"/>
      <c r="DK5" s="41"/>
      <c r="DM5" s="37" t="s">
        <v>101</v>
      </c>
      <c r="DN5" s="38"/>
      <c r="DO5" s="39"/>
      <c r="DP5" s="41"/>
      <c r="DQ5" s="41"/>
      <c r="DS5" s="37" t="s">
        <v>102</v>
      </c>
      <c r="DT5" s="38"/>
      <c r="DU5" s="39"/>
      <c r="DV5" s="41"/>
      <c r="DW5" s="41"/>
      <c r="DY5" s="37" t="s">
        <v>103</v>
      </c>
      <c r="DZ5" s="38"/>
      <c r="EA5" s="39"/>
      <c r="EB5" s="41"/>
      <c r="EC5" s="41"/>
      <c r="EE5" s="37" t="s">
        <v>165</v>
      </c>
      <c r="EF5" s="38"/>
      <c r="EG5" s="39"/>
      <c r="EH5" s="41"/>
      <c r="EI5" s="41"/>
      <c r="EK5" s="37" t="s">
        <v>104</v>
      </c>
      <c r="EL5" s="38"/>
      <c r="EM5" s="39"/>
      <c r="EN5" s="41"/>
      <c r="EO5" s="41"/>
      <c r="EQ5" s="37" t="s">
        <v>105</v>
      </c>
      <c r="ER5" s="38"/>
      <c r="ES5" s="39"/>
      <c r="ET5" s="41"/>
      <c r="EU5" s="41"/>
      <c r="EW5" s="37" t="s">
        <v>106</v>
      </c>
      <c r="EX5" s="38"/>
      <c r="EY5" s="39"/>
      <c r="EZ5" s="41"/>
      <c r="FA5" s="41"/>
      <c r="FC5" s="37" t="s">
        <v>107</v>
      </c>
      <c r="FD5" s="38"/>
      <c r="FE5" s="39"/>
      <c r="FF5" s="41"/>
      <c r="FG5" s="41"/>
      <c r="FI5" s="37" t="s">
        <v>108</v>
      </c>
      <c r="FJ5" s="38"/>
      <c r="FK5" s="39"/>
      <c r="FL5" s="41"/>
      <c r="FM5" s="41"/>
      <c r="FO5" s="37" t="s">
        <v>109</v>
      </c>
      <c r="FP5" s="38"/>
      <c r="FQ5" s="39"/>
      <c r="FR5" s="41"/>
      <c r="FS5" s="41"/>
      <c r="FU5" s="37" t="s">
        <v>110</v>
      </c>
      <c r="FV5" s="38"/>
      <c r="FW5" s="39"/>
      <c r="FX5" s="41"/>
      <c r="FY5" s="41"/>
      <c r="GA5" s="37" t="s">
        <v>111</v>
      </c>
      <c r="GB5" s="38"/>
      <c r="GC5" s="39"/>
      <c r="GD5" s="41"/>
      <c r="GE5" s="41"/>
      <c r="GG5" s="37" t="s">
        <v>112</v>
      </c>
      <c r="GH5" s="38"/>
      <c r="GI5" s="39"/>
      <c r="GJ5" s="41"/>
      <c r="GK5" s="41"/>
      <c r="GM5" s="37" t="s">
        <v>113</v>
      </c>
      <c r="GN5" s="38"/>
      <c r="GO5" s="39"/>
      <c r="GP5" s="41"/>
      <c r="GQ5" s="41"/>
      <c r="GS5" s="37" t="s">
        <v>114</v>
      </c>
      <c r="GT5" s="38"/>
      <c r="GU5" s="39"/>
      <c r="GV5" s="41"/>
      <c r="GW5" s="41"/>
      <c r="GY5" s="37" t="s">
        <v>115</v>
      </c>
      <c r="GZ5" s="38"/>
      <c r="HA5" s="39"/>
      <c r="HB5" s="41"/>
      <c r="HC5" s="41"/>
    </row>
    <row r="6" spans="1:212" s="12" customFormat="1" ht="12.75">
      <c r="A6" s="46" t="s">
        <v>10</v>
      </c>
      <c r="C6" s="40"/>
      <c r="D6" s="61" t="str">
        <f>'2021A'!C6</f>
        <v>2003A Refinanced on 2021A</v>
      </c>
      <c r="E6" s="39"/>
      <c r="F6" s="41" t="s">
        <v>168</v>
      </c>
      <c r="G6" s="41" t="s">
        <v>173</v>
      </c>
      <c r="H6" s="33"/>
      <c r="I6" s="40"/>
      <c r="J6" s="67">
        <f>P6+V6+AB6+AH6+AN6+AT6+AZ6+BF6+BL6+BR6+BX6+CD6+CJ6+CP6+CV6+DB6+DH6+DN6+DT6+DZ6+EF6+EL6+ER6+EX6+FD6+FJ6+FP6+FV6+GB6+GH6+GN6+GT6+GZ6</f>
        <v>0.5428259000000001</v>
      </c>
      <c r="K6" s="39"/>
      <c r="L6" s="41" t="s">
        <v>168</v>
      </c>
      <c r="M6" s="41" t="s">
        <v>173</v>
      </c>
      <c r="N6" s="33"/>
      <c r="O6" s="40"/>
      <c r="P6" s="53">
        <v>0.0661452</v>
      </c>
      <c r="Q6" s="39"/>
      <c r="R6" s="41" t="s">
        <v>168</v>
      </c>
      <c r="S6" s="41" t="s">
        <v>173</v>
      </c>
      <c r="T6" s="33"/>
      <c r="U6" s="40"/>
      <c r="V6" s="53">
        <v>0.0011296</v>
      </c>
      <c r="W6" s="39"/>
      <c r="X6" s="41" t="s">
        <v>168</v>
      </c>
      <c r="Y6" s="41" t="s">
        <v>173</v>
      </c>
      <c r="Z6" s="33"/>
      <c r="AA6" s="40"/>
      <c r="AB6" s="53">
        <v>0.0050994</v>
      </c>
      <c r="AC6" s="39"/>
      <c r="AD6" s="41" t="s">
        <v>168</v>
      </c>
      <c r="AE6" s="41" t="s">
        <v>173</v>
      </c>
      <c r="AF6" s="33"/>
      <c r="AG6" s="40"/>
      <c r="AH6" s="53">
        <v>0.0886797</v>
      </c>
      <c r="AI6" s="39"/>
      <c r="AJ6" s="41" t="s">
        <v>168</v>
      </c>
      <c r="AK6" s="41" t="s">
        <v>173</v>
      </c>
      <c r="AL6" s="33"/>
      <c r="AM6" s="40"/>
      <c r="AN6" s="53">
        <v>0.0010742</v>
      </c>
      <c r="AO6" s="39"/>
      <c r="AP6" s="41" t="s">
        <v>168</v>
      </c>
      <c r="AQ6" s="41" t="s">
        <v>173</v>
      </c>
      <c r="AR6" s="63"/>
      <c r="AS6" s="40"/>
      <c r="AT6" s="53">
        <v>0.0009059</v>
      </c>
      <c r="AU6" s="39"/>
      <c r="AV6" s="41" t="s">
        <v>168</v>
      </c>
      <c r="AW6" s="41" t="s">
        <v>173</v>
      </c>
      <c r="AX6" s="33"/>
      <c r="AY6" s="40"/>
      <c r="AZ6" s="53">
        <v>0.0371668</v>
      </c>
      <c r="BA6" s="39"/>
      <c r="BB6" s="41" t="s">
        <v>168</v>
      </c>
      <c r="BC6" s="41" t="s">
        <v>173</v>
      </c>
      <c r="BD6" s="33"/>
      <c r="BE6" s="40"/>
      <c r="BF6" s="53">
        <v>0.0762623</v>
      </c>
      <c r="BG6" s="39"/>
      <c r="BH6" s="41" t="s">
        <v>168</v>
      </c>
      <c r="BI6" s="41" t="s">
        <v>173</v>
      </c>
      <c r="BJ6" s="33"/>
      <c r="BK6" s="40"/>
      <c r="BL6" s="53">
        <v>0.0008804</v>
      </c>
      <c r="BM6" s="39"/>
      <c r="BN6" s="41" t="s">
        <v>168</v>
      </c>
      <c r="BO6" s="41" t="s">
        <v>173</v>
      </c>
      <c r="BP6" s="33"/>
      <c r="BQ6" s="40"/>
      <c r="BR6" s="53">
        <v>0.0005914</v>
      </c>
      <c r="BS6" s="39"/>
      <c r="BT6" s="41" t="s">
        <v>168</v>
      </c>
      <c r="BU6" s="41" t="s">
        <v>173</v>
      </c>
      <c r="BV6" s="33"/>
      <c r="BW6" s="40"/>
      <c r="BX6" s="53">
        <v>-8.81E-05</v>
      </c>
      <c r="BY6" s="39"/>
      <c r="BZ6" s="41" t="s">
        <v>168</v>
      </c>
      <c r="CA6" s="41" t="s">
        <v>173</v>
      </c>
      <c r="CB6" s="63"/>
      <c r="CC6" s="40"/>
      <c r="CD6" s="53">
        <v>-5.74E-05</v>
      </c>
      <c r="CE6" s="39"/>
      <c r="CF6" s="41" t="s">
        <v>168</v>
      </c>
      <c r="CG6" s="41" t="s">
        <v>173</v>
      </c>
      <c r="CH6" s="33"/>
      <c r="CI6" s="40"/>
      <c r="CJ6" s="53">
        <v>0.0021346</v>
      </c>
      <c r="CK6" s="39"/>
      <c r="CL6" s="41" t="s">
        <v>168</v>
      </c>
      <c r="CM6" s="41" t="s">
        <v>173</v>
      </c>
      <c r="CN6" s="33"/>
      <c r="CO6" s="40"/>
      <c r="CP6" s="53">
        <v>0.013127</v>
      </c>
      <c r="CQ6" s="39"/>
      <c r="CR6" s="41" t="s">
        <v>168</v>
      </c>
      <c r="CS6" s="41" t="s">
        <v>173</v>
      </c>
      <c r="CT6" s="33"/>
      <c r="CU6" s="40"/>
      <c r="CV6" s="53">
        <v>0.0881851</v>
      </c>
      <c r="CW6" s="39"/>
      <c r="CX6" s="41" t="s">
        <v>168</v>
      </c>
      <c r="CY6" s="41" t="s">
        <v>173</v>
      </c>
      <c r="CZ6" s="33"/>
      <c r="DA6" s="40"/>
      <c r="DB6" s="53">
        <v>0.0127232</v>
      </c>
      <c r="DC6" s="39"/>
      <c r="DD6" s="41" t="s">
        <v>168</v>
      </c>
      <c r="DE6" s="41" t="s">
        <v>173</v>
      </c>
      <c r="DF6" s="33"/>
      <c r="DG6" s="40"/>
      <c r="DH6" s="53">
        <v>0.0259972</v>
      </c>
      <c r="DI6" s="39"/>
      <c r="DJ6" s="41" t="s">
        <v>168</v>
      </c>
      <c r="DK6" s="41" t="s">
        <v>173</v>
      </c>
      <c r="DL6" s="33"/>
      <c r="DM6" s="40"/>
      <c r="DN6" s="53">
        <v>0.0042162</v>
      </c>
      <c r="DO6" s="39"/>
      <c r="DP6" s="41" t="s">
        <v>168</v>
      </c>
      <c r="DQ6" s="41" t="s">
        <v>173</v>
      </c>
      <c r="DR6" s="33"/>
      <c r="DS6" s="40"/>
      <c r="DT6" s="53">
        <v>0.0216282</v>
      </c>
      <c r="DU6" s="39"/>
      <c r="DV6" s="41" t="s">
        <v>168</v>
      </c>
      <c r="DW6" s="41" t="s">
        <v>173</v>
      </c>
      <c r="DX6" s="33"/>
      <c r="DY6" s="40"/>
      <c r="DZ6" s="53">
        <v>0.0001933</v>
      </c>
      <c r="EA6" s="39"/>
      <c r="EB6" s="41" t="s">
        <v>168</v>
      </c>
      <c r="EC6" s="41" t="s">
        <v>173</v>
      </c>
      <c r="ED6" s="33"/>
      <c r="EE6" s="40"/>
      <c r="EF6" s="53">
        <v>0.0002544</v>
      </c>
      <c r="EG6" s="39"/>
      <c r="EH6" s="41" t="s">
        <v>168</v>
      </c>
      <c r="EI6" s="41" t="s">
        <v>173</v>
      </c>
      <c r="EJ6" s="33"/>
      <c r="EK6" s="40"/>
      <c r="EL6" s="53">
        <v>0.0128187</v>
      </c>
      <c r="EM6" s="39"/>
      <c r="EN6" s="41" t="s">
        <v>168</v>
      </c>
      <c r="EO6" s="41" t="s">
        <v>173</v>
      </c>
      <c r="EP6" s="33"/>
      <c r="EQ6" s="40"/>
      <c r="ER6" s="53">
        <v>0.000244</v>
      </c>
      <c r="ES6" s="39"/>
      <c r="ET6" s="41" t="s">
        <v>168</v>
      </c>
      <c r="EU6" s="41" t="s">
        <v>173</v>
      </c>
      <c r="EV6" s="33"/>
      <c r="EW6" s="40"/>
      <c r="EX6" s="53">
        <v>0.0036459</v>
      </c>
      <c r="EY6" s="39"/>
      <c r="EZ6" s="41" t="s">
        <v>168</v>
      </c>
      <c r="FA6" s="41" t="s">
        <v>173</v>
      </c>
      <c r="FB6" s="33"/>
      <c r="FC6" s="40"/>
      <c r="FD6" s="53">
        <v>0.0025327</v>
      </c>
      <c r="FE6" s="39"/>
      <c r="FF6" s="41" t="s">
        <v>168</v>
      </c>
      <c r="FG6" s="41" t="s">
        <v>173</v>
      </c>
      <c r="FH6" s="33"/>
      <c r="FI6" s="40"/>
      <c r="FJ6" s="53">
        <v>0.0009887</v>
      </c>
      <c r="FK6" s="39"/>
      <c r="FL6" s="41" t="s">
        <v>168</v>
      </c>
      <c r="FM6" s="41" t="s">
        <v>173</v>
      </c>
      <c r="FN6" s="33"/>
      <c r="FO6" s="40"/>
      <c r="FP6" s="53">
        <v>0.0111111</v>
      </c>
      <c r="FQ6" s="39"/>
      <c r="FR6" s="41" t="s">
        <v>168</v>
      </c>
      <c r="FS6" s="41" t="s">
        <v>173</v>
      </c>
      <c r="FT6" s="33"/>
      <c r="FU6" s="40"/>
      <c r="FV6" s="53">
        <v>0.0250422</v>
      </c>
      <c r="FW6" s="39"/>
      <c r="FX6" s="41" t="s">
        <v>168</v>
      </c>
      <c r="FY6" s="41" t="s">
        <v>173</v>
      </c>
      <c r="FZ6" s="33"/>
      <c r="GA6" s="40"/>
      <c r="GB6" s="53">
        <v>0.0031957</v>
      </c>
      <c r="GC6" s="39"/>
      <c r="GD6" s="41" t="s">
        <v>168</v>
      </c>
      <c r="GE6" s="41" t="s">
        <v>173</v>
      </c>
      <c r="GF6" s="33"/>
      <c r="GG6" s="40"/>
      <c r="GH6" s="53">
        <v>0.0050748</v>
      </c>
      <c r="GI6" s="39"/>
      <c r="GJ6" s="41" t="s">
        <v>168</v>
      </c>
      <c r="GK6" s="41" t="s">
        <v>173</v>
      </c>
      <c r="GL6" s="33"/>
      <c r="GM6" s="40"/>
      <c r="GN6" s="53">
        <v>0.0235189</v>
      </c>
      <c r="GO6" s="39"/>
      <c r="GP6" s="41" t="s">
        <v>168</v>
      </c>
      <c r="GQ6" s="41" t="s">
        <v>173</v>
      </c>
      <c r="GR6" s="33"/>
      <c r="GS6" s="40"/>
      <c r="GT6" s="53">
        <v>0.0012482</v>
      </c>
      <c r="GU6" s="39"/>
      <c r="GV6" s="41" t="s">
        <v>168</v>
      </c>
      <c r="GW6" s="41" t="s">
        <v>173</v>
      </c>
      <c r="GX6" s="33"/>
      <c r="GY6" s="40"/>
      <c r="GZ6" s="53">
        <v>0.0071564</v>
      </c>
      <c r="HA6" s="39"/>
      <c r="HB6" s="41" t="s">
        <v>168</v>
      </c>
      <c r="HC6" s="41" t="s">
        <v>173</v>
      </c>
      <c r="HD6" s="33"/>
    </row>
    <row r="7" spans="1:211" ht="12.75">
      <c r="A7" s="26"/>
      <c r="C7" s="41" t="s">
        <v>11</v>
      </c>
      <c r="D7" s="41" t="s">
        <v>12</v>
      </c>
      <c r="E7" s="41" t="s">
        <v>4</v>
      </c>
      <c r="F7" s="41" t="s">
        <v>169</v>
      </c>
      <c r="G7" s="97" t="s">
        <v>170</v>
      </c>
      <c r="I7" s="41" t="s">
        <v>11</v>
      </c>
      <c r="J7" s="41" t="s">
        <v>12</v>
      </c>
      <c r="K7" s="41" t="s">
        <v>4</v>
      </c>
      <c r="L7" s="41" t="s">
        <v>169</v>
      </c>
      <c r="M7" s="97" t="s">
        <v>170</v>
      </c>
      <c r="O7" s="41" t="s">
        <v>11</v>
      </c>
      <c r="P7" s="41" t="s">
        <v>12</v>
      </c>
      <c r="Q7" s="41" t="s">
        <v>4</v>
      </c>
      <c r="R7" s="41" t="s">
        <v>169</v>
      </c>
      <c r="S7" s="97" t="s">
        <v>170</v>
      </c>
      <c r="U7" s="41" t="s">
        <v>11</v>
      </c>
      <c r="V7" s="41" t="s">
        <v>12</v>
      </c>
      <c r="W7" s="41" t="s">
        <v>4</v>
      </c>
      <c r="X7" s="41" t="s">
        <v>169</v>
      </c>
      <c r="Y7" s="97" t="s">
        <v>170</v>
      </c>
      <c r="AA7" s="41" t="s">
        <v>11</v>
      </c>
      <c r="AB7" s="41" t="s">
        <v>12</v>
      </c>
      <c r="AC7" s="41" t="s">
        <v>4</v>
      </c>
      <c r="AD7" s="41" t="s">
        <v>169</v>
      </c>
      <c r="AE7" s="97" t="s">
        <v>170</v>
      </c>
      <c r="AG7" s="41" t="s">
        <v>11</v>
      </c>
      <c r="AH7" s="41" t="s">
        <v>12</v>
      </c>
      <c r="AI7" s="41" t="s">
        <v>4</v>
      </c>
      <c r="AJ7" s="41" t="s">
        <v>169</v>
      </c>
      <c r="AK7" s="97" t="s">
        <v>170</v>
      </c>
      <c r="AM7" s="41" t="s">
        <v>11</v>
      </c>
      <c r="AN7" s="41" t="s">
        <v>12</v>
      </c>
      <c r="AO7" s="41" t="s">
        <v>4</v>
      </c>
      <c r="AP7" s="41" t="s">
        <v>169</v>
      </c>
      <c r="AQ7" s="97" t="s">
        <v>170</v>
      </c>
      <c r="AR7" s="64"/>
      <c r="AS7" s="41" t="s">
        <v>11</v>
      </c>
      <c r="AT7" s="41" t="s">
        <v>12</v>
      </c>
      <c r="AU7" s="41" t="s">
        <v>4</v>
      </c>
      <c r="AV7" s="41" t="s">
        <v>169</v>
      </c>
      <c r="AW7" s="97" t="s">
        <v>170</v>
      </c>
      <c r="AY7" s="41" t="s">
        <v>11</v>
      </c>
      <c r="AZ7" s="41" t="s">
        <v>12</v>
      </c>
      <c r="BA7" s="41" t="s">
        <v>4</v>
      </c>
      <c r="BB7" s="41" t="s">
        <v>169</v>
      </c>
      <c r="BC7" s="97" t="s">
        <v>170</v>
      </c>
      <c r="BE7" s="41" t="s">
        <v>11</v>
      </c>
      <c r="BF7" s="41" t="s">
        <v>12</v>
      </c>
      <c r="BG7" s="41" t="s">
        <v>4</v>
      </c>
      <c r="BH7" s="41" t="s">
        <v>169</v>
      </c>
      <c r="BI7" s="97" t="s">
        <v>170</v>
      </c>
      <c r="BK7" s="41" t="s">
        <v>11</v>
      </c>
      <c r="BL7" s="41" t="s">
        <v>12</v>
      </c>
      <c r="BM7" s="41" t="s">
        <v>4</v>
      </c>
      <c r="BN7" s="41" t="s">
        <v>169</v>
      </c>
      <c r="BO7" s="97" t="s">
        <v>170</v>
      </c>
      <c r="BQ7" s="41" t="s">
        <v>11</v>
      </c>
      <c r="BR7" s="41" t="s">
        <v>12</v>
      </c>
      <c r="BS7" s="41" t="s">
        <v>4</v>
      </c>
      <c r="BT7" s="41" t="s">
        <v>169</v>
      </c>
      <c r="BU7" s="97" t="s">
        <v>170</v>
      </c>
      <c r="BW7" s="41" t="s">
        <v>11</v>
      </c>
      <c r="BX7" s="41" t="s">
        <v>12</v>
      </c>
      <c r="BY7" s="41" t="s">
        <v>4</v>
      </c>
      <c r="BZ7" s="41" t="s">
        <v>169</v>
      </c>
      <c r="CA7" s="97" t="s">
        <v>170</v>
      </c>
      <c r="CB7" s="64"/>
      <c r="CC7" s="41" t="s">
        <v>11</v>
      </c>
      <c r="CD7" s="41" t="s">
        <v>12</v>
      </c>
      <c r="CE7" s="41" t="s">
        <v>4</v>
      </c>
      <c r="CF7" s="41" t="s">
        <v>169</v>
      </c>
      <c r="CG7" s="97" t="s">
        <v>170</v>
      </c>
      <c r="CI7" s="41" t="s">
        <v>11</v>
      </c>
      <c r="CJ7" s="41" t="s">
        <v>12</v>
      </c>
      <c r="CK7" s="41" t="s">
        <v>4</v>
      </c>
      <c r="CL7" s="41" t="s">
        <v>169</v>
      </c>
      <c r="CM7" s="97" t="s">
        <v>170</v>
      </c>
      <c r="CO7" s="41" t="s">
        <v>11</v>
      </c>
      <c r="CP7" s="41" t="s">
        <v>12</v>
      </c>
      <c r="CQ7" s="41" t="s">
        <v>4</v>
      </c>
      <c r="CR7" s="41" t="s">
        <v>169</v>
      </c>
      <c r="CS7" s="97" t="s">
        <v>170</v>
      </c>
      <c r="CU7" s="41" t="s">
        <v>11</v>
      </c>
      <c r="CV7" s="41" t="s">
        <v>12</v>
      </c>
      <c r="CW7" s="41" t="s">
        <v>4</v>
      </c>
      <c r="CX7" s="41" t="s">
        <v>169</v>
      </c>
      <c r="CY7" s="97" t="s">
        <v>170</v>
      </c>
      <c r="DA7" s="41" t="s">
        <v>11</v>
      </c>
      <c r="DB7" s="41" t="s">
        <v>12</v>
      </c>
      <c r="DC7" s="41" t="s">
        <v>4</v>
      </c>
      <c r="DD7" s="41" t="s">
        <v>169</v>
      </c>
      <c r="DE7" s="97" t="s">
        <v>170</v>
      </c>
      <c r="DG7" s="41" t="s">
        <v>11</v>
      </c>
      <c r="DH7" s="41" t="s">
        <v>12</v>
      </c>
      <c r="DI7" s="41" t="s">
        <v>4</v>
      </c>
      <c r="DJ7" s="41" t="s">
        <v>169</v>
      </c>
      <c r="DK7" s="97" t="s">
        <v>170</v>
      </c>
      <c r="DM7" s="41" t="s">
        <v>11</v>
      </c>
      <c r="DN7" s="41" t="s">
        <v>12</v>
      </c>
      <c r="DO7" s="41" t="s">
        <v>4</v>
      </c>
      <c r="DP7" s="41" t="s">
        <v>169</v>
      </c>
      <c r="DQ7" s="97" t="s">
        <v>170</v>
      </c>
      <c r="DS7" s="41" t="s">
        <v>11</v>
      </c>
      <c r="DT7" s="41" t="s">
        <v>12</v>
      </c>
      <c r="DU7" s="41" t="s">
        <v>4</v>
      </c>
      <c r="DV7" s="41" t="s">
        <v>169</v>
      </c>
      <c r="DW7" s="97" t="s">
        <v>170</v>
      </c>
      <c r="DY7" s="41" t="s">
        <v>11</v>
      </c>
      <c r="DZ7" s="41" t="s">
        <v>12</v>
      </c>
      <c r="EA7" s="41" t="s">
        <v>4</v>
      </c>
      <c r="EB7" s="41" t="s">
        <v>169</v>
      </c>
      <c r="EC7" s="97" t="s">
        <v>170</v>
      </c>
      <c r="EE7" s="41" t="s">
        <v>11</v>
      </c>
      <c r="EF7" s="41" t="s">
        <v>12</v>
      </c>
      <c r="EG7" s="41" t="s">
        <v>4</v>
      </c>
      <c r="EH7" s="41" t="s">
        <v>169</v>
      </c>
      <c r="EI7" s="97" t="s">
        <v>170</v>
      </c>
      <c r="EK7" s="41" t="s">
        <v>11</v>
      </c>
      <c r="EL7" s="41" t="s">
        <v>12</v>
      </c>
      <c r="EM7" s="41" t="s">
        <v>4</v>
      </c>
      <c r="EN7" s="41" t="s">
        <v>169</v>
      </c>
      <c r="EO7" s="97" t="s">
        <v>170</v>
      </c>
      <c r="EQ7" s="41" t="s">
        <v>11</v>
      </c>
      <c r="ER7" s="41" t="s">
        <v>12</v>
      </c>
      <c r="ES7" s="41" t="s">
        <v>4</v>
      </c>
      <c r="ET7" s="41" t="s">
        <v>169</v>
      </c>
      <c r="EU7" s="97" t="s">
        <v>170</v>
      </c>
      <c r="EW7" s="41" t="s">
        <v>11</v>
      </c>
      <c r="EX7" s="41" t="s">
        <v>12</v>
      </c>
      <c r="EY7" s="41" t="s">
        <v>4</v>
      </c>
      <c r="EZ7" s="41" t="s">
        <v>169</v>
      </c>
      <c r="FA7" s="97" t="s">
        <v>170</v>
      </c>
      <c r="FC7" s="41" t="s">
        <v>11</v>
      </c>
      <c r="FD7" s="41" t="s">
        <v>12</v>
      </c>
      <c r="FE7" s="41" t="s">
        <v>4</v>
      </c>
      <c r="FF7" s="41" t="s">
        <v>169</v>
      </c>
      <c r="FG7" s="97" t="s">
        <v>170</v>
      </c>
      <c r="FI7" s="41" t="s">
        <v>11</v>
      </c>
      <c r="FJ7" s="41" t="s">
        <v>12</v>
      </c>
      <c r="FK7" s="41" t="s">
        <v>4</v>
      </c>
      <c r="FL7" s="41" t="s">
        <v>169</v>
      </c>
      <c r="FM7" s="97" t="s">
        <v>170</v>
      </c>
      <c r="FO7" s="41" t="s">
        <v>11</v>
      </c>
      <c r="FP7" s="41" t="s">
        <v>12</v>
      </c>
      <c r="FQ7" s="41" t="s">
        <v>4</v>
      </c>
      <c r="FR7" s="41" t="s">
        <v>169</v>
      </c>
      <c r="FS7" s="97" t="s">
        <v>170</v>
      </c>
      <c r="FU7" s="41" t="s">
        <v>11</v>
      </c>
      <c r="FV7" s="41" t="s">
        <v>12</v>
      </c>
      <c r="FW7" s="41" t="s">
        <v>4</v>
      </c>
      <c r="FX7" s="41" t="s">
        <v>169</v>
      </c>
      <c r="FY7" s="97" t="s">
        <v>170</v>
      </c>
      <c r="GA7" s="41" t="s">
        <v>11</v>
      </c>
      <c r="GB7" s="41" t="s">
        <v>12</v>
      </c>
      <c r="GC7" s="41" t="s">
        <v>4</v>
      </c>
      <c r="GD7" s="41" t="s">
        <v>169</v>
      </c>
      <c r="GE7" s="97" t="s">
        <v>170</v>
      </c>
      <c r="GG7" s="41" t="s">
        <v>11</v>
      </c>
      <c r="GH7" s="41" t="s">
        <v>12</v>
      </c>
      <c r="GI7" s="41" t="s">
        <v>4</v>
      </c>
      <c r="GJ7" s="41" t="s">
        <v>169</v>
      </c>
      <c r="GK7" s="97" t="s">
        <v>170</v>
      </c>
      <c r="GM7" s="41" t="s">
        <v>11</v>
      </c>
      <c r="GN7" s="41" t="s">
        <v>12</v>
      </c>
      <c r="GO7" s="41" t="s">
        <v>4</v>
      </c>
      <c r="GP7" s="41" t="s">
        <v>169</v>
      </c>
      <c r="GQ7" s="97" t="s">
        <v>170</v>
      </c>
      <c r="GS7" s="41" t="s">
        <v>11</v>
      </c>
      <c r="GT7" s="41" t="s">
        <v>12</v>
      </c>
      <c r="GU7" s="41" t="s">
        <v>4</v>
      </c>
      <c r="GV7" s="41" t="s">
        <v>169</v>
      </c>
      <c r="GW7" s="97" t="s">
        <v>170</v>
      </c>
      <c r="GY7" s="41" t="s">
        <v>11</v>
      </c>
      <c r="GZ7" s="41" t="s">
        <v>12</v>
      </c>
      <c r="HA7" s="41" t="s">
        <v>4</v>
      </c>
      <c r="HB7" s="41" t="s">
        <v>169</v>
      </c>
      <c r="HC7" s="97" t="s">
        <v>170</v>
      </c>
    </row>
    <row r="8" spans="1:217" s="52" customFormat="1" ht="12.75">
      <c r="A8" s="51">
        <v>44835</v>
      </c>
      <c r="C8" s="36"/>
      <c r="D8" s="36">
        <v>311000</v>
      </c>
      <c r="E8" s="74">
        <f>SUM(C8:D8)</f>
        <v>311000</v>
      </c>
      <c r="F8" s="74">
        <v>564792</v>
      </c>
      <c r="G8" s="74">
        <v>87474</v>
      </c>
      <c r="H8" s="76"/>
      <c r="I8" s="76"/>
      <c r="J8" s="76">
        <f>P8+V8+AB8+AH8+AN8+AT8+AZ8+BF8+BL8+BR8+BX8+CD8+CJ8+CP8+CV8+DB8+DH8+DN8+DT8+DZ8+EF8+EL8+ER8+EX8+FD8+FJ8+FP8+FV8+GB8+GH8+GN8+GT8+GZ8</f>
        <v>168818.85489999998</v>
      </c>
      <c r="K8" s="76">
        <f>I8+J8</f>
        <v>168818.85489999998</v>
      </c>
      <c r="L8" s="76">
        <f aca="true" t="shared" si="0" ref="L8:M11">R8+X8+AD8+AJ8+AP8+AV8+BB8+BH8+BN8+BT8+BZ8+CF8+CL8+CR8+CX8+DD8+DJ8+DP8+DV8+EB8+EH8+EN8+ET8+EZ8+FF8+FL8+FR8+FX8+GD8+GJ8+GP8+GV8+HB8</f>
        <v>306583.7257128</v>
      </c>
      <c r="M8" s="76">
        <f t="shared" si="0"/>
        <v>47483.1527766</v>
      </c>
      <c r="N8" s="76"/>
      <c r="O8" s="75"/>
      <c r="P8" s="75">
        <f>D8*6.61452/100</f>
        <v>20571.1572</v>
      </c>
      <c r="Q8" s="76">
        <f>O8+P8</f>
        <v>20571.1572</v>
      </c>
      <c r="R8" s="76">
        <f>P$6*$F8</f>
        <v>37358.2797984</v>
      </c>
      <c r="S8" s="74">
        <f>P$6*$G8</f>
        <v>5785.9852248</v>
      </c>
      <c r="T8" s="76"/>
      <c r="U8" s="75"/>
      <c r="V8" s="75">
        <f>D8*0.11296/100</f>
        <v>351.3056</v>
      </c>
      <c r="W8" s="75">
        <f>U8+V8</f>
        <v>351.3056</v>
      </c>
      <c r="X8" s="76">
        <f>V$6*$F8</f>
        <v>637.9890432</v>
      </c>
      <c r="Y8" s="74">
        <f>V$6*$G8</f>
        <v>98.8106304</v>
      </c>
      <c r="Z8" s="76"/>
      <c r="AA8" s="76"/>
      <c r="AB8" s="75">
        <f>D8*0.50994/100</f>
        <v>1585.9134</v>
      </c>
      <c r="AC8" s="75">
        <f>AA8+AB8</f>
        <v>1585.9134</v>
      </c>
      <c r="AD8" s="76">
        <f>AB$6*$F8</f>
        <v>2880.1003247999997</v>
      </c>
      <c r="AE8" s="74">
        <f>AB$6*$G8</f>
        <v>446.06491559999995</v>
      </c>
      <c r="AF8" s="76"/>
      <c r="AG8" s="75"/>
      <c r="AH8" s="75">
        <f>D8*8.86797/100</f>
        <v>27579.3867</v>
      </c>
      <c r="AI8" s="75">
        <f>AG8+AH8</f>
        <v>27579.3867</v>
      </c>
      <c r="AJ8" s="76">
        <f>AH$6*$F8</f>
        <v>50085.5851224</v>
      </c>
      <c r="AK8" s="74">
        <f>AH$6*$G8</f>
        <v>7757.1680778</v>
      </c>
      <c r="AL8" s="76"/>
      <c r="AM8" s="75"/>
      <c r="AN8" s="75">
        <f>D8*0.10742/100</f>
        <v>334.07620000000003</v>
      </c>
      <c r="AO8" s="75">
        <f>AM8+AN8</f>
        <v>334.07620000000003</v>
      </c>
      <c r="AP8" s="76">
        <f>AN$6*$F8</f>
        <v>606.6995664</v>
      </c>
      <c r="AQ8" s="74">
        <f>AN$6*$G8</f>
        <v>93.9645708</v>
      </c>
      <c r="AR8" s="75"/>
      <c r="AS8" s="75"/>
      <c r="AT8" s="75">
        <f>D8*0.09059/100</f>
        <v>281.73490000000004</v>
      </c>
      <c r="AU8" s="75">
        <f>AS8+AT8</f>
        <v>281.73490000000004</v>
      </c>
      <c r="AV8" s="76">
        <f>AT$6*$F8</f>
        <v>511.6450728</v>
      </c>
      <c r="AW8" s="74">
        <f>AT$6*$G8</f>
        <v>79.2426966</v>
      </c>
      <c r="AX8" s="76"/>
      <c r="AY8" s="75"/>
      <c r="AZ8" s="75">
        <f>D8*3.71668/100</f>
        <v>11558.8748</v>
      </c>
      <c r="BA8" s="75">
        <f>AY8+AZ8</f>
        <v>11558.8748</v>
      </c>
      <c r="BB8" s="76">
        <f>AZ$6*$F8</f>
        <v>20991.5113056</v>
      </c>
      <c r="BC8" s="74">
        <f>AZ$6*$G8</f>
        <v>3251.1286632</v>
      </c>
      <c r="BD8" s="76"/>
      <c r="BE8" s="75"/>
      <c r="BF8" s="75">
        <f>D8*7.62623/100</f>
        <v>23717.575299999997</v>
      </c>
      <c r="BG8" s="75">
        <f>BE8+BF8</f>
        <v>23717.575299999997</v>
      </c>
      <c r="BH8" s="76">
        <f>BF$6*$F8</f>
        <v>43072.336941600006</v>
      </c>
      <c r="BI8" s="74">
        <f>BF$6*$G8</f>
        <v>6670.9684302000005</v>
      </c>
      <c r="BJ8" s="76"/>
      <c r="BK8" s="75"/>
      <c r="BL8" s="75">
        <f>D8*0.08804/100</f>
        <v>273.8044</v>
      </c>
      <c r="BM8" s="75">
        <f>BK8+BL8</f>
        <v>273.8044</v>
      </c>
      <c r="BN8" s="76">
        <f>BL$6*$F8</f>
        <v>497.24287680000003</v>
      </c>
      <c r="BO8" s="74">
        <f>BL$6*$G8</f>
        <v>77.0121096</v>
      </c>
      <c r="BP8" s="76"/>
      <c r="BQ8" s="75"/>
      <c r="BR8" s="75">
        <f>D8*0.05914/100</f>
        <v>183.9254</v>
      </c>
      <c r="BS8" s="75">
        <f>BQ8+BR8</f>
        <v>183.9254</v>
      </c>
      <c r="BT8" s="76">
        <f>BR$6*$F8</f>
        <v>334.01798879999996</v>
      </c>
      <c r="BU8" s="74">
        <f>BR$6*$G8</f>
        <v>51.732123599999994</v>
      </c>
      <c r="BV8" s="76"/>
      <c r="BW8" s="75"/>
      <c r="BX8" s="75">
        <f>D8*-0.00881/100</f>
        <v>-27.399099999999997</v>
      </c>
      <c r="BY8" s="75">
        <f>BW8+BX8</f>
        <v>-27.399099999999997</v>
      </c>
      <c r="BZ8" s="76">
        <f>BX$6*$F8</f>
        <v>-49.7581752</v>
      </c>
      <c r="CA8" s="74">
        <f>BX$6*$G8</f>
        <v>-7.7064594</v>
      </c>
      <c r="CB8" s="75"/>
      <c r="CC8" s="75"/>
      <c r="CD8" s="75">
        <f>D8*-0.00574/100</f>
        <v>-17.8514</v>
      </c>
      <c r="CE8" s="75">
        <f>CC8+CD8</f>
        <v>-17.8514</v>
      </c>
      <c r="CF8" s="76">
        <f>CD$6*$F8</f>
        <v>-32.4190608</v>
      </c>
      <c r="CG8" s="74">
        <f>CD$6*$G8</f>
        <v>-5.0210076</v>
      </c>
      <c r="CH8" s="76"/>
      <c r="CI8" s="75"/>
      <c r="CJ8" s="75">
        <f>D8*0.21346/100</f>
        <v>663.8606</v>
      </c>
      <c r="CK8" s="75">
        <f>CI8+CJ8</f>
        <v>663.8606</v>
      </c>
      <c r="CL8" s="76">
        <f>CJ$6*$F8</f>
        <v>1205.6050032</v>
      </c>
      <c r="CM8" s="74">
        <f>CJ$6*$G8</f>
        <v>186.72200039999998</v>
      </c>
      <c r="CN8" s="76"/>
      <c r="CO8" s="75"/>
      <c r="CP8" s="75">
        <f>D8*1.3127/100</f>
        <v>4082.4970000000003</v>
      </c>
      <c r="CQ8" s="75">
        <f>CO8+CP8</f>
        <v>4082.4970000000003</v>
      </c>
      <c r="CR8" s="76">
        <f>CP$6*$F8</f>
        <v>7414.024584</v>
      </c>
      <c r="CS8" s="74">
        <f>CP$6*$G8</f>
        <v>1148.271198</v>
      </c>
      <c r="CT8" s="76"/>
      <c r="CU8" s="75"/>
      <c r="CV8" s="75">
        <f>D8*8.81851/100</f>
        <v>27425.5661</v>
      </c>
      <c r="CW8" s="75">
        <f>CU8+CV8</f>
        <v>27425.5661</v>
      </c>
      <c r="CX8" s="76">
        <f>CV$6*$F8</f>
        <v>49806.2389992</v>
      </c>
      <c r="CY8" s="74">
        <f>CV$6*$G8</f>
        <v>7713.9034374</v>
      </c>
      <c r="CZ8" s="76"/>
      <c r="DA8" s="75"/>
      <c r="DB8" s="75">
        <f>D8*1.27232/100</f>
        <v>3956.9151999999995</v>
      </c>
      <c r="DC8" s="75">
        <f>DA8+DB8</f>
        <v>3956.9151999999995</v>
      </c>
      <c r="DD8" s="76">
        <f>DB$6*$F8</f>
        <v>7185.9615744</v>
      </c>
      <c r="DE8" s="74">
        <f>DB$6*$G8</f>
        <v>1112.9491968</v>
      </c>
      <c r="DF8" s="76"/>
      <c r="DG8" s="75"/>
      <c r="DH8" s="75">
        <f>D8*2.59972/100</f>
        <v>8085.1292</v>
      </c>
      <c r="DI8" s="75">
        <f>DG8+DH8</f>
        <v>8085.1292</v>
      </c>
      <c r="DJ8" s="76">
        <f>DH$6*$F8</f>
        <v>14683.0105824</v>
      </c>
      <c r="DK8" s="74">
        <f>DH$6*$G8</f>
        <v>2274.0790728</v>
      </c>
      <c r="DL8" s="76"/>
      <c r="DM8" s="75"/>
      <c r="DN8" s="75">
        <f>D8*0.42162/100</f>
        <v>1311.2382</v>
      </c>
      <c r="DO8" s="75">
        <f>DM8+DN8</f>
        <v>1311.2382</v>
      </c>
      <c r="DP8" s="76">
        <f>DN$6*$F8</f>
        <v>2381.2760304</v>
      </c>
      <c r="DQ8" s="74">
        <f>DN$6*$G8</f>
        <v>368.80787879999997</v>
      </c>
      <c r="DR8" s="76"/>
      <c r="DS8" s="75"/>
      <c r="DT8" s="75">
        <f>D8*2.16282/100</f>
        <v>6726.3702</v>
      </c>
      <c r="DU8" s="75">
        <f>DS8+DT8</f>
        <v>6726.3702</v>
      </c>
      <c r="DV8" s="76">
        <f>DT$6*$F8</f>
        <v>12215.4343344</v>
      </c>
      <c r="DW8" s="74">
        <f>DT$6*$G8</f>
        <v>1891.9051668</v>
      </c>
      <c r="DX8" s="76"/>
      <c r="DY8" s="75"/>
      <c r="DZ8" s="75">
        <f>D8*0.01933/100</f>
        <v>60.1163</v>
      </c>
      <c r="EA8" s="75">
        <f>DY8+DZ8</f>
        <v>60.1163</v>
      </c>
      <c r="EB8" s="76">
        <f>DZ$6*$F8</f>
        <v>109.1742936</v>
      </c>
      <c r="EC8" s="74">
        <f>DZ$6*$G8</f>
        <v>16.9087242</v>
      </c>
      <c r="ED8" s="76"/>
      <c r="EE8" s="75"/>
      <c r="EF8" s="75">
        <f>D8*0.02544/100</f>
        <v>79.11840000000001</v>
      </c>
      <c r="EG8" s="75">
        <f>EE8+EF8</f>
        <v>79.11840000000001</v>
      </c>
      <c r="EH8" s="76">
        <f>EF$6*$F8</f>
        <v>143.6830848</v>
      </c>
      <c r="EI8" s="74">
        <f>EF$6*$G8</f>
        <v>22.2533856</v>
      </c>
      <c r="EJ8" s="76"/>
      <c r="EK8" s="75"/>
      <c r="EL8" s="75">
        <f>D8*1.28187/100</f>
        <v>3986.6157000000003</v>
      </c>
      <c r="EM8" s="75">
        <f>EK8+EL8</f>
        <v>3986.6157000000003</v>
      </c>
      <c r="EN8" s="76">
        <f>EL$6*$F8</f>
        <v>7239.8992104</v>
      </c>
      <c r="EO8" s="74">
        <f>EL$6*$G8</f>
        <v>1121.3029638</v>
      </c>
      <c r="EP8" s="76"/>
      <c r="EQ8" s="75"/>
      <c r="ER8" s="75">
        <f>D8*0.0244/100</f>
        <v>75.884</v>
      </c>
      <c r="ES8" s="75">
        <f>EQ8+ER8</f>
        <v>75.884</v>
      </c>
      <c r="ET8" s="76">
        <f>ER$6*$F8</f>
        <v>137.809248</v>
      </c>
      <c r="EU8" s="74">
        <f>ER$6*$G8</f>
        <v>21.343656</v>
      </c>
      <c r="EV8" s="76"/>
      <c r="EW8" s="75"/>
      <c r="EX8" s="75">
        <f>D8*0.36459/100</f>
        <v>1133.8749</v>
      </c>
      <c r="EY8" s="75">
        <f>EW8+EX8</f>
        <v>1133.8749</v>
      </c>
      <c r="EZ8" s="76">
        <f>EX$6*$F8</f>
        <v>2059.1751528</v>
      </c>
      <c r="FA8" s="74">
        <f>EX$6*$G8</f>
        <v>318.9214566</v>
      </c>
      <c r="FB8" s="76"/>
      <c r="FC8" s="75"/>
      <c r="FD8" s="75">
        <f>D8*0.25327/100</f>
        <v>787.6697</v>
      </c>
      <c r="FE8" s="75">
        <f>FC8+FD8</f>
        <v>787.6697</v>
      </c>
      <c r="FF8" s="76">
        <f>FD$6*$F8</f>
        <v>1430.4486984</v>
      </c>
      <c r="FG8" s="74">
        <f>FD$6*$G8</f>
        <v>221.5453998</v>
      </c>
      <c r="FH8" s="76"/>
      <c r="FI8" s="75"/>
      <c r="FJ8" s="75">
        <f>D8*0.09887/100</f>
        <v>307.4857</v>
      </c>
      <c r="FK8" s="75">
        <f>FI8+FJ8</f>
        <v>307.4857</v>
      </c>
      <c r="FL8" s="76">
        <f>FJ$6*$F8</f>
        <v>558.4098504</v>
      </c>
      <c r="FM8" s="74">
        <f>FJ$6*$G8</f>
        <v>86.48554379999999</v>
      </c>
      <c r="FN8" s="76"/>
      <c r="FO8" s="75"/>
      <c r="FP8" s="75">
        <f>D8*1.11111/100</f>
        <v>3455.5521000000003</v>
      </c>
      <c r="FQ8" s="75">
        <f>FO8+FP8</f>
        <v>3455.5521000000003</v>
      </c>
      <c r="FR8" s="76">
        <f>FP$6*$F8</f>
        <v>6275.4603912</v>
      </c>
      <c r="FS8" s="74">
        <f>FP$6*$G8</f>
        <v>971.9323614</v>
      </c>
      <c r="FT8" s="76"/>
      <c r="FU8" s="75"/>
      <c r="FV8" s="75">
        <f>D8*2.50422/100</f>
        <v>7788.1242</v>
      </c>
      <c r="FW8" s="75">
        <f>FU8+FV8</f>
        <v>7788.1242</v>
      </c>
      <c r="FX8" s="76">
        <f>FV$6*$F8</f>
        <v>14143.6342224</v>
      </c>
      <c r="FY8" s="74">
        <f>FV$6*$G8</f>
        <v>2190.5414028</v>
      </c>
      <c r="FZ8" s="76"/>
      <c r="GA8" s="75"/>
      <c r="GB8" s="75">
        <f>D8*0.31957/100</f>
        <v>993.8627</v>
      </c>
      <c r="GC8" s="75">
        <f>GA8+GB8</f>
        <v>993.8627</v>
      </c>
      <c r="GD8" s="76">
        <f>GB$6*$F8</f>
        <v>1804.9057944</v>
      </c>
      <c r="GE8" s="74">
        <f>GB$6*$G8</f>
        <v>279.5406618</v>
      </c>
      <c r="GF8" s="76"/>
      <c r="GG8" s="75"/>
      <c r="GH8" s="75">
        <f>D8*0.50748/100</f>
        <v>1578.2628</v>
      </c>
      <c r="GI8" s="75">
        <f>GG8+GH8</f>
        <v>1578.2628</v>
      </c>
      <c r="GJ8" s="76">
        <f>GH$6*$F8</f>
        <v>2866.2064416</v>
      </c>
      <c r="GK8" s="74">
        <f>GH$6*$G8</f>
        <v>443.9130552</v>
      </c>
      <c r="GL8" s="76"/>
      <c r="GM8" s="75"/>
      <c r="GN8" s="75">
        <f>D8*2.35189/100</f>
        <v>7314.3779</v>
      </c>
      <c r="GO8" s="75">
        <f>GM8+GN8</f>
        <v>7314.3779</v>
      </c>
      <c r="GP8" s="76">
        <f>GN$6*$F8</f>
        <v>13283.2865688</v>
      </c>
      <c r="GQ8" s="74">
        <f>GN$6*$G8</f>
        <v>2057.2922586</v>
      </c>
      <c r="GR8" s="76"/>
      <c r="GS8" s="75"/>
      <c r="GT8" s="75">
        <f>D8*0.12482/100</f>
        <v>388.19019999999995</v>
      </c>
      <c r="GU8" s="75">
        <f>GS8+GT8</f>
        <v>388.19019999999995</v>
      </c>
      <c r="GV8" s="76">
        <f>GT$6*$F8</f>
        <v>704.9733744</v>
      </c>
      <c r="GW8" s="74">
        <f>GT$6*$G8</f>
        <v>109.18504680000001</v>
      </c>
      <c r="GX8" s="76"/>
      <c r="GY8" s="75"/>
      <c r="GZ8" s="75">
        <f>D8*0.71564/100</f>
        <v>2225.6404</v>
      </c>
      <c r="HA8" s="75">
        <f>GY8+GZ8</f>
        <v>2225.6404</v>
      </c>
      <c r="HB8" s="76">
        <f>GZ$6*$F8</f>
        <v>4041.8774688000003</v>
      </c>
      <c r="HC8" s="74">
        <f>GZ$6*$G8</f>
        <v>625.9989336</v>
      </c>
      <c r="HD8" s="76"/>
      <c r="HE8" s="76"/>
      <c r="HF8" s="76"/>
      <c r="HG8" s="76"/>
      <c r="HH8" s="76"/>
      <c r="HI8" s="76"/>
    </row>
    <row r="9" spans="1:217" s="52" customFormat="1" ht="12.75">
      <c r="A9" s="51">
        <v>45017</v>
      </c>
      <c r="C9" s="36">
        <v>5470000</v>
      </c>
      <c r="D9" s="36">
        <v>311000</v>
      </c>
      <c r="E9" s="74">
        <f>SUM(C9:D9)</f>
        <v>5781000</v>
      </c>
      <c r="F9" s="74">
        <v>564792</v>
      </c>
      <c r="G9" s="74">
        <v>87474</v>
      </c>
      <c r="H9" s="76"/>
      <c r="I9" s="76">
        <f>O9+U9+AA9+AG9+AM9+AS9+AY9+BE9+BK9+BQ9+BW9+CC9+CI9+CO9+CU9+DA9+DG9+DM9+DS9+DY9+EE9+EK9+EQ9+EW9+FC9+FI9+FO9+FU9+GA9+GG9+GM9+GS9+GY9</f>
        <v>2969257.6729999995</v>
      </c>
      <c r="J9" s="76">
        <f>P9+V9+AB9+AH9+AN9+AT9+AZ9+BF9+BL9+BR9+BX9+CD9+CJ9+CP9+CV9+DB9+DH9+DN9+DT9+DZ9+EF9+EL9+ER9+EX9+FD9+FJ9+FP9+FV9+GB9+GH9+GN9+GT9+GZ9</f>
        <v>168818.85489999998</v>
      </c>
      <c r="K9" s="76">
        <f>I9+J9</f>
        <v>3138076.5278999996</v>
      </c>
      <c r="L9" s="76">
        <f t="shared" si="0"/>
        <v>306583.7257128</v>
      </c>
      <c r="M9" s="76">
        <f t="shared" si="0"/>
        <v>47483.1527766</v>
      </c>
      <c r="N9" s="76"/>
      <c r="O9" s="75">
        <f>C9*6.61452/100</f>
        <v>361814.244</v>
      </c>
      <c r="P9" s="75">
        <f>D9*6.61452/100</f>
        <v>20571.1572</v>
      </c>
      <c r="Q9" s="76">
        <f>O9+P9</f>
        <v>382385.4012</v>
      </c>
      <c r="R9" s="76">
        <f>P$6*$F9</f>
        <v>37358.2797984</v>
      </c>
      <c r="S9" s="74">
        <f>P$6*$G9</f>
        <v>5785.9852248</v>
      </c>
      <c r="T9" s="76"/>
      <c r="U9" s="75">
        <f>C9*0.11296/100</f>
        <v>6178.912</v>
      </c>
      <c r="V9" s="75">
        <f>D9*0.11296/100</f>
        <v>351.3056</v>
      </c>
      <c r="W9" s="75">
        <f>U9+V9</f>
        <v>6530.2176</v>
      </c>
      <c r="X9" s="76">
        <f>V$6*$F9</f>
        <v>637.9890432</v>
      </c>
      <c r="Y9" s="74">
        <f>V$6*$G9</f>
        <v>98.8106304</v>
      </c>
      <c r="Z9" s="76"/>
      <c r="AA9" s="76">
        <f>C9*0.50994/100</f>
        <v>27893.717999999997</v>
      </c>
      <c r="AB9" s="75">
        <f>D9*0.50994/100</f>
        <v>1585.9134</v>
      </c>
      <c r="AC9" s="75">
        <f>AA9+AB9</f>
        <v>29479.6314</v>
      </c>
      <c r="AD9" s="76">
        <f>AB$6*$F9</f>
        <v>2880.1003247999997</v>
      </c>
      <c r="AE9" s="74">
        <f>AB$6*$G9</f>
        <v>446.06491559999995</v>
      </c>
      <c r="AF9" s="76"/>
      <c r="AG9" s="75">
        <f>C9*8.86797/100</f>
        <v>485077.959</v>
      </c>
      <c r="AH9" s="75">
        <f>D9*8.86797/100</f>
        <v>27579.3867</v>
      </c>
      <c r="AI9" s="75">
        <f>AG9+AH9</f>
        <v>512657.34569999995</v>
      </c>
      <c r="AJ9" s="76">
        <f>AH$6*$F9</f>
        <v>50085.5851224</v>
      </c>
      <c r="AK9" s="74">
        <f>AH$6*$G9</f>
        <v>7757.1680778</v>
      </c>
      <c r="AL9" s="76"/>
      <c r="AM9" s="75">
        <f>C9*0.10742/100</f>
        <v>5875.874</v>
      </c>
      <c r="AN9" s="75">
        <f>D9*0.10742/100</f>
        <v>334.07620000000003</v>
      </c>
      <c r="AO9" s="75">
        <f>AM9+AN9</f>
        <v>6209.9502</v>
      </c>
      <c r="AP9" s="76">
        <f>AN$6*$F9</f>
        <v>606.6995664</v>
      </c>
      <c r="AQ9" s="74">
        <f>AN$6*$G9</f>
        <v>93.9645708</v>
      </c>
      <c r="AR9" s="75"/>
      <c r="AS9" s="75">
        <f>C9*0.09059/100</f>
        <v>4955.273</v>
      </c>
      <c r="AT9" s="75">
        <f>D9*0.09059/100</f>
        <v>281.73490000000004</v>
      </c>
      <c r="AU9" s="75">
        <f>AS9+AT9</f>
        <v>5237.0079000000005</v>
      </c>
      <c r="AV9" s="76">
        <f>AT$6*$F9</f>
        <v>511.6450728</v>
      </c>
      <c r="AW9" s="74">
        <f>AT$6*$G9</f>
        <v>79.2426966</v>
      </c>
      <c r="AX9" s="76"/>
      <c r="AY9" s="75">
        <f>C9*3.71668/100</f>
        <v>203302.396</v>
      </c>
      <c r="AZ9" s="75">
        <f>D9*3.71668/100</f>
        <v>11558.8748</v>
      </c>
      <c r="BA9" s="75">
        <f>AY9+AZ9</f>
        <v>214861.2708</v>
      </c>
      <c r="BB9" s="76">
        <f>AZ$6*$F9</f>
        <v>20991.5113056</v>
      </c>
      <c r="BC9" s="74">
        <f>AZ$6*$G9</f>
        <v>3251.1286632</v>
      </c>
      <c r="BD9" s="76"/>
      <c r="BE9" s="75">
        <f>C9*7.62623/100</f>
        <v>417154.781</v>
      </c>
      <c r="BF9" s="75">
        <f>D9*7.62623/100</f>
        <v>23717.575299999997</v>
      </c>
      <c r="BG9" s="75">
        <f>BE9+BF9</f>
        <v>440872.3563</v>
      </c>
      <c r="BH9" s="76">
        <f>BF$6*$F9</f>
        <v>43072.336941600006</v>
      </c>
      <c r="BI9" s="74">
        <f>BF$6*$G9</f>
        <v>6670.9684302000005</v>
      </c>
      <c r="BJ9" s="76"/>
      <c r="BK9" s="75">
        <f>C9*0.08804/100</f>
        <v>4815.788</v>
      </c>
      <c r="BL9" s="75">
        <f>D9*0.08804/100</f>
        <v>273.8044</v>
      </c>
      <c r="BM9" s="75">
        <f>BK9+BL9</f>
        <v>5089.5923999999995</v>
      </c>
      <c r="BN9" s="76">
        <f>BL$6*$F9</f>
        <v>497.24287680000003</v>
      </c>
      <c r="BO9" s="74">
        <f>BL$6*$G9</f>
        <v>77.0121096</v>
      </c>
      <c r="BP9" s="76"/>
      <c r="BQ9" s="75">
        <f>C9*0.05914/100</f>
        <v>3234.958</v>
      </c>
      <c r="BR9" s="75">
        <f>D9*0.05914/100</f>
        <v>183.9254</v>
      </c>
      <c r="BS9" s="75">
        <f>BQ9+BR9</f>
        <v>3418.8834</v>
      </c>
      <c r="BT9" s="76">
        <f>BR$6*$F9</f>
        <v>334.01798879999996</v>
      </c>
      <c r="BU9" s="74">
        <f>BR$6*$G9</f>
        <v>51.732123599999994</v>
      </c>
      <c r="BV9" s="76"/>
      <c r="BW9" s="75">
        <f>C9*-0.00881/100</f>
        <v>-481.907</v>
      </c>
      <c r="BX9" s="75">
        <f>D9*-0.00881/100</f>
        <v>-27.399099999999997</v>
      </c>
      <c r="BY9" s="75">
        <f>BW9+BX9</f>
        <v>-509.30609999999996</v>
      </c>
      <c r="BZ9" s="76">
        <f>BX$6*$F9</f>
        <v>-49.7581752</v>
      </c>
      <c r="CA9" s="74">
        <f>BX$6*$G9</f>
        <v>-7.7064594</v>
      </c>
      <c r="CB9" s="75"/>
      <c r="CC9" s="75">
        <f>C9*-0.00574/100</f>
        <v>-313.978</v>
      </c>
      <c r="CD9" s="75">
        <f>D9*-0.00574/100</f>
        <v>-17.8514</v>
      </c>
      <c r="CE9" s="75">
        <f>CC9+CD9</f>
        <v>-331.8294</v>
      </c>
      <c r="CF9" s="76">
        <f>CD$6*$F9</f>
        <v>-32.4190608</v>
      </c>
      <c r="CG9" s="74">
        <f>CD$6*$G9</f>
        <v>-5.0210076</v>
      </c>
      <c r="CH9" s="76"/>
      <c r="CI9" s="75">
        <f>C9*0.21346/100</f>
        <v>11676.261999999999</v>
      </c>
      <c r="CJ9" s="75">
        <f>D9*0.21346/100</f>
        <v>663.8606</v>
      </c>
      <c r="CK9" s="75">
        <f>CI9+CJ9</f>
        <v>12340.122599999999</v>
      </c>
      <c r="CL9" s="76">
        <f>CJ$6*$F9</f>
        <v>1205.6050032</v>
      </c>
      <c r="CM9" s="74">
        <f>CJ$6*$G9</f>
        <v>186.72200039999998</v>
      </c>
      <c r="CN9" s="76"/>
      <c r="CO9" s="75">
        <f>C9*1.3127/100</f>
        <v>71804.69</v>
      </c>
      <c r="CP9" s="75">
        <f>D9*1.3127/100</f>
        <v>4082.4970000000003</v>
      </c>
      <c r="CQ9" s="75">
        <f>CO9+CP9</f>
        <v>75887.187</v>
      </c>
      <c r="CR9" s="76">
        <f>CP$6*$F9</f>
        <v>7414.024584</v>
      </c>
      <c r="CS9" s="74">
        <f>CP$6*$G9</f>
        <v>1148.271198</v>
      </c>
      <c r="CT9" s="76"/>
      <c r="CU9" s="75">
        <f>C9*8.81851/100</f>
        <v>482372.497</v>
      </c>
      <c r="CV9" s="75">
        <f>D9*8.81851/100</f>
        <v>27425.5661</v>
      </c>
      <c r="CW9" s="75">
        <f>CU9+CV9</f>
        <v>509798.06309999997</v>
      </c>
      <c r="CX9" s="76">
        <f>CV$6*$F9</f>
        <v>49806.2389992</v>
      </c>
      <c r="CY9" s="74">
        <f>CV$6*$G9</f>
        <v>7713.9034374</v>
      </c>
      <c r="CZ9" s="76"/>
      <c r="DA9" s="75">
        <f>C9*1.27232/100</f>
        <v>69595.904</v>
      </c>
      <c r="DB9" s="75">
        <f>D9*1.27232/100</f>
        <v>3956.9151999999995</v>
      </c>
      <c r="DC9" s="75">
        <f>DA9+DB9</f>
        <v>73552.8192</v>
      </c>
      <c r="DD9" s="76">
        <f>DB$6*$F9</f>
        <v>7185.9615744</v>
      </c>
      <c r="DE9" s="74">
        <f>DB$6*$G9</f>
        <v>1112.9491968</v>
      </c>
      <c r="DF9" s="76"/>
      <c r="DG9" s="75">
        <f>C9*2.59972/100</f>
        <v>142204.684</v>
      </c>
      <c r="DH9" s="75">
        <f>D9*2.59972/100</f>
        <v>8085.1292</v>
      </c>
      <c r="DI9" s="75">
        <f>DG9+DH9</f>
        <v>150289.8132</v>
      </c>
      <c r="DJ9" s="76">
        <f>DH$6*$F9</f>
        <v>14683.0105824</v>
      </c>
      <c r="DK9" s="74">
        <f>DH$6*$G9</f>
        <v>2274.0790728</v>
      </c>
      <c r="DL9" s="76"/>
      <c r="DM9" s="75">
        <f>C9*0.42162/100</f>
        <v>23062.613999999998</v>
      </c>
      <c r="DN9" s="75">
        <f>D9*0.42162/100</f>
        <v>1311.2382</v>
      </c>
      <c r="DO9" s="75">
        <f>DM9+DN9</f>
        <v>24373.852199999998</v>
      </c>
      <c r="DP9" s="76">
        <f>DN$6*$F9</f>
        <v>2381.2760304</v>
      </c>
      <c r="DQ9" s="74">
        <f>DN$6*$G9</f>
        <v>368.80787879999997</v>
      </c>
      <c r="DR9" s="76"/>
      <c r="DS9" s="75">
        <f>C9*2.16282/100</f>
        <v>118306.254</v>
      </c>
      <c r="DT9" s="75">
        <f>D9*2.16282/100</f>
        <v>6726.3702</v>
      </c>
      <c r="DU9" s="75">
        <f>DS9+DT9</f>
        <v>125032.6242</v>
      </c>
      <c r="DV9" s="76">
        <f>DT$6*$F9</f>
        <v>12215.4343344</v>
      </c>
      <c r="DW9" s="74">
        <f>DT$6*$G9</f>
        <v>1891.9051668</v>
      </c>
      <c r="DX9" s="76"/>
      <c r="DY9" s="75">
        <f>C9*0.01933/100</f>
        <v>1057.351</v>
      </c>
      <c r="DZ9" s="75">
        <f>D9*0.01933/100</f>
        <v>60.1163</v>
      </c>
      <c r="EA9" s="75">
        <f>DY9+DZ9</f>
        <v>1117.4673</v>
      </c>
      <c r="EB9" s="76">
        <f>DZ$6*$F9</f>
        <v>109.1742936</v>
      </c>
      <c r="EC9" s="74">
        <f>DZ$6*$G9</f>
        <v>16.9087242</v>
      </c>
      <c r="ED9" s="76"/>
      <c r="EE9" s="75">
        <f>C9*0.02544/100</f>
        <v>1391.5680000000002</v>
      </c>
      <c r="EF9" s="75">
        <f>D9*0.02544/100</f>
        <v>79.11840000000001</v>
      </c>
      <c r="EG9" s="75">
        <f>EE9+EF9</f>
        <v>1470.6864000000003</v>
      </c>
      <c r="EH9" s="76">
        <f>EF$6*$F9</f>
        <v>143.6830848</v>
      </c>
      <c r="EI9" s="74">
        <f>EF$6*$G9</f>
        <v>22.2533856</v>
      </c>
      <c r="EJ9" s="76"/>
      <c r="EK9" s="75">
        <f>C9*1.28187/100</f>
        <v>70118.289</v>
      </c>
      <c r="EL9" s="75">
        <f>D9*1.28187/100</f>
        <v>3986.6157000000003</v>
      </c>
      <c r="EM9" s="75">
        <f>EK9+EL9</f>
        <v>74104.9047</v>
      </c>
      <c r="EN9" s="76">
        <f>EL$6*$F9</f>
        <v>7239.8992104</v>
      </c>
      <c r="EO9" s="74">
        <f>EL$6*$G9</f>
        <v>1121.3029638</v>
      </c>
      <c r="EP9" s="76"/>
      <c r="EQ9" s="75">
        <f>C9*0.0244/100</f>
        <v>1334.68</v>
      </c>
      <c r="ER9" s="75">
        <f>D9*0.0244/100</f>
        <v>75.884</v>
      </c>
      <c r="ES9" s="75">
        <f>EQ9+ER9</f>
        <v>1410.564</v>
      </c>
      <c r="ET9" s="76">
        <f>ER$6*$F9</f>
        <v>137.809248</v>
      </c>
      <c r="EU9" s="74">
        <f>ER$6*$G9</f>
        <v>21.343656</v>
      </c>
      <c r="EV9" s="76"/>
      <c r="EW9" s="75">
        <f>C9*0.36459/100</f>
        <v>19943.073</v>
      </c>
      <c r="EX9" s="75">
        <f>D9*0.36459/100</f>
        <v>1133.8749</v>
      </c>
      <c r="EY9" s="75">
        <f>EW9+EX9</f>
        <v>21076.9479</v>
      </c>
      <c r="EZ9" s="76">
        <f>EX$6*$F9</f>
        <v>2059.1751528</v>
      </c>
      <c r="FA9" s="74">
        <f>EX$6*$G9</f>
        <v>318.9214566</v>
      </c>
      <c r="FB9" s="76"/>
      <c r="FC9" s="75">
        <f>C9*0.25327/100</f>
        <v>13853.868999999999</v>
      </c>
      <c r="FD9" s="75">
        <f>D9*0.25327/100</f>
        <v>787.6697</v>
      </c>
      <c r="FE9" s="75">
        <f>FC9+FD9</f>
        <v>14641.5387</v>
      </c>
      <c r="FF9" s="76">
        <f>FD$6*$F9</f>
        <v>1430.4486984</v>
      </c>
      <c r="FG9" s="74">
        <f>FD$6*$G9</f>
        <v>221.5453998</v>
      </c>
      <c r="FH9" s="76"/>
      <c r="FI9" s="75">
        <f>C9*0.09887/100</f>
        <v>5408.189</v>
      </c>
      <c r="FJ9" s="75">
        <f>D9*0.09887/100</f>
        <v>307.4857</v>
      </c>
      <c r="FK9" s="75">
        <f>FI9+FJ9</f>
        <v>5715.6747000000005</v>
      </c>
      <c r="FL9" s="76">
        <f>FJ$6*$F9</f>
        <v>558.4098504</v>
      </c>
      <c r="FM9" s="74">
        <f>FJ$6*$G9</f>
        <v>86.48554379999999</v>
      </c>
      <c r="FN9" s="76"/>
      <c r="FO9" s="75">
        <f>C9*1.11111/100</f>
        <v>60777.717000000004</v>
      </c>
      <c r="FP9" s="75">
        <f>D9*1.11111/100</f>
        <v>3455.5521000000003</v>
      </c>
      <c r="FQ9" s="75">
        <f>FO9+FP9</f>
        <v>64233.269100000005</v>
      </c>
      <c r="FR9" s="76">
        <f>FP$6*$F9</f>
        <v>6275.4603912</v>
      </c>
      <c r="FS9" s="74">
        <f>FP$6*$G9</f>
        <v>971.9323614</v>
      </c>
      <c r="FT9" s="76"/>
      <c r="FU9" s="75">
        <f>C9*2.50422/100</f>
        <v>136980.834</v>
      </c>
      <c r="FV9" s="75">
        <f>D9*2.50422/100</f>
        <v>7788.1242</v>
      </c>
      <c r="FW9" s="75">
        <f>FU9+FV9</f>
        <v>144768.9582</v>
      </c>
      <c r="FX9" s="76">
        <f>FV$6*$F9</f>
        <v>14143.6342224</v>
      </c>
      <c r="FY9" s="74">
        <f>FV$6*$G9</f>
        <v>2190.5414028</v>
      </c>
      <c r="FZ9" s="76"/>
      <c r="GA9" s="75">
        <f>C9*0.31957/100</f>
        <v>17480.479000000003</v>
      </c>
      <c r="GB9" s="75">
        <f>D9*0.31957/100</f>
        <v>993.8627</v>
      </c>
      <c r="GC9" s="75">
        <f>GA9+GB9</f>
        <v>18474.341700000004</v>
      </c>
      <c r="GD9" s="76">
        <f>GB$6*$F9</f>
        <v>1804.9057944</v>
      </c>
      <c r="GE9" s="74">
        <f>GB$6*$G9</f>
        <v>279.5406618</v>
      </c>
      <c r="GF9" s="76"/>
      <c r="GG9" s="75">
        <f>C9*0.50748/100</f>
        <v>27759.156000000003</v>
      </c>
      <c r="GH9" s="75">
        <f>D9*0.50748/100</f>
        <v>1578.2628</v>
      </c>
      <c r="GI9" s="75">
        <f>GG9+GH9</f>
        <v>29337.418800000003</v>
      </c>
      <c r="GJ9" s="76">
        <f>GH$6*$F9</f>
        <v>2866.2064416</v>
      </c>
      <c r="GK9" s="74">
        <f>GH$6*$G9</f>
        <v>443.9130552</v>
      </c>
      <c r="GL9" s="76"/>
      <c r="GM9" s="75">
        <f>C9*2.35189/100</f>
        <v>128648.383</v>
      </c>
      <c r="GN9" s="75">
        <f>D9*2.35189/100</f>
        <v>7314.3779</v>
      </c>
      <c r="GO9" s="75">
        <f>GM9+GN9</f>
        <v>135962.7609</v>
      </c>
      <c r="GP9" s="76">
        <f>GN$6*$F9</f>
        <v>13283.2865688</v>
      </c>
      <c r="GQ9" s="74">
        <f>GN$6*$G9</f>
        <v>2057.2922586</v>
      </c>
      <c r="GR9" s="76"/>
      <c r="GS9" s="75">
        <f>C9*0.12482/100</f>
        <v>6827.654</v>
      </c>
      <c r="GT9" s="75">
        <f>D9*0.12482/100</f>
        <v>388.19019999999995</v>
      </c>
      <c r="GU9" s="75">
        <f>GS9+GT9</f>
        <v>7215.8442000000005</v>
      </c>
      <c r="GV9" s="76">
        <f>GT$6*$F9</f>
        <v>704.9733744</v>
      </c>
      <c r="GW9" s="74">
        <f>GT$6*$G9</f>
        <v>109.18504680000001</v>
      </c>
      <c r="GX9" s="76"/>
      <c r="GY9" s="75">
        <f>C9*0.71564/100</f>
        <v>39145.508</v>
      </c>
      <c r="GZ9" s="75">
        <f>D9*0.71564/100</f>
        <v>2225.6404</v>
      </c>
      <c r="HA9" s="75">
        <f>GY9+GZ9</f>
        <v>41371.148400000005</v>
      </c>
      <c r="HB9" s="76">
        <f>GZ$6*$F9</f>
        <v>4041.8774688000003</v>
      </c>
      <c r="HC9" s="74">
        <f>GZ$6*$G9</f>
        <v>625.9989336</v>
      </c>
      <c r="HD9" s="76"/>
      <c r="HE9" s="76"/>
      <c r="HF9" s="76"/>
      <c r="HG9" s="76"/>
      <c r="HH9" s="76"/>
      <c r="HI9" s="76"/>
    </row>
    <row r="10" spans="1:217" s="52" customFormat="1" ht="12.75">
      <c r="A10" s="51">
        <v>45200</v>
      </c>
      <c r="C10" s="36"/>
      <c r="D10" s="36">
        <v>174250</v>
      </c>
      <c r="E10" s="74">
        <f>SUM(C10:D10)</f>
        <v>174250</v>
      </c>
      <c r="F10" s="74">
        <v>564792</v>
      </c>
      <c r="G10" s="74">
        <v>87474</v>
      </c>
      <c r="H10" s="76"/>
      <c r="I10" s="76"/>
      <c r="J10" s="76">
        <f>P10+V10+AB10+AH10+AN10+AT10+AZ10+BF10+BL10+BR10+BX10+CD10+CJ10+CP10+CV10+DB10+DH10+DN10+DT10+DZ10+EF10+EL10+ER10+EX10+FD10+FJ10+FP10+FV10+GB10+GH10+GN10+GT10+GZ10</f>
        <v>94587.41307500002</v>
      </c>
      <c r="K10" s="76">
        <f>I10+J10</f>
        <v>94587.41307500002</v>
      </c>
      <c r="L10" s="76">
        <f t="shared" si="0"/>
        <v>306583.7257128</v>
      </c>
      <c r="M10" s="76">
        <f t="shared" si="0"/>
        <v>47483.1527766</v>
      </c>
      <c r="N10" s="76"/>
      <c r="O10" s="75"/>
      <c r="P10" s="75">
        <f>D10*6.61452/100</f>
        <v>11525.801099999999</v>
      </c>
      <c r="Q10" s="76">
        <f>O10+P10</f>
        <v>11525.801099999999</v>
      </c>
      <c r="R10" s="76">
        <f>P$6*$F10</f>
        <v>37358.2797984</v>
      </c>
      <c r="S10" s="74">
        <f>P$6*$G10</f>
        <v>5785.9852248</v>
      </c>
      <c r="T10" s="76"/>
      <c r="U10" s="75"/>
      <c r="V10" s="75">
        <f>D10*0.11296/100</f>
        <v>196.83280000000002</v>
      </c>
      <c r="W10" s="75">
        <f>U10+V10</f>
        <v>196.83280000000002</v>
      </c>
      <c r="X10" s="76">
        <f>V$6*$F10</f>
        <v>637.9890432</v>
      </c>
      <c r="Y10" s="74">
        <f>V$6*$G10</f>
        <v>98.8106304</v>
      </c>
      <c r="Z10" s="76"/>
      <c r="AA10" s="76"/>
      <c r="AB10" s="75">
        <f>D10*0.50994/100</f>
        <v>888.5704499999999</v>
      </c>
      <c r="AC10" s="75">
        <f>AA10+AB10</f>
        <v>888.5704499999999</v>
      </c>
      <c r="AD10" s="76">
        <f>AB$6*$F10</f>
        <v>2880.1003247999997</v>
      </c>
      <c r="AE10" s="74">
        <f>AB$6*$G10</f>
        <v>446.06491559999995</v>
      </c>
      <c r="AF10" s="76"/>
      <c r="AG10" s="75"/>
      <c r="AH10" s="75">
        <f>D10*8.86797/100</f>
        <v>15452.437725</v>
      </c>
      <c r="AI10" s="75">
        <f>AG10+AH10</f>
        <v>15452.437725</v>
      </c>
      <c r="AJ10" s="76">
        <f>AH$6*$F10</f>
        <v>50085.5851224</v>
      </c>
      <c r="AK10" s="74">
        <f>AH$6*$G10</f>
        <v>7757.1680778</v>
      </c>
      <c r="AL10" s="76"/>
      <c r="AM10" s="75"/>
      <c r="AN10" s="75">
        <f>D10*0.10742/100</f>
        <v>187.17935</v>
      </c>
      <c r="AO10" s="75">
        <f>AM10+AN10</f>
        <v>187.17935</v>
      </c>
      <c r="AP10" s="76">
        <f>AN$6*$F10</f>
        <v>606.6995664</v>
      </c>
      <c r="AQ10" s="74">
        <f>AN$6*$G10</f>
        <v>93.9645708</v>
      </c>
      <c r="AR10" s="75"/>
      <c r="AS10" s="75"/>
      <c r="AT10" s="75">
        <f>D10*0.09059/100</f>
        <v>157.85307500000002</v>
      </c>
      <c r="AU10" s="75">
        <f>AS10+AT10</f>
        <v>157.85307500000002</v>
      </c>
      <c r="AV10" s="76">
        <f>AT$6*$F10</f>
        <v>511.6450728</v>
      </c>
      <c r="AW10" s="74">
        <f>AT$6*$G10</f>
        <v>79.2426966</v>
      </c>
      <c r="AX10" s="76"/>
      <c r="AY10" s="75"/>
      <c r="AZ10" s="75">
        <f>D10*3.71668/100</f>
        <v>6476.3149</v>
      </c>
      <c r="BA10" s="75">
        <f>AY10+AZ10</f>
        <v>6476.3149</v>
      </c>
      <c r="BB10" s="76">
        <f>AZ$6*$F10</f>
        <v>20991.5113056</v>
      </c>
      <c r="BC10" s="74">
        <f>AZ$6*$G10</f>
        <v>3251.1286632</v>
      </c>
      <c r="BD10" s="76"/>
      <c r="BE10" s="75"/>
      <c r="BF10" s="75">
        <f>D10*7.62623/100</f>
        <v>13288.705774999999</v>
      </c>
      <c r="BG10" s="75">
        <f>BE10+BF10</f>
        <v>13288.705774999999</v>
      </c>
      <c r="BH10" s="76">
        <f>BF$6*$F10</f>
        <v>43072.336941600006</v>
      </c>
      <c r="BI10" s="74">
        <f>BF$6*$G10</f>
        <v>6670.9684302000005</v>
      </c>
      <c r="BJ10" s="76"/>
      <c r="BK10" s="75"/>
      <c r="BL10" s="75">
        <f>D10*0.08804/100</f>
        <v>153.4097</v>
      </c>
      <c r="BM10" s="75">
        <f>BK10+BL10</f>
        <v>153.4097</v>
      </c>
      <c r="BN10" s="76">
        <f>BL$6*$F10</f>
        <v>497.24287680000003</v>
      </c>
      <c r="BO10" s="74">
        <f>BL$6*$G10</f>
        <v>77.0121096</v>
      </c>
      <c r="BP10" s="76"/>
      <c r="BQ10" s="75"/>
      <c r="BR10" s="75">
        <f>D10*0.05914/100</f>
        <v>103.05145</v>
      </c>
      <c r="BS10" s="75">
        <f>BQ10+BR10</f>
        <v>103.05145</v>
      </c>
      <c r="BT10" s="76">
        <f>BR$6*$F10</f>
        <v>334.01798879999996</v>
      </c>
      <c r="BU10" s="74">
        <f>BR$6*$G10</f>
        <v>51.732123599999994</v>
      </c>
      <c r="BV10" s="76"/>
      <c r="BW10" s="75"/>
      <c r="BX10" s="75">
        <f>D10*-0.00881/100</f>
        <v>-15.351424999999999</v>
      </c>
      <c r="BY10" s="75">
        <f>BW10+BX10</f>
        <v>-15.351424999999999</v>
      </c>
      <c r="BZ10" s="76">
        <f>BX$6*$F10</f>
        <v>-49.7581752</v>
      </c>
      <c r="CA10" s="74">
        <f>BX$6*$G10</f>
        <v>-7.7064594</v>
      </c>
      <c r="CB10" s="75"/>
      <c r="CC10" s="75"/>
      <c r="CD10" s="75">
        <f>D10*-0.00574/100</f>
        <v>-10.00195</v>
      </c>
      <c r="CE10" s="75">
        <f>CC10+CD10</f>
        <v>-10.00195</v>
      </c>
      <c r="CF10" s="76">
        <f>CD$6*$F10</f>
        <v>-32.4190608</v>
      </c>
      <c r="CG10" s="74">
        <f>CD$6*$G10</f>
        <v>-5.0210076</v>
      </c>
      <c r="CH10" s="76"/>
      <c r="CI10" s="75"/>
      <c r="CJ10" s="75">
        <f>D10*0.21346/100</f>
        <v>371.95405</v>
      </c>
      <c r="CK10" s="75">
        <f>CI10+CJ10</f>
        <v>371.95405</v>
      </c>
      <c r="CL10" s="76">
        <f>CJ$6*$F10</f>
        <v>1205.6050032</v>
      </c>
      <c r="CM10" s="74">
        <f>CJ$6*$G10</f>
        <v>186.72200039999998</v>
      </c>
      <c r="CN10" s="76"/>
      <c r="CO10" s="75"/>
      <c r="CP10" s="75">
        <f>D10*1.3127/100</f>
        <v>2287.37975</v>
      </c>
      <c r="CQ10" s="75">
        <f>CO10+CP10</f>
        <v>2287.37975</v>
      </c>
      <c r="CR10" s="76">
        <f>CP$6*$F10</f>
        <v>7414.024584</v>
      </c>
      <c r="CS10" s="74">
        <f>CP$6*$G10</f>
        <v>1148.271198</v>
      </c>
      <c r="CT10" s="76"/>
      <c r="CU10" s="75"/>
      <c r="CV10" s="75">
        <f>D10*8.81851/100</f>
        <v>15366.253675</v>
      </c>
      <c r="CW10" s="75">
        <f>CU10+CV10</f>
        <v>15366.253675</v>
      </c>
      <c r="CX10" s="76">
        <f>CV$6*$F10</f>
        <v>49806.2389992</v>
      </c>
      <c r="CY10" s="74">
        <f>CV$6*$G10</f>
        <v>7713.9034374</v>
      </c>
      <c r="CZ10" s="76"/>
      <c r="DA10" s="75"/>
      <c r="DB10" s="75">
        <f>D10*1.27232/100</f>
        <v>2217.0175999999997</v>
      </c>
      <c r="DC10" s="75">
        <f>DA10+DB10</f>
        <v>2217.0175999999997</v>
      </c>
      <c r="DD10" s="76">
        <f>DB$6*$F10</f>
        <v>7185.9615744</v>
      </c>
      <c r="DE10" s="74">
        <f>DB$6*$G10</f>
        <v>1112.9491968</v>
      </c>
      <c r="DF10" s="76"/>
      <c r="DG10" s="75"/>
      <c r="DH10" s="75">
        <f>D10*2.59972/100</f>
        <v>4530.0121</v>
      </c>
      <c r="DI10" s="75">
        <f>DG10+DH10</f>
        <v>4530.0121</v>
      </c>
      <c r="DJ10" s="76">
        <f>DH$6*$F10</f>
        <v>14683.0105824</v>
      </c>
      <c r="DK10" s="74">
        <f>DH$6*$G10</f>
        <v>2274.0790728</v>
      </c>
      <c r="DL10" s="76"/>
      <c r="DM10" s="75"/>
      <c r="DN10" s="75">
        <f>D10*0.42162/100</f>
        <v>734.67285</v>
      </c>
      <c r="DO10" s="75">
        <f>DM10+DN10</f>
        <v>734.67285</v>
      </c>
      <c r="DP10" s="76">
        <f>DN$6*$F10</f>
        <v>2381.2760304</v>
      </c>
      <c r="DQ10" s="74">
        <f>DN$6*$G10</f>
        <v>368.80787879999997</v>
      </c>
      <c r="DR10" s="76"/>
      <c r="DS10" s="75"/>
      <c r="DT10" s="75">
        <f>D10*2.16282/100</f>
        <v>3768.71385</v>
      </c>
      <c r="DU10" s="75">
        <f>DS10+DT10</f>
        <v>3768.71385</v>
      </c>
      <c r="DV10" s="76">
        <f>DT$6*$F10</f>
        <v>12215.4343344</v>
      </c>
      <c r="DW10" s="74">
        <f>DT$6*$G10</f>
        <v>1891.9051668</v>
      </c>
      <c r="DX10" s="76"/>
      <c r="DY10" s="75"/>
      <c r="DZ10" s="75">
        <f>D10*0.01933/100</f>
        <v>33.682525</v>
      </c>
      <c r="EA10" s="75">
        <f>DY10+DZ10</f>
        <v>33.682525</v>
      </c>
      <c r="EB10" s="76">
        <f>DZ$6*$F10</f>
        <v>109.1742936</v>
      </c>
      <c r="EC10" s="74">
        <f>DZ$6*$G10</f>
        <v>16.9087242</v>
      </c>
      <c r="ED10" s="76"/>
      <c r="EE10" s="75"/>
      <c r="EF10" s="75">
        <f>D10*0.02544/100</f>
        <v>44.3292</v>
      </c>
      <c r="EG10" s="75">
        <f>EE10+EF10</f>
        <v>44.3292</v>
      </c>
      <c r="EH10" s="76">
        <f>EF$6*$F10</f>
        <v>143.6830848</v>
      </c>
      <c r="EI10" s="74">
        <f>EF$6*$G10</f>
        <v>22.2533856</v>
      </c>
      <c r="EJ10" s="76"/>
      <c r="EK10" s="75"/>
      <c r="EL10" s="75">
        <f>D10*1.28187/100</f>
        <v>2233.658475</v>
      </c>
      <c r="EM10" s="75">
        <f>EK10+EL10</f>
        <v>2233.658475</v>
      </c>
      <c r="EN10" s="76">
        <f>EL$6*$F10</f>
        <v>7239.8992104</v>
      </c>
      <c r="EO10" s="74">
        <f>EL$6*$G10</f>
        <v>1121.3029638</v>
      </c>
      <c r="EP10" s="76"/>
      <c r="EQ10" s="75"/>
      <c r="ER10" s="75">
        <f>D10*0.0244/100</f>
        <v>42.516999999999996</v>
      </c>
      <c r="ES10" s="75">
        <f>EQ10+ER10</f>
        <v>42.516999999999996</v>
      </c>
      <c r="ET10" s="76">
        <f>ER$6*$F10</f>
        <v>137.809248</v>
      </c>
      <c r="EU10" s="74">
        <f>ER$6*$G10</f>
        <v>21.343656</v>
      </c>
      <c r="EV10" s="76"/>
      <c r="EW10" s="75"/>
      <c r="EX10" s="75">
        <f>D10*0.36459/100</f>
        <v>635.298075</v>
      </c>
      <c r="EY10" s="75">
        <f>EW10+EX10</f>
        <v>635.298075</v>
      </c>
      <c r="EZ10" s="76">
        <f>EX$6*$F10</f>
        <v>2059.1751528</v>
      </c>
      <c r="FA10" s="74">
        <f>EX$6*$G10</f>
        <v>318.9214566</v>
      </c>
      <c r="FB10" s="76"/>
      <c r="FC10" s="75"/>
      <c r="FD10" s="75">
        <f>D10*0.25327/100</f>
        <v>441.322975</v>
      </c>
      <c r="FE10" s="75">
        <f>FC10+FD10</f>
        <v>441.322975</v>
      </c>
      <c r="FF10" s="76">
        <f>FD$6*$F10</f>
        <v>1430.4486984</v>
      </c>
      <c r="FG10" s="74">
        <f>FD$6*$G10</f>
        <v>221.5453998</v>
      </c>
      <c r="FH10" s="76"/>
      <c r="FI10" s="75"/>
      <c r="FJ10" s="75">
        <f>D10*0.09887/100</f>
        <v>172.280975</v>
      </c>
      <c r="FK10" s="75">
        <f>FI10+FJ10</f>
        <v>172.280975</v>
      </c>
      <c r="FL10" s="76">
        <f>FJ$6*$F10</f>
        <v>558.4098504</v>
      </c>
      <c r="FM10" s="74">
        <f>FJ$6*$G10</f>
        <v>86.48554379999999</v>
      </c>
      <c r="FN10" s="76"/>
      <c r="FO10" s="75"/>
      <c r="FP10" s="75">
        <f>D10*1.11111/100</f>
        <v>1936.109175</v>
      </c>
      <c r="FQ10" s="75">
        <f>FO10+FP10</f>
        <v>1936.109175</v>
      </c>
      <c r="FR10" s="76">
        <f>FP$6*$F10</f>
        <v>6275.4603912</v>
      </c>
      <c r="FS10" s="74">
        <f>FP$6*$G10</f>
        <v>971.9323614</v>
      </c>
      <c r="FT10" s="76"/>
      <c r="FU10" s="75"/>
      <c r="FV10" s="75">
        <f>D10*2.50422/100</f>
        <v>4363.60335</v>
      </c>
      <c r="FW10" s="75">
        <f>FU10+FV10</f>
        <v>4363.60335</v>
      </c>
      <c r="FX10" s="76">
        <f>FV$6*$F10</f>
        <v>14143.6342224</v>
      </c>
      <c r="FY10" s="74">
        <f>FV$6*$G10</f>
        <v>2190.5414028</v>
      </c>
      <c r="FZ10" s="76"/>
      <c r="GA10" s="75"/>
      <c r="GB10" s="75">
        <f>D10*0.31957/100</f>
        <v>556.850725</v>
      </c>
      <c r="GC10" s="75">
        <f>GA10+GB10</f>
        <v>556.850725</v>
      </c>
      <c r="GD10" s="76">
        <f>GB$6*$F10</f>
        <v>1804.9057944</v>
      </c>
      <c r="GE10" s="74">
        <f>GB$6*$G10</f>
        <v>279.5406618</v>
      </c>
      <c r="GF10" s="76"/>
      <c r="GG10" s="75"/>
      <c r="GH10" s="75">
        <f>D10*0.50748/100</f>
        <v>884.2839000000001</v>
      </c>
      <c r="GI10" s="75">
        <f>GG10+GH10</f>
        <v>884.2839000000001</v>
      </c>
      <c r="GJ10" s="76">
        <f>GH$6*$F10</f>
        <v>2866.2064416</v>
      </c>
      <c r="GK10" s="74">
        <f>GH$6*$G10</f>
        <v>443.9130552</v>
      </c>
      <c r="GL10" s="76"/>
      <c r="GM10" s="75"/>
      <c r="GN10" s="75">
        <f>D10*2.35189/100</f>
        <v>4098.168325000001</v>
      </c>
      <c r="GO10" s="75">
        <f>GM10+GN10</f>
        <v>4098.168325000001</v>
      </c>
      <c r="GP10" s="76">
        <f>GN$6*$F10</f>
        <v>13283.2865688</v>
      </c>
      <c r="GQ10" s="74">
        <f>GN$6*$G10</f>
        <v>2057.2922586</v>
      </c>
      <c r="GR10" s="76"/>
      <c r="GS10" s="75"/>
      <c r="GT10" s="75">
        <f>D10*0.12482/100</f>
        <v>217.49884999999998</v>
      </c>
      <c r="GU10" s="75">
        <f>GS10+GT10</f>
        <v>217.49884999999998</v>
      </c>
      <c r="GV10" s="76">
        <f>GT$6*$F10</f>
        <v>704.9733744</v>
      </c>
      <c r="GW10" s="74">
        <f>GT$6*$G10</f>
        <v>109.18504680000001</v>
      </c>
      <c r="GX10" s="76"/>
      <c r="GY10" s="75"/>
      <c r="GZ10" s="75">
        <f>D10*0.71564/100</f>
        <v>1247.0027</v>
      </c>
      <c r="HA10" s="75">
        <f>GY10+GZ10</f>
        <v>1247.0027</v>
      </c>
      <c r="HB10" s="76">
        <f>GZ$6*$F10</f>
        <v>4041.8774688000003</v>
      </c>
      <c r="HC10" s="74">
        <f>GZ$6*$G10</f>
        <v>625.9989336</v>
      </c>
      <c r="HD10" s="76"/>
      <c r="HE10" s="76"/>
      <c r="HF10" s="76"/>
      <c r="HG10" s="76"/>
      <c r="HH10" s="76"/>
      <c r="HI10" s="76"/>
    </row>
    <row r="11" spans="1:217" s="52" customFormat="1" ht="12.75">
      <c r="A11" s="51">
        <v>45383</v>
      </c>
      <c r="C11" s="36">
        <v>6970000</v>
      </c>
      <c r="D11" s="36">
        <v>174250</v>
      </c>
      <c r="E11" s="74">
        <f>SUM(C11:D11)</f>
        <v>7144250</v>
      </c>
      <c r="F11" s="74">
        <v>564792</v>
      </c>
      <c r="G11" s="74">
        <v>87474</v>
      </c>
      <c r="H11" s="76"/>
      <c r="I11" s="76">
        <f>O11+U11+AA11+AG11+AM11+AS11+AY11+BE11+BK11+BQ11+BW11+CC11+CI11+CO11+CU11+DA11+DG11+DM11+DS11+DY11+EE11+EK11+EQ11+EW11+FC11+FI11+FO11+FU11+GA11+GG11+GM11+GS11+GY11</f>
        <v>3783496.5230000005</v>
      </c>
      <c r="J11" s="76">
        <f>P11+V11+AB11+AH11+AN11+AT11+AZ11+BF11+BL11+BR11+BX11+CD11+CJ11+CP11+CV11+DB11+DH11+DN11+DT11+DZ11+EF11+EL11+ER11+EX11+FD11+FJ11+FP11+FV11+GB11+GH11+GN11+GT11+GZ11</f>
        <v>94587.41307500002</v>
      </c>
      <c r="K11" s="76">
        <f>I11+J11</f>
        <v>3878083.9360750006</v>
      </c>
      <c r="L11" s="76">
        <f t="shared" si="0"/>
        <v>306583.7257128</v>
      </c>
      <c r="M11" s="76">
        <f t="shared" si="0"/>
        <v>47483.1527766</v>
      </c>
      <c r="N11" s="76"/>
      <c r="O11" s="75">
        <f>C11*6.61452/100</f>
        <v>461032.044</v>
      </c>
      <c r="P11" s="75">
        <f>D11*6.61452/100</f>
        <v>11525.801099999999</v>
      </c>
      <c r="Q11" s="76">
        <f>O11+P11</f>
        <v>472557.8451</v>
      </c>
      <c r="R11" s="76">
        <f>P$6*$F11</f>
        <v>37358.2797984</v>
      </c>
      <c r="S11" s="74">
        <f>P$6*$G11</f>
        <v>5785.9852248</v>
      </c>
      <c r="T11" s="76"/>
      <c r="U11" s="75">
        <f>C11*0.11296/100</f>
        <v>7873.312000000001</v>
      </c>
      <c r="V11" s="75">
        <f>D11*0.11296/100</f>
        <v>196.83280000000002</v>
      </c>
      <c r="W11" s="75">
        <f>U11+V11</f>
        <v>8070.144800000001</v>
      </c>
      <c r="X11" s="76">
        <f>V$6*$F11</f>
        <v>637.9890432</v>
      </c>
      <c r="Y11" s="74">
        <f>V$6*$G11</f>
        <v>98.8106304</v>
      </c>
      <c r="Z11" s="76"/>
      <c r="AA11" s="76">
        <f>C11*0.50994/100</f>
        <v>35542.818</v>
      </c>
      <c r="AB11" s="75">
        <f>D11*0.50994/100</f>
        <v>888.5704499999999</v>
      </c>
      <c r="AC11" s="75">
        <f>AA11+AB11</f>
        <v>36431.38845</v>
      </c>
      <c r="AD11" s="76">
        <f>AB$6*$F11</f>
        <v>2880.1003247999997</v>
      </c>
      <c r="AE11" s="74">
        <f>AB$6*$G11</f>
        <v>446.06491559999995</v>
      </c>
      <c r="AF11" s="76"/>
      <c r="AG11" s="75">
        <f>C11*8.86797/100</f>
        <v>618097.509</v>
      </c>
      <c r="AH11" s="75">
        <f>D11*8.86797/100</f>
        <v>15452.437725</v>
      </c>
      <c r="AI11" s="75">
        <f>AG11+AH11</f>
        <v>633549.9467249999</v>
      </c>
      <c r="AJ11" s="76">
        <f>AH$6*$F11</f>
        <v>50085.5851224</v>
      </c>
      <c r="AK11" s="74">
        <f>AH$6*$G11</f>
        <v>7757.1680778</v>
      </c>
      <c r="AL11" s="76"/>
      <c r="AM11" s="75">
        <f>C11*0.10742/100</f>
        <v>7487.174</v>
      </c>
      <c r="AN11" s="75">
        <f>D11*0.10742/100</f>
        <v>187.17935</v>
      </c>
      <c r="AO11" s="75">
        <f>AM11+AN11</f>
        <v>7674.35335</v>
      </c>
      <c r="AP11" s="76">
        <f>AN$6*$F11</f>
        <v>606.6995664</v>
      </c>
      <c r="AQ11" s="74">
        <f>AN$6*$G11</f>
        <v>93.9645708</v>
      </c>
      <c r="AR11" s="75"/>
      <c r="AS11" s="75">
        <f>C11*0.09059/100</f>
        <v>6314.1230000000005</v>
      </c>
      <c r="AT11" s="75">
        <f>D11*0.09059/100</f>
        <v>157.85307500000002</v>
      </c>
      <c r="AU11" s="75">
        <f>AS11+AT11</f>
        <v>6471.9760750000005</v>
      </c>
      <c r="AV11" s="76">
        <f>AT$6*$F11</f>
        <v>511.6450728</v>
      </c>
      <c r="AW11" s="74">
        <f>AT$6*$G11</f>
        <v>79.2426966</v>
      </c>
      <c r="AX11" s="76"/>
      <c r="AY11" s="75">
        <f>C11*3.71668/100</f>
        <v>259052.59600000002</v>
      </c>
      <c r="AZ11" s="75">
        <f>D11*3.71668/100</f>
        <v>6476.3149</v>
      </c>
      <c r="BA11" s="75">
        <f>AY11+AZ11</f>
        <v>265528.9109</v>
      </c>
      <c r="BB11" s="76">
        <f>AZ$6*$F11</f>
        <v>20991.5113056</v>
      </c>
      <c r="BC11" s="74">
        <f>AZ$6*$G11</f>
        <v>3251.1286632</v>
      </c>
      <c r="BD11" s="76"/>
      <c r="BE11" s="75">
        <f>C11*7.62623/100</f>
        <v>531548.2309999999</v>
      </c>
      <c r="BF11" s="75">
        <f>D11*7.62623/100</f>
        <v>13288.705774999999</v>
      </c>
      <c r="BG11" s="75">
        <f>BE11+BF11</f>
        <v>544836.936775</v>
      </c>
      <c r="BH11" s="76">
        <f>BF$6*$F11</f>
        <v>43072.336941600006</v>
      </c>
      <c r="BI11" s="74">
        <f>BF$6*$G11</f>
        <v>6670.9684302000005</v>
      </c>
      <c r="BJ11" s="76"/>
      <c r="BK11" s="75">
        <f>C11*0.08804/100</f>
        <v>6136.387999999999</v>
      </c>
      <c r="BL11" s="75">
        <f>D11*0.08804/100</f>
        <v>153.4097</v>
      </c>
      <c r="BM11" s="75">
        <f>BK11+BL11</f>
        <v>6289.797699999999</v>
      </c>
      <c r="BN11" s="76">
        <f>BL$6*$F11</f>
        <v>497.24287680000003</v>
      </c>
      <c r="BO11" s="74">
        <f>BL$6*$G11</f>
        <v>77.0121096</v>
      </c>
      <c r="BP11" s="76"/>
      <c r="BQ11" s="75">
        <f>C11*0.05914/100</f>
        <v>4122.058</v>
      </c>
      <c r="BR11" s="75">
        <f>D11*0.05914/100</f>
        <v>103.05145</v>
      </c>
      <c r="BS11" s="75">
        <f>BQ11+BR11</f>
        <v>4225.10945</v>
      </c>
      <c r="BT11" s="76">
        <f>BR$6*$F11</f>
        <v>334.01798879999996</v>
      </c>
      <c r="BU11" s="74">
        <f>BR$6*$G11</f>
        <v>51.732123599999994</v>
      </c>
      <c r="BV11" s="76"/>
      <c r="BW11" s="75">
        <f>C11*-0.00881/100</f>
        <v>-614.057</v>
      </c>
      <c r="BX11" s="75">
        <f>D11*-0.00881/100</f>
        <v>-15.351424999999999</v>
      </c>
      <c r="BY11" s="75">
        <f>BW11+BX11</f>
        <v>-629.408425</v>
      </c>
      <c r="BZ11" s="76">
        <f>BX$6*$F11</f>
        <v>-49.7581752</v>
      </c>
      <c r="CA11" s="74">
        <f>BX$6*$G11</f>
        <v>-7.7064594</v>
      </c>
      <c r="CB11" s="75"/>
      <c r="CC11" s="75">
        <f>C11*-0.00574/100</f>
        <v>-400.07800000000003</v>
      </c>
      <c r="CD11" s="75">
        <f>D11*-0.00574/100</f>
        <v>-10.00195</v>
      </c>
      <c r="CE11" s="75">
        <f>CC11+CD11</f>
        <v>-410.07995000000005</v>
      </c>
      <c r="CF11" s="76">
        <f>CD$6*$F11</f>
        <v>-32.4190608</v>
      </c>
      <c r="CG11" s="74">
        <f>CD$6*$G11</f>
        <v>-5.0210076</v>
      </c>
      <c r="CH11" s="76"/>
      <c r="CI11" s="75">
        <f>C11*0.21346/100</f>
        <v>14878.162000000002</v>
      </c>
      <c r="CJ11" s="75">
        <f>D11*0.21346/100</f>
        <v>371.95405</v>
      </c>
      <c r="CK11" s="75">
        <f>CI11+CJ11</f>
        <v>15250.116050000002</v>
      </c>
      <c r="CL11" s="76">
        <f>CJ$6*$F11</f>
        <v>1205.6050032</v>
      </c>
      <c r="CM11" s="74">
        <f>CJ$6*$G11</f>
        <v>186.72200039999998</v>
      </c>
      <c r="CN11" s="76"/>
      <c r="CO11" s="75">
        <f>C11*1.3127/100</f>
        <v>91495.19</v>
      </c>
      <c r="CP11" s="75">
        <f>D11*1.3127/100</f>
        <v>2287.37975</v>
      </c>
      <c r="CQ11" s="75">
        <f>CO11+CP11</f>
        <v>93782.56975</v>
      </c>
      <c r="CR11" s="76">
        <f>CP$6*$F11</f>
        <v>7414.024584</v>
      </c>
      <c r="CS11" s="74">
        <f>CP$6*$G11</f>
        <v>1148.271198</v>
      </c>
      <c r="CT11" s="76"/>
      <c r="CU11" s="75">
        <f>C11*8.81851/100</f>
        <v>614650.147</v>
      </c>
      <c r="CV11" s="75">
        <f>D11*8.81851/100</f>
        <v>15366.253675</v>
      </c>
      <c r="CW11" s="75">
        <f>CU11+CV11</f>
        <v>630016.400675</v>
      </c>
      <c r="CX11" s="76">
        <f>CV$6*$F11</f>
        <v>49806.2389992</v>
      </c>
      <c r="CY11" s="74">
        <f>CV$6*$G11</f>
        <v>7713.9034374</v>
      </c>
      <c r="CZ11" s="76"/>
      <c r="DA11" s="75">
        <f>C11*1.27232/100</f>
        <v>88680.70399999998</v>
      </c>
      <c r="DB11" s="75">
        <f>D11*1.27232/100</f>
        <v>2217.0175999999997</v>
      </c>
      <c r="DC11" s="75">
        <f>DA11+DB11</f>
        <v>90897.72159999999</v>
      </c>
      <c r="DD11" s="76">
        <f>DB$6*$F11</f>
        <v>7185.9615744</v>
      </c>
      <c r="DE11" s="74">
        <f>DB$6*$G11</f>
        <v>1112.9491968</v>
      </c>
      <c r="DF11" s="76"/>
      <c r="DG11" s="75">
        <f>C11*2.59972/100</f>
        <v>181200.484</v>
      </c>
      <c r="DH11" s="75">
        <f>D11*2.59972/100</f>
        <v>4530.0121</v>
      </c>
      <c r="DI11" s="75">
        <f>DG11+DH11</f>
        <v>185730.4961</v>
      </c>
      <c r="DJ11" s="76">
        <f>DH$6*$F11</f>
        <v>14683.0105824</v>
      </c>
      <c r="DK11" s="74">
        <f>DH$6*$G11</f>
        <v>2274.0790728</v>
      </c>
      <c r="DL11" s="76"/>
      <c r="DM11" s="75">
        <f>C11*0.42162/100</f>
        <v>29386.914</v>
      </c>
      <c r="DN11" s="75">
        <f>D11*0.42162/100</f>
        <v>734.67285</v>
      </c>
      <c r="DO11" s="75">
        <f>DM11+DN11</f>
        <v>30121.58685</v>
      </c>
      <c r="DP11" s="76">
        <f>DN$6*$F11</f>
        <v>2381.2760304</v>
      </c>
      <c r="DQ11" s="74">
        <f>DN$6*$G11</f>
        <v>368.80787879999997</v>
      </c>
      <c r="DR11" s="76"/>
      <c r="DS11" s="75">
        <f>C11*2.16282/100</f>
        <v>150748.554</v>
      </c>
      <c r="DT11" s="75">
        <f>D11*2.16282/100</f>
        <v>3768.71385</v>
      </c>
      <c r="DU11" s="75">
        <f>DS11+DT11</f>
        <v>154517.26785</v>
      </c>
      <c r="DV11" s="76">
        <f>DT$6*$F11</f>
        <v>12215.4343344</v>
      </c>
      <c r="DW11" s="74">
        <f>DT$6*$G11</f>
        <v>1891.9051668</v>
      </c>
      <c r="DX11" s="76"/>
      <c r="DY11" s="75">
        <f>C11*0.01933/100</f>
        <v>1347.3010000000002</v>
      </c>
      <c r="DZ11" s="75">
        <f>D11*0.01933/100</f>
        <v>33.682525</v>
      </c>
      <c r="EA11" s="75">
        <f>DY11+DZ11</f>
        <v>1380.983525</v>
      </c>
      <c r="EB11" s="76">
        <f>DZ$6*$F11</f>
        <v>109.1742936</v>
      </c>
      <c r="EC11" s="74">
        <f>DZ$6*$G11</f>
        <v>16.9087242</v>
      </c>
      <c r="ED11" s="76"/>
      <c r="EE11" s="75">
        <f>C11*0.02544/100</f>
        <v>1773.1680000000001</v>
      </c>
      <c r="EF11" s="75">
        <f>D11*0.02544/100</f>
        <v>44.3292</v>
      </c>
      <c r="EG11" s="75">
        <f>EE11+EF11</f>
        <v>1817.4972</v>
      </c>
      <c r="EH11" s="76">
        <f>EF$6*$F11</f>
        <v>143.6830848</v>
      </c>
      <c r="EI11" s="74">
        <f>EF$6*$G11</f>
        <v>22.2533856</v>
      </c>
      <c r="EJ11" s="76"/>
      <c r="EK11" s="75">
        <f>C11*1.28187/100</f>
        <v>89346.339</v>
      </c>
      <c r="EL11" s="75">
        <f>D11*1.28187/100</f>
        <v>2233.658475</v>
      </c>
      <c r="EM11" s="75">
        <f>EK11+EL11</f>
        <v>91579.99747500001</v>
      </c>
      <c r="EN11" s="76">
        <f>EL$6*$F11</f>
        <v>7239.8992104</v>
      </c>
      <c r="EO11" s="74">
        <f>EL$6*$G11</f>
        <v>1121.3029638</v>
      </c>
      <c r="EP11" s="76"/>
      <c r="EQ11" s="75">
        <f>C11*0.0244/100</f>
        <v>1700.68</v>
      </c>
      <c r="ER11" s="75">
        <f>D11*0.0244/100</f>
        <v>42.516999999999996</v>
      </c>
      <c r="ES11" s="75">
        <f>EQ11+ER11</f>
        <v>1743.1970000000001</v>
      </c>
      <c r="ET11" s="76">
        <f>ER$6*$F11</f>
        <v>137.809248</v>
      </c>
      <c r="EU11" s="74">
        <f>ER$6*$G11</f>
        <v>21.343656</v>
      </c>
      <c r="EV11" s="76"/>
      <c r="EW11" s="75">
        <f>C11*0.36459/100</f>
        <v>25411.923000000003</v>
      </c>
      <c r="EX11" s="75">
        <f>D11*0.36459/100</f>
        <v>635.298075</v>
      </c>
      <c r="EY11" s="75">
        <f>EW11+EX11</f>
        <v>26047.221075</v>
      </c>
      <c r="EZ11" s="76">
        <f>EX$6*$F11</f>
        <v>2059.1751528</v>
      </c>
      <c r="FA11" s="74">
        <f>EX$6*$G11</f>
        <v>318.9214566</v>
      </c>
      <c r="FB11" s="76"/>
      <c r="FC11" s="75">
        <f>C11*0.25327/100</f>
        <v>17652.918999999998</v>
      </c>
      <c r="FD11" s="75">
        <f>D11*0.25327/100</f>
        <v>441.322975</v>
      </c>
      <c r="FE11" s="75">
        <f>FC11+FD11</f>
        <v>18094.241974999997</v>
      </c>
      <c r="FF11" s="76">
        <f>FD$6*$F11</f>
        <v>1430.4486984</v>
      </c>
      <c r="FG11" s="74">
        <f>FD$6*$G11</f>
        <v>221.5453998</v>
      </c>
      <c r="FH11" s="76"/>
      <c r="FI11" s="75">
        <f>C11*0.09887/100</f>
        <v>6891.2390000000005</v>
      </c>
      <c r="FJ11" s="75">
        <f>D11*0.09887/100</f>
        <v>172.280975</v>
      </c>
      <c r="FK11" s="75">
        <f>FI11+FJ11</f>
        <v>7063.519975</v>
      </c>
      <c r="FL11" s="76">
        <f>FJ$6*$F11</f>
        <v>558.4098504</v>
      </c>
      <c r="FM11" s="74">
        <f>FJ$6*$G11</f>
        <v>86.48554379999999</v>
      </c>
      <c r="FN11" s="76"/>
      <c r="FO11" s="75">
        <f>C11*1.11111/100</f>
        <v>77444.367</v>
      </c>
      <c r="FP11" s="75">
        <f>D11*1.11111/100</f>
        <v>1936.109175</v>
      </c>
      <c r="FQ11" s="75">
        <f>FO11+FP11</f>
        <v>79380.476175</v>
      </c>
      <c r="FR11" s="76">
        <f>FP$6*$F11</f>
        <v>6275.4603912</v>
      </c>
      <c r="FS11" s="74">
        <f>FP$6*$G11</f>
        <v>971.9323614</v>
      </c>
      <c r="FT11" s="76"/>
      <c r="FU11" s="75">
        <f>C11*2.50422/100</f>
        <v>174544.13400000002</v>
      </c>
      <c r="FV11" s="75">
        <f>D11*2.50422/100</f>
        <v>4363.60335</v>
      </c>
      <c r="FW11" s="75">
        <f>FU11+FV11</f>
        <v>178907.73735</v>
      </c>
      <c r="FX11" s="76">
        <f>FV$6*$F11</f>
        <v>14143.6342224</v>
      </c>
      <c r="FY11" s="74">
        <f>FV$6*$G11</f>
        <v>2190.5414028</v>
      </c>
      <c r="FZ11" s="76"/>
      <c r="GA11" s="75">
        <f>C11*0.31957/100</f>
        <v>22274.029000000002</v>
      </c>
      <c r="GB11" s="75">
        <f>D11*0.31957/100</f>
        <v>556.850725</v>
      </c>
      <c r="GC11" s="75">
        <f>GA11+GB11</f>
        <v>22830.879725000003</v>
      </c>
      <c r="GD11" s="76">
        <f>GB$6*$F11</f>
        <v>1804.9057944</v>
      </c>
      <c r="GE11" s="74">
        <f>GB$6*$G11</f>
        <v>279.5406618</v>
      </c>
      <c r="GF11" s="76"/>
      <c r="GG11" s="75">
        <f>C11*0.50748/100</f>
        <v>35371.356</v>
      </c>
      <c r="GH11" s="75">
        <f>D11*0.50748/100</f>
        <v>884.2839000000001</v>
      </c>
      <c r="GI11" s="75">
        <f>GG11+GH11</f>
        <v>36255.6399</v>
      </c>
      <c r="GJ11" s="76">
        <f>GH$6*$F11</f>
        <v>2866.2064416</v>
      </c>
      <c r="GK11" s="74">
        <f>GH$6*$G11</f>
        <v>443.9130552</v>
      </c>
      <c r="GL11" s="76"/>
      <c r="GM11" s="75">
        <f>C11*2.35189/100</f>
        <v>163926.733</v>
      </c>
      <c r="GN11" s="75">
        <f>D11*2.35189/100</f>
        <v>4098.168325000001</v>
      </c>
      <c r="GO11" s="75">
        <f>GM11+GN11</f>
        <v>168024.901325</v>
      </c>
      <c r="GP11" s="76">
        <f>GN$6*$F11</f>
        <v>13283.2865688</v>
      </c>
      <c r="GQ11" s="74">
        <f>GN$6*$G11</f>
        <v>2057.2922586</v>
      </c>
      <c r="GR11" s="76"/>
      <c r="GS11" s="75">
        <f>C11*0.12482/100</f>
        <v>8699.954</v>
      </c>
      <c r="GT11" s="75">
        <f>D11*0.12482/100</f>
        <v>217.49884999999998</v>
      </c>
      <c r="GU11" s="75">
        <f>GS11+GT11</f>
        <v>8917.45285</v>
      </c>
      <c r="GV11" s="76">
        <f>GT$6*$F11</f>
        <v>704.9733744</v>
      </c>
      <c r="GW11" s="74">
        <f>GT$6*$G11</f>
        <v>109.18504680000001</v>
      </c>
      <c r="GX11" s="76"/>
      <c r="GY11" s="75">
        <f>C11*0.71564/100</f>
        <v>49880.10800000001</v>
      </c>
      <c r="GZ11" s="75">
        <f>D11*0.71564/100</f>
        <v>1247.0027</v>
      </c>
      <c r="HA11" s="75">
        <f>GY11+GZ11</f>
        <v>51127.110700000005</v>
      </c>
      <c r="HB11" s="76">
        <f>GZ$6*$F11</f>
        <v>4041.8774688000003</v>
      </c>
      <c r="HC11" s="74">
        <f>GZ$6*$G11</f>
        <v>625.9989336</v>
      </c>
      <c r="HD11" s="76"/>
      <c r="HE11" s="76"/>
      <c r="HF11" s="76"/>
      <c r="HG11" s="76"/>
      <c r="HH11" s="76"/>
      <c r="HI11" s="76"/>
    </row>
    <row r="12" spans="3:217" ht="12.75">
      <c r="C12" s="77"/>
      <c r="D12" s="77"/>
      <c r="E12" s="77"/>
      <c r="F12" s="77"/>
      <c r="G12" s="77"/>
      <c r="H12" s="75"/>
      <c r="I12" s="75"/>
      <c r="J12" s="76"/>
      <c r="K12" s="75"/>
      <c r="L12" s="75"/>
      <c r="M12" s="77"/>
      <c r="N12" s="75"/>
      <c r="O12" s="75"/>
      <c r="P12" s="75"/>
      <c r="Q12" s="75"/>
      <c r="R12" s="75"/>
      <c r="S12" s="77"/>
      <c r="T12" s="75"/>
      <c r="U12" s="75"/>
      <c r="V12" s="75"/>
      <c r="W12" s="75"/>
      <c r="X12" s="75"/>
      <c r="Y12" s="77"/>
      <c r="Z12" s="75"/>
      <c r="AA12" s="76"/>
      <c r="AB12" s="75"/>
      <c r="AC12" s="75"/>
      <c r="AD12" s="75"/>
      <c r="AE12" s="77"/>
      <c r="AF12" s="75"/>
      <c r="AG12" s="75"/>
      <c r="AH12" s="75"/>
      <c r="AI12" s="75"/>
      <c r="AJ12" s="75"/>
      <c r="AK12" s="77"/>
      <c r="AL12" s="75"/>
      <c r="AM12" s="75"/>
      <c r="AN12" s="75"/>
      <c r="AO12" s="75"/>
      <c r="AP12" s="75"/>
      <c r="AQ12" s="77"/>
      <c r="AR12" s="75"/>
      <c r="AS12" s="75"/>
      <c r="AT12" s="75"/>
      <c r="AU12" s="75"/>
      <c r="AV12" s="75"/>
      <c r="AW12" s="77"/>
      <c r="AX12" s="75"/>
      <c r="AY12" s="75"/>
      <c r="AZ12" s="75"/>
      <c r="BA12" s="75"/>
      <c r="BB12" s="75"/>
      <c r="BC12" s="77"/>
      <c r="BD12" s="75"/>
      <c r="BE12" s="75"/>
      <c r="BF12" s="75"/>
      <c r="BG12" s="75"/>
      <c r="BH12" s="75"/>
      <c r="BI12" s="77"/>
      <c r="BJ12" s="75"/>
      <c r="BK12" s="75"/>
      <c r="BL12" s="75"/>
      <c r="BM12" s="75"/>
      <c r="BN12" s="75"/>
      <c r="BO12" s="77"/>
      <c r="BP12" s="75"/>
      <c r="BQ12" s="75"/>
      <c r="BR12" s="75"/>
      <c r="BS12" s="75"/>
      <c r="BT12" s="75"/>
      <c r="BU12" s="77"/>
      <c r="BV12" s="75"/>
      <c r="BW12" s="75"/>
      <c r="BX12" s="75"/>
      <c r="BY12" s="75"/>
      <c r="BZ12" s="75"/>
      <c r="CA12" s="77"/>
      <c r="CB12" s="75"/>
      <c r="CC12" s="75"/>
      <c r="CD12" s="75"/>
      <c r="CE12" s="75"/>
      <c r="CF12" s="75"/>
      <c r="CG12" s="77"/>
      <c r="CH12" s="75"/>
      <c r="CI12" s="75"/>
      <c r="CJ12" s="75"/>
      <c r="CK12" s="75"/>
      <c r="CL12" s="75"/>
      <c r="CM12" s="77"/>
      <c r="CN12" s="75"/>
      <c r="CO12" s="75"/>
      <c r="CP12" s="75"/>
      <c r="CQ12" s="75"/>
      <c r="CR12" s="75"/>
      <c r="CS12" s="77"/>
      <c r="CT12" s="75"/>
      <c r="CU12" s="75"/>
      <c r="CV12" s="75"/>
      <c r="CW12" s="75"/>
      <c r="CX12" s="75"/>
      <c r="CY12" s="77"/>
      <c r="CZ12" s="75"/>
      <c r="DA12" s="75"/>
      <c r="DB12" s="75"/>
      <c r="DC12" s="75"/>
      <c r="DD12" s="75"/>
      <c r="DE12" s="77"/>
      <c r="DF12" s="75"/>
      <c r="DG12" s="75"/>
      <c r="DH12" s="75"/>
      <c r="DI12" s="75"/>
      <c r="DJ12" s="75"/>
      <c r="DK12" s="77"/>
      <c r="DL12" s="75"/>
      <c r="DM12" s="75"/>
      <c r="DN12" s="75"/>
      <c r="DO12" s="75"/>
      <c r="DP12" s="75"/>
      <c r="DQ12" s="77"/>
      <c r="DR12" s="75"/>
      <c r="DS12" s="75"/>
      <c r="DT12" s="75"/>
      <c r="DU12" s="75"/>
      <c r="DV12" s="75"/>
      <c r="DW12" s="77"/>
      <c r="DX12" s="75"/>
      <c r="DY12" s="75"/>
      <c r="DZ12" s="75"/>
      <c r="EA12" s="75"/>
      <c r="EB12" s="75"/>
      <c r="EC12" s="77"/>
      <c r="ED12" s="75"/>
      <c r="EE12" s="75"/>
      <c r="EF12" s="75"/>
      <c r="EG12" s="75"/>
      <c r="EH12" s="75"/>
      <c r="EI12" s="77"/>
      <c r="EJ12" s="75"/>
      <c r="EK12" s="75"/>
      <c r="EL12" s="75"/>
      <c r="EM12" s="75"/>
      <c r="EN12" s="75"/>
      <c r="EO12" s="77"/>
      <c r="EP12" s="75"/>
      <c r="EQ12" s="75"/>
      <c r="ER12" s="75"/>
      <c r="ES12" s="75"/>
      <c r="ET12" s="75"/>
      <c r="EU12" s="77"/>
      <c r="EV12" s="75"/>
      <c r="EW12" s="75"/>
      <c r="EX12" s="75"/>
      <c r="EY12" s="75"/>
      <c r="EZ12" s="75"/>
      <c r="FA12" s="77"/>
      <c r="FB12" s="75"/>
      <c r="FC12" s="75"/>
      <c r="FD12" s="75"/>
      <c r="FE12" s="75"/>
      <c r="FF12" s="75"/>
      <c r="FG12" s="77"/>
      <c r="FH12" s="75"/>
      <c r="FI12" s="75"/>
      <c r="FJ12" s="75"/>
      <c r="FK12" s="75"/>
      <c r="FL12" s="75"/>
      <c r="FM12" s="77"/>
      <c r="FN12" s="75"/>
      <c r="FO12" s="75"/>
      <c r="FP12" s="75"/>
      <c r="FQ12" s="75"/>
      <c r="FR12" s="75"/>
      <c r="FS12" s="77"/>
      <c r="FT12" s="75"/>
      <c r="FU12" s="75"/>
      <c r="FV12" s="75"/>
      <c r="FW12" s="75"/>
      <c r="FX12" s="75"/>
      <c r="FY12" s="77"/>
      <c r="FZ12" s="75"/>
      <c r="GA12" s="75"/>
      <c r="GB12" s="75"/>
      <c r="GC12" s="75"/>
      <c r="GD12" s="75"/>
      <c r="GE12" s="77"/>
      <c r="GF12" s="75"/>
      <c r="GG12" s="75"/>
      <c r="GH12" s="75"/>
      <c r="GI12" s="75"/>
      <c r="GJ12" s="75"/>
      <c r="GK12" s="77"/>
      <c r="GL12" s="75"/>
      <c r="GM12" s="75"/>
      <c r="GN12" s="75"/>
      <c r="GO12" s="75"/>
      <c r="GP12" s="75"/>
      <c r="GQ12" s="77"/>
      <c r="GR12" s="75"/>
      <c r="GS12" s="75"/>
      <c r="GT12" s="75"/>
      <c r="GU12" s="75"/>
      <c r="GV12" s="75"/>
      <c r="GW12" s="77"/>
      <c r="GX12" s="75"/>
      <c r="GY12" s="75"/>
      <c r="GZ12" s="75"/>
      <c r="HA12" s="75"/>
      <c r="HB12" s="75"/>
      <c r="HC12" s="77"/>
      <c r="HD12" s="75"/>
      <c r="HE12" s="75"/>
      <c r="HF12" s="75"/>
      <c r="HG12" s="75"/>
      <c r="HH12" s="75"/>
      <c r="HI12" s="75"/>
    </row>
    <row r="13" spans="1:217" ht="13.5" thickBot="1">
      <c r="A13" s="31" t="s">
        <v>4</v>
      </c>
      <c r="C13" s="78">
        <f>SUM(C8:C12)</f>
        <v>12440000</v>
      </c>
      <c r="D13" s="78">
        <f>SUM(D8:D12)</f>
        <v>970500</v>
      </c>
      <c r="E13" s="78">
        <f>SUM(E8:E12)</f>
        <v>13410500</v>
      </c>
      <c r="F13" s="78">
        <f>SUM(F8:F12)</f>
        <v>2259168</v>
      </c>
      <c r="G13" s="78">
        <f>SUM(G8:G12)</f>
        <v>349896</v>
      </c>
      <c r="H13" s="75"/>
      <c r="I13" s="78">
        <f>SUM(I8:I12)</f>
        <v>6752754.196</v>
      </c>
      <c r="J13" s="78">
        <f>SUM(J8:J12)</f>
        <v>526812.53595</v>
      </c>
      <c r="K13" s="78">
        <f>SUM(K8:K12)</f>
        <v>7279566.73195</v>
      </c>
      <c r="L13" s="78">
        <f>SUM(L8:L12)</f>
        <v>1226334.9028512</v>
      </c>
      <c r="M13" s="78">
        <f>SUM(M8:M12)</f>
        <v>189932.6111064</v>
      </c>
      <c r="N13" s="75"/>
      <c r="O13" s="78">
        <f>SUM(O8:O12)</f>
        <v>822846.288</v>
      </c>
      <c r="P13" s="78">
        <f>SUM(P8:P12)</f>
        <v>64193.9166</v>
      </c>
      <c r="Q13" s="78">
        <f>SUM(Q8:Q12)</f>
        <v>887040.2046</v>
      </c>
      <c r="R13" s="78">
        <f>SUM(R8:R12)</f>
        <v>149433.1191936</v>
      </c>
      <c r="S13" s="78">
        <f>SUM(S8:S12)</f>
        <v>23143.9408992</v>
      </c>
      <c r="T13" s="75"/>
      <c r="U13" s="78">
        <f>SUM(U8:U12)</f>
        <v>14052.224000000002</v>
      </c>
      <c r="V13" s="78">
        <f>SUM(V8:V12)</f>
        <v>1096.2768</v>
      </c>
      <c r="W13" s="78">
        <f>SUM(W8:W12)</f>
        <v>15148.500800000002</v>
      </c>
      <c r="X13" s="78">
        <f>SUM(X8:X12)</f>
        <v>2551.9561728</v>
      </c>
      <c r="Y13" s="78">
        <f>SUM(Y8:Y12)</f>
        <v>395.2425216</v>
      </c>
      <c r="Z13" s="75"/>
      <c r="AA13" s="78">
        <f>SUM(AA8:AA12)</f>
        <v>63436.53599999999</v>
      </c>
      <c r="AB13" s="78">
        <f>SUM(AB8:AB12)</f>
        <v>4948.9677</v>
      </c>
      <c r="AC13" s="78">
        <f>SUM(AC8:AC12)</f>
        <v>68385.5037</v>
      </c>
      <c r="AD13" s="78">
        <f>SUM(AD8:AD12)</f>
        <v>11520.401299199999</v>
      </c>
      <c r="AE13" s="78">
        <f>SUM(AE8:AE12)</f>
        <v>1784.2596623999998</v>
      </c>
      <c r="AF13" s="75"/>
      <c r="AG13" s="78">
        <f>SUM(AG8:AG12)</f>
        <v>1103175.4679999999</v>
      </c>
      <c r="AH13" s="78">
        <f>SUM(AH8:AH12)</f>
        <v>86063.64885</v>
      </c>
      <c r="AI13" s="78">
        <f>SUM(AI8:AI12)</f>
        <v>1189239.1168499999</v>
      </c>
      <c r="AJ13" s="78">
        <f>SUM(AJ8:AJ12)</f>
        <v>200342.3404896</v>
      </c>
      <c r="AK13" s="78">
        <f>SUM(AK8:AK12)</f>
        <v>31028.6723112</v>
      </c>
      <c r="AL13" s="75"/>
      <c r="AM13" s="78">
        <f>SUM(AM8:AM12)</f>
        <v>13363.047999999999</v>
      </c>
      <c r="AN13" s="78">
        <f>SUM(AN8:AN12)</f>
        <v>1042.5111000000002</v>
      </c>
      <c r="AO13" s="78">
        <f>SUM(AO8:AO12)</f>
        <v>14405.559100000002</v>
      </c>
      <c r="AP13" s="78">
        <f>SUM(AP8:AP12)</f>
        <v>2426.7982656</v>
      </c>
      <c r="AQ13" s="78">
        <f>SUM(AQ8:AQ12)</f>
        <v>375.8582832</v>
      </c>
      <c r="AR13" s="75"/>
      <c r="AS13" s="78">
        <f>SUM(AS8:AS12)</f>
        <v>11269.396</v>
      </c>
      <c r="AT13" s="78">
        <f>SUM(AT8:AT12)</f>
        <v>879.1759500000001</v>
      </c>
      <c r="AU13" s="78">
        <f>SUM(AU8:AU12)</f>
        <v>12148.571950000001</v>
      </c>
      <c r="AV13" s="78">
        <f>SUM(AV8:AV12)</f>
        <v>2046.5802912</v>
      </c>
      <c r="AW13" s="78">
        <f>SUM(AW8:AW12)</f>
        <v>316.9707864</v>
      </c>
      <c r="AX13" s="75"/>
      <c r="AY13" s="78">
        <f>SUM(AY8:AY12)</f>
        <v>462354.992</v>
      </c>
      <c r="AZ13" s="78">
        <f>SUM(AZ8:AZ12)</f>
        <v>36070.3794</v>
      </c>
      <c r="BA13" s="78">
        <f>SUM(BA8:BA12)</f>
        <v>498425.3714</v>
      </c>
      <c r="BB13" s="78">
        <f>SUM(BB8:BB12)</f>
        <v>83966.0452224</v>
      </c>
      <c r="BC13" s="78">
        <f>SUM(BC8:BC12)</f>
        <v>13004.5146528</v>
      </c>
      <c r="BD13" s="75"/>
      <c r="BE13" s="78">
        <f>SUM(BE8:BE12)</f>
        <v>948703.0119999999</v>
      </c>
      <c r="BF13" s="78">
        <f>SUM(BF8:BF12)</f>
        <v>74012.56214999998</v>
      </c>
      <c r="BG13" s="78">
        <f>SUM(BG8:BG12)</f>
        <v>1022715.57415</v>
      </c>
      <c r="BH13" s="78">
        <f>SUM(BH8:BH12)</f>
        <v>172289.34776640002</v>
      </c>
      <c r="BI13" s="78">
        <f>SUM(BI8:BI12)</f>
        <v>26683.873720800002</v>
      </c>
      <c r="BJ13" s="75"/>
      <c r="BK13" s="78">
        <f>SUM(BK8:BK12)</f>
        <v>10952.176</v>
      </c>
      <c r="BL13" s="78">
        <f>SUM(BL8:BL12)</f>
        <v>854.4281999999998</v>
      </c>
      <c r="BM13" s="78">
        <f>SUM(BM8:BM12)</f>
        <v>11806.604199999998</v>
      </c>
      <c r="BN13" s="78">
        <f>SUM(BN8:BN12)</f>
        <v>1988.9715072000001</v>
      </c>
      <c r="BO13" s="78">
        <f>SUM(BO8:BO12)</f>
        <v>308.0484384</v>
      </c>
      <c r="BP13" s="75"/>
      <c r="BQ13" s="78">
        <f>SUM(BQ8:BQ12)</f>
        <v>7357.016</v>
      </c>
      <c r="BR13" s="78">
        <f>SUM(BR8:BR12)</f>
        <v>573.9537</v>
      </c>
      <c r="BS13" s="78">
        <f>SUM(BS8:BS12)</f>
        <v>7930.9697</v>
      </c>
      <c r="BT13" s="78">
        <f>SUM(BT8:BT12)</f>
        <v>1336.0719551999998</v>
      </c>
      <c r="BU13" s="78">
        <f>SUM(BU8:BU12)</f>
        <v>206.92849439999998</v>
      </c>
      <c r="BV13" s="75"/>
      <c r="BW13" s="78">
        <f>SUM(BW8:BW12)</f>
        <v>-1095.964</v>
      </c>
      <c r="BX13" s="78">
        <f>SUM(BX8:BX12)</f>
        <v>-85.50104999999999</v>
      </c>
      <c r="BY13" s="78">
        <f>SUM(BY8:BY12)</f>
        <v>-1181.4650499999998</v>
      </c>
      <c r="BZ13" s="78">
        <f>SUM(BZ8:BZ12)</f>
        <v>-199.0327008</v>
      </c>
      <c r="CA13" s="78">
        <f>SUM(CA8:CA12)</f>
        <v>-30.8258376</v>
      </c>
      <c r="CB13" s="77"/>
      <c r="CC13" s="78">
        <f>SUM(CC8:CC12)</f>
        <v>-714.056</v>
      </c>
      <c r="CD13" s="78">
        <f>SUM(CD8:CD12)</f>
        <v>-55.706700000000005</v>
      </c>
      <c r="CE13" s="78">
        <f>SUM(CE8:CE12)</f>
        <v>-769.7627000000001</v>
      </c>
      <c r="CF13" s="78">
        <f>SUM(CF8:CF12)</f>
        <v>-129.6762432</v>
      </c>
      <c r="CG13" s="78">
        <f>SUM(CG8:CG12)</f>
        <v>-20.0840304</v>
      </c>
      <c r="CH13" s="75"/>
      <c r="CI13" s="78">
        <f>SUM(CI8:CI12)</f>
        <v>26554.424</v>
      </c>
      <c r="CJ13" s="78">
        <f>SUM(CJ8:CJ12)</f>
        <v>2071.6293</v>
      </c>
      <c r="CK13" s="78">
        <f>SUM(CK8:CK12)</f>
        <v>28626.0533</v>
      </c>
      <c r="CL13" s="78">
        <f>SUM(CL8:CL12)</f>
        <v>4822.4200128</v>
      </c>
      <c r="CM13" s="78">
        <f>SUM(CM8:CM12)</f>
        <v>746.8880015999999</v>
      </c>
      <c r="CN13" s="75"/>
      <c r="CO13" s="78">
        <f>SUM(CO8:CO12)</f>
        <v>163299.88</v>
      </c>
      <c r="CP13" s="78">
        <f>SUM(CP8:CP12)</f>
        <v>12739.7535</v>
      </c>
      <c r="CQ13" s="78">
        <f>SUM(CQ8:CQ12)</f>
        <v>176039.6335</v>
      </c>
      <c r="CR13" s="78">
        <f>SUM(CR8:CR12)</f>
        <v>29656.098336</v>
      </c>
      <c r="CS13" s="78">
        <f>SUM(CS8:CS12)</f>
        <v>4593.084792</v>
      </c>
      <c r="CT13" s="75"/>
      <c r="CU13" s="78">
        <f>SUM(CU8:CU12)</f>
        <v>1097022.6439999999</v>
      </c>
      <c r="CV13" s="78">
        <f>SUM(CV8:CV12)</f>
        <v>85583.63955</v>
      </c>
      <c r="CW13" s="78">
        <f>SUM(CW8:CW12)</f>
        <v>1182606.28355</v>
      </c>
      <c r="CX13" s="78">
        <f>SUM(CX8:CX12)</f>
        <v>199224.9559968</v>
      </c>
      <c r="CY13" s="78">
        <f>SUM(CY8:CY12)</f>
        <v>30855.6137496</v>
      </c>
      <c r="CZ13" s="75"/>
      <c r="DA13" s="78">
        <f>SUM(DA8:DA12)</f>
        <v>158276.60799999998</v>
      </c>
      <c r="DB13" s="78">
        <f>SUM(DB8:DB12)</f>
        <v>12347.865599999997</v>
      </c>
      <c r="DC13" s="78">
        <f>SUM(DC8:DC12)</f>
        <v>170624.4736</v>
      </c>
      <c r="DD13" s="78">
        <f>SUM(DD8:DD12)</f>
        <v>28743.8462976</v>
      </c>
      <c r="DE13" s="78">
        <f>SUM(DE8:DE12)</f>
        <v>4451.7967872</v>
      </c>
      <c r="DF13" s="75"/>
      <c r="DG13" s="78">
        <f>SUM(DG8:DG12)</f>
        <v>323405.168</v>
      </c>
      <c r="DH13" s="78">
        <f>SUM(DH8:DH12)</f>
        <v>25230.2826</v>
      </c>
      <c r="DI13" s="78">
        <f>SUM(DI8:DI12)</f>
        <v>348635.4506</v>
      </c>
      <c r="DJ13" s="78">
        <f>SUM(DJ8:DJ12)</f>
        <v>58732.0423296</v>
      </c>
      <c r="DK13" s="78">
        <f>SUM(DK8:DK12)</f>
        <v>9096.3162912</v>
      </c>
      <c r="DL13" s="75"/>
      <c r="DM13" s="78">
        <f>SUM(DM8:DM12)</f>
        <v>52449.528</v>
      </c>
      <c r="DN13" s="78">
        <f>SUM(DN8:DN12)</f>
        <v>4091.8221</v>
      </c>
      <c r="DO13" s="78">
        <f>SUM(DO8:DO12)</f>
        <v>56541.350099999996</v>
      </c>
      <c r="DP13" s="78">
        <f>SUM(DP8:DP12)</f>
        <v>9525.1041216</v>
      </c>
      <c r="DQ13" s="78">
        <f>SUM(DQ8:DQ12)</f>
        <v>1475.2315151999999</v>
      </c>
      <c r="DR13" s="75"/>
      <c r="DS13" s="78">
        <f>SUM(DS8:DS12)</f>
        <v>269054.808</v>
      </c>
      <c r="DT13" s="78">
        <f>SUM(DT8:DT12)</f>
        <v>20990.168100000003</v>
      </c>
      <c r="DU13" s="78">
        <f>SUM(DU8:DU12)</f>
        <v>290044.97609999997</v>
      </c>
      <c r="DV13" s="78">
        <f>SUM(DV8:DV12)</f>
        <v>48861.7373376</v>
      </c>
      <c r="DW13" s="78">
        <f>SUM(DW8:DW12)</f>
        <v>7567.6206672</v>
      </c>
      <c r="DX13" s="75"/>
      <c r="DY13" s="78">
        <f>SUM(DY8:DY12)</f>
        <v>2404.652</v>
      </c>
      <c r="DZ13" s="78">
        <f>SUM(DZ8:DZ12)</f>
        <v>187.59765</v>
      </c>
      <c r="EA13" s="78">
        <f>SUM(EA8:EA12)</f>
        <v>2592.2496499999997</v>
      </c>
      <c r="EB13" s="78">
        <f>SUM(EB8:EB12)</f>
        <v>436.6971744</v>
      </c>
      <c r="EC13" s="78">
        <f>SUM(EC8:EC12)</f>
        <v>67.6348968</v>
      </c>
      <c r="ED13" s="75"/>
      <c r="EE13" s="78">
        <f>SUM(EE8:EE12)</f>
        <v>3164.7360000000003</v>
      </c>
      <c r="EF13" s="78">
        <f>SUM(EF8:EF12)</f>
        <v>246.89520000000005</v>
      </c>
      <c r="EG13" s="78">
        <f>SUM(EG8:EG12)</f>
        <v>3411.6312000000003</v>
      </c>
      <c r="EH13" s="78">
        <f>SUM(EH8:EH12)</f>
        <v>574.7323392</v>
      </c>
      <c r="EI13" s="78">
        <f>SUM(EI8:EI12)</f>
        <v>89.0135424</v>
      </c>
      <c r="EJ13" s="75"/>
      <c r="EK13" s="78">
        <f>SUM(EK8:EK12)</f>
        <v>159464.62800000003</v>
      </c>
      <c r="EL13" s="78">
        <f>SUM(EL8:EL12)</f>
        <v>12440.548350000001</v>
      </c>
      <c r="EM13" s="78">
        <f>SUM(EM8:EM12)</f>
        <v>171905.17635000002</v>
      </c>
      <c r="EN13" s="78">
        <f>SUM(EN8:EN12)</f>
        <v>28959.5968416</v>
      </c>
      <c r="EO13" s="78">
        <f>SUM(EO8:EO12)</f>
        <v>4485.2118552</v>
      </c>
      <c r="EP13" s="75"/>
      <c r="EQ13" s="78">
        <f>SUM(EQ8:EQ12)</f>
        <v>3035.36</v>
      </c>
      <c r="ER13" s="78">
        <f>SUM(ER8:ER12)</f>
        <v>236.802</v>
      </c>
      <c r="ES13" s="78">
        <f>SUM(ES8:ES12)</f>
        <v>3272.1620000000003</v>
      </c>
      <c r="ET13" s="78">
        <f>SUM(ET8:ET12)</f>
        <v>551.236992</v>
      </c>
      <c r="EU13" s="78">
        <f>SUM(EU8:EU12)</f>
        <v>85.374624</v>
      </c>
      <c r="EV13" s="75"/>
      <c r="EW13" s="78">
        <f>SUM(EW8:EW12)</f>
        <v>45354.996</v>
      </c>
      <c r="EX13" s="78">
        <f>SUM(EX8:EX12)</f>
        <v>3538.3459500000004</v>
      </c>
      <c r="EY13" s="78">
        <f>SUM(EY8:EY12)</f>
        <v>48893.34195</v>
      </c>
      <c r="EZ13" s="78">
        <f>SUM(EZ8:EZ12)</f>
        <v>8236.7006112</v>
      </c>
      <c r="FA13" s="78">
        <f>SUM(FA8:FA12)</f>
        <v>1275.6858264</v>
      </c>
      <c r="FB13" s="75"/>
      <c r="FC13" s="78">
        <f>SUM(FC8:FC12)</f>
        <v>31506.787999999997</v>
      </c>
      <c r="FD13" s="78">
        <f>SUM(FD8:FD12)</f>
        <v>2457.98535</v>
      </c>
      <c r="FE13" s="78">
        <f>SUM(FE8:FE12)</f>
        <v>33964.773349999996</v>
      </c>
      <c r="FF13" s="78">
        <f>SUM(FF8:FF12)</f>
        <v>5721.7947936</v>
      </c>
      <c r="FG13" s="78">
        <f>SUM(FG8:FG12)</f>
        <v>886.1815992</v>
      </c>
      <c r="FH13" s="75"/>
      <c r="FI13" s="78">
        <f>SUM(FI8:FI12)</f>
        <v>12299.428</v>
      </c>
      <c r="FJ13" s="78">
        <f>SUM(FJ8:FJ12)</f>
        <v>959.53335</v>
      </c>
      <c r="FK13" s="78">
        <f>SUM(FK8:FK12)</f>
        <v>13258.961350000001</v>
      </c>
      <c r="FL13" s="78">
        <f>SUM(FL8:FL12)</f>
        <v>2233.6394016</v>
      </c>
      <c r="FM13" s="78">
        <f>SUM(FM8:FM12)</f>
        <v>345.94217519999995</v>
      </c>
      <c r="FN13" s="75"/>
      <c r="FO13" s="78">
        <f>SUM(FO8:FO12)</f>
        <v>138222.084</v>
      </c>
      <c r="FP13" s="78">
        <f>SUM(FP8:FP12)</f>
        <v>10783.32255</v>
      </c>
      <c r="FQ13" s="78">
        <f>SUM(FQ8:FQ12)</f>
        <v>149005.40655</v>
      </c>
      <c r="FR13" s="78">
        <f>SUM(FR8:FR12)</f>
        <v>25101.8415648</v>
      </c>
      <c r="FS13" s="78">
        <f>SUM(FS8:FS12)</f>
        <v>3887.7294456</v>
      </c>
      <c r="FT13" s="75"/>
      <c r="FU13" s="78">
        <f>SUM(FU8:FU12)</f>
        <v>311524.968</v>
      </c>
      <c r="FV13" s="78">
        <f>SUM(FV8:FV12)</f>
        <v>24303.455100000003</v>
      </c>
      <c r="FW13" s="78">
        <f>SUM(FW8:FW12)</f>
        <v>335828.4231</v>
      </c>
      <c r="FX13" s="78">
        <f>SUM(FX8:FX12)</f>
        <v>56574.5368896</v>
      </c>
      <c r="FY13" s="78">
        <f>SUM(FY8:FY12)</f>
        <v>8762.1656112</v>
      </c>
      <c r="FZ13" s="75"/>
      <c r="GA13" s="78">
        <f>SUM(GA8:GA12)</f>
        <v>39754.508</v>
      </c>
      <c r="GB13" s="78">
        <f>SUM(GB8:GB12)</f>
        <v>3101.42685</v>
      </c>
      <c r="GC13" s="78">
        <f>SUM(GC8:GC12)</f>
        <v>42855.934850000005</v>
      </c>
      <c r="GD13" s="78">
        <f>SUM(GD8:GD12)</f>
        <v>7219.6231776</v>
      </c>
      <c r="GE13" s="78">
        <f>SUM(GE8:GE12)</f>
        <v>1118.1626472</v>
      </c>
      <c r="GF13" s="75"/>
      <c r="GG13" s="78">
        <f>SUM(GG8:GG12)</f>
        <v>63130.512</v>
      </c>
      <c r="GH13" s="78">
        <f>SUM(GH8:GH12)</f>
        <v>4925.093400000001</v>
      </c>
      <c r="GI13" s="78">
        <f>SUM(GI8:GI12)</f>
        <v>68055.6054</v>
      </c>
      <c r="GJ13" s="78">
        <f>SUM(GJ8:GJ12)</f>
        <v>11464.8257664</v>
      </c>
      <c r="GK13" s="78">
        <f>SUM(GK8:GK12)</f>
        <v>1775.6522208</v>
      </c>
      <c r="GL13" s="75"/>
      <c r="GM13" s="78">
        <f>SUM(GM8:GM12)</f>
        <v>292575.11600000004</v>
      </c>
      <c r="GN13" s="78">
        <f>SUM(GN8:GN12)</f>
        <v>22825.092450000004</v>
      </c>
      <c r="GO13" s="78">
        <f>SUM(GO8:GO12)</f>
        <v>315400.20845000003</v>
      </c>
      <c r="GP13" s="78">
        <f>SUM(GP8:GP12)</f>
        <v>53133.1462752</v>
      </c>
      <c r="GQ13" s="78">
        <f>SUM(GQ8:GQ12)</f>
        <v>8229.1690344</v>
      </c>
      <c r="GR13" s="75"/>
      <c r="GS13" s="78">
        <f>SUM(GS8:GS12)</f>
        <v>15527.608</v>
      </c>
      <c r="GT13" s="78">
        <f>SUM(GT8:GT12)</f>
        <v>1211.3781</v>
      </c>
      <c r="GU13" s="78">
        <f>SUM(GU8:GU12)</f>
        <v>16738.986100000002</v>
      </c>
      <c r="GV13" s="78">
        <f>SUM(GV8:GV12)</f>
        <v>2819.8934976</v>
      </c>
      <c r="GW13" s="78">
        <f>SUM(GW8:GW12)</f>
        <v>436.74018720000004</v>
      </c>
      <c r="GX13" s="75"/>
      <c r="GY13" s="78">
        <f>SUM(GY8:GY12)</f>
        <v>89025.61600000001</v>
      </c>
      <c r="GZ13" s="78">
        <f>SUM(GZ8:GZ12)</f>
        <v>6945.2862000000005</v>
      </c>
      <c r="HA13" s="78">
        <f>SUM(HA8:HA12)</f>
        <v>95970.90220000001</v>
      </c>
      <c r="HB13" s="78">
        <f>SUM(HB8:HB12)</f>
        <v>16167.509875200001</v>
      </c>
      <c r="HC13" s="78">
        <f>SUM(HC8:HC12)</f>
        <v>2503.9957344</v>
      </c>
      <c r="HD13" s="75"/>
      <c r="HE13" s="75"/>
      <c r="HF13" s="75"/>
      <c r="HG13" s="75"/>
      <c r="HH13" s="75"/>
      <c r="HI13" s="75"/>
    </row>
    <row r="14" ht="13.5" thickTop="1"/>
    <row r="27" spans="1:212" ht="12.75">
      <c r="A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</row>
    <row r="28" spans="1:212" ht="12.75">
      <c r="A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</row>
    <row r="29" spans="1:212" ht="12.75">
      <c r="A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</row>
    <row r="30" spans="1:212" ht="12.75">
      <c r="A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</row>
    <row r="31" spans="1:212" ht="12.75">
      <c r="A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</row>
    <row r="32" spans="1:212" ht="12.75">
      <c r="A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</row>
    <row r="33" spans="1:212" ht="12.75">
      <c r="A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</row>
    <row r="34" spans="1:212" ht="12.75">
      <c r="A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</row>
    <row r="35" spans="1:212" ht="12.75">
      <c r="A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</row>
    <row r="36" spans="1:212" ht="12.75">
      <c r="A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</row>
    <row r="37" spans="1:212" ht="12.75">
      <c r="A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</row>
    <row r="38" spans="1:212" ht="12.75">
      <c r="A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</row>
    <row r="39" spans="1:212" ht="12.75">
      <c r="A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</row>
    <row r="40" spans="1:212" ht="12.75">
      <c r="A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</row>
    <row r="41" spans="1:212" ht="12.75">
      <c r="A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</row>
    <row r="42" spans="1:212" ht="12.75">
      <c r="A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</row>
    <row r="43" spans="1:212" ht="12.75">
      <c r="A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</row>
    <row r="44" spans="1:212" ht="12.75">
      <c r="A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</row>
    <row r="45" spans="1:212" ht="12.75">
      <c r="A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</row>
    <row r="46" spans="1:212" ht="12.75">
      <c r="A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</row>
    <row r="47" spans="1:212" ht="12.75">
      <c r="A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</row>
    <row r="48" spans="1:212" ht="12.75">
      <c r="A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</row>
    <row r="49" spans="1:212" ht="12.75">
      <c r="A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</row>
    <row r="50" spans="1:212" ht="12.75">
      <c r="A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</row>
    <row r="51" spans="1:212" ht="12.75">
      <c r="A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</row>
    <row r="52" spans="1:212" ht="12.75">
      <c r="A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</row>
    <row r="53" spans="1:212" ht="12.75">
      <c r="A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</row>
  </sheetData>
  <sheetProtection/>
  <printOptions/>
  <pageMargins left="0.7" right="0.7" top="0.75" bottom="0.75" header="0.3" footer="0.3"/>
  <pageSetup horizontalDpi="600" verticalDpi="600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87"/>
  <sheetViews>
    <sheetView zoomScalePageLayoutView="0" workbookViewId="0" topLeftCell="A1">
      <pane xSplit="3" ySplit="5" topLeftCell="Q42" activePane="bottomRight" state="frozen"/>
      <selection pane="topLeft" activeCell="A1" sqref="A1"/>
      <selection pane="topRight" activeCell="D1" sqref="D1"/>
      <selection pane="bottomLeft" activeCell="A6" sqref="A6"/>
      <selection pane="bottomRight" activeCell="R5" sqref="R5"/>
    </sheetView>
  </sheetViews>
  <sheetFormatPr defaultColWidth="8.7109375" defaultRowHeight="12.75"/>
  <cols>
    <col min="1" max="1" width="7.7109375" style="0" customWidth="1"/>
    <col min="2" max="2" width="25.7109375" style="0" customWidth="1"/>
    <col min="3" max="3" width="40.7109375" style="0" customWidth="1"/>
    <col min="4" max="4" width="14.7109375" style="5" customWidth="1"/>
    <col min="5" max="17" width="13.7109375" style="5" customWidth="1"/>
    <col min="18" max="18" width="13.7109375" style="12" customWidth="1"/>
    <col min="19" max="19" width="10.28125" style="0" bestFit="1" customWidth="1"/>
  </cols>
  <sheetData>
    <row r="1" ht="12.75">
      <c r="A1" s="18" t="s">
        <v>16</v>
      </c>
    </row>
    <row r="3" spans="1:18" ht="12.75">
      <c r="A3" s="1"/>
      <c r="B3" s="1"/>
      <c r="C3" s="1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57" t="s">
        <v>0</v>
      </c>
    </row>
    <row r="4" spans="1:18" ht="12.75">
      <c r="A4" s="2" t="s">
        <v>1</v>
      </c>
      <c r="B4" s="2" t="s">
        <v>2</v>
      </c>
      <c r="C4" s="2" t="s">
        <v>3</v>
      </c>
      <c r="D4" s="4" t="s">
        <v>4</v>
      </c>
      <c r="E4" s="4" t="s">
        <v>5</v>
      </c>
      <c r="F4" s="4" t="s">
        <v>17</v>
      </c>
      <c r="G4" s="4" t="s">
        <v>20</v>
      </c>
      <c r="H4" s="4" t="s">
        <v>25</v>
      </c>
      <c r="I4" s="4" t="s">
        <v>67</v>
      </c>
      <c r="J4" s="4" t="s">
        <v>26</v>
      </c>
      <c r="K4" s="4" t="s">
        <v>61</v>
      </c>
      <c r="L4" s="4" t="s">
        <v>27</v>
      </c>
      <c r="M4" s="4" t="s">
        <v>22</v>
      </c>
      <c r="N4" s="4" t="s">
        <v>28</v>
      </c>
      <c r="O4" s="4" t="s">
        <v>29</v>
      </c>
      <c r="P4" s="4" t="s">
        <v>30</v>
      </c>
      <c r="Q4" s="4" t="s">
        <v>31</v>
      </c>
      <c r="R4" s="58" t="s">
        <v>6</v>
      </c>
    </row>
    <row r="5" spans="1:18" s="11" customFormat="1" ht="13.5" thickBot="1">
      <c r="A5" s="8"/>
      <c r="B5" s="8"/>
      <c r="C5" s="8" t="s">
        <v>7</v>
      </c>
      <c r="D5" s="9">
        <f>SUM(E5:Q5)</f>
        <v>98133530.93000004</v>
      </c>
      <c r="E5" s="9">
        <f aca="true" t="shared" si="0" ref="E5:Q5">SUM(E6:E64)</f>
        <v>35475452.61</v>
      </c>
      <c r="F5" s="9">
        <f t="shared" si="0"/>
        <v>17173868.36</v>
      </c>
      <c r="G5" s="9">
        <f t="shared" si="0"/>
        <v>11532463.45</v>
      </c>
      <c r="H5" s="9">
        <f t="shared" si="0"/>
        <v>9864290.229999999</v>
      </c>
      <c r="I5" s="9">
        <f t="shared" si="0"/>
        <v>2713564.15</v>
      </c>
      <c r="J5" s="9">
        <f t="shared" si="0"/>
        <v>2555176.51</v>
      </c>
      <c r="K5" s="9">
        <f t="shared" si="0"/>
        <v>2650659.3400000003</v>
      </c>
      <c r="L5" s="9">
        <f t="shared" si="0"/>
        <v>1281889.1800000002</v>
      </c>
      <c r="M5" s="9">
        <f t="shared" si="0"/>
        <v>1330989.5699999998</v>
      </c>
      <c r="N5" s="9">
        <f t="shared" si="0"/>
        <v>3547849.3899999997</v>
      </c>
      <c r="O5" s="9">
        <f t="shared" si="0"/>
        <v>811610.01</v>
      </c>
      <c r="P5" s="9">
        <f t="shared" si="0"/>
        <v>4563028.949999999</v>
      </c>
      <c r="Q5" s="9">
        <f t="shared" si="0"/>
        <v>4632689.18</v>
      </c>
      <c r="R5" s="15"/>
    </row>
    <row r="6" spans="1:18" ht="13.5" thickTop="1">
      <c r="A6" s="6"/>
      <c r="B6" s="54"/>
      <c r="C6" s="54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16"/>
    </row>
    <row r="7" spans="1:18" ht="12.75">
      <c r="A7" s="30" t="s">
        <v>5</v>
      </c>
      <c r="B7" s="30" t="s">
        <v>145</v>
      </c>
      <c r="C7" t="s">
        <v>24</v>
      </c>
      <c r="D7" s="5">
        <f aca="true" t="shared" si="1" ref="D7:D41">SUM(E7:Q7)</f>
        <v>6491058.68</v>
      </c>
      <c r="E7" s="5">
        <f>1485671.58+5005387.1</f>
        <v>6491058.68</v>
      </c>
      <c r="R7" s="12">
        <f>D7/D5</f>
        <v>0.06614516586211658</v>
      </c>
    </row>
    <row r="8" spans="1:18" ht="12.75">
      <c r="A8" s="30" t="s">
        <v>5</v>
      </c>
      <c r="B8" s="30" t="s">
        <v>33</v>
      </c>
      <c r="C8" t="s">
        <v>146</v>
      </c>
      <c r="D8" s="5">
        <f t="shared" si="1"/>
        <v>110854.23</v>
      </c>
      <c r="E8" s="5">
        <v>110854.23</v>
      </c>
      <c r="R8" s="12">
        <f>D8/D5</f>
        <v>0.0011296264278829813</v>
      </c>
    </row>
    <row r="9" spans="1:18" ht="12.75">
      <c r="A9" s="30" t="s">
        <v>5</v>
      </c>
      <c r="B9" s="30" t="s">
        <v>44</v>
      </c>
      <c r="C9" t="s">
        <v>39</v>
      </c>
      <c r="D9" s="5">
        <f t="shared" si="1"/>
        <v>500420.92</v>
      </c>
      <c r="E9" s="5">
        <f>198740.12+301680.8</f>
        <v>500420.92</v>
      </c>
      <c r="R9" s="12">
        <f>D9/D5</f>
        <v>0.005099387694069185</v>
      </c>
    </row>
    <row r="10" spans="1:18" ht="12.75">
      <c r="A10" s="30" t="s">
        <v>5</v>
      </c>
      <c r="B10" s="30" t="s">
        <v>45</v>
      </c>
      <c r="C10" t="s">
        <v>138</v>
      </c>
      <c r="D10" s="5">
        <f t="shared" si="1"/>
        <v>8702447.63</v>
      </c>
      <c r="E10" s="5">
        <f>9468639.46-766191.83</f>
        <v>8702447.63</v>
      </c>
      <c r="R10" s="12">
        <f>D10/D5</f>
        <v>0.08867965462495764</v>
      </c>
    </row>
    <row r="11" spans="1:18" ht="12.75">
      <c r="A11" s="30" t="s">
        <v>5</v>
      </c>
      <c r="B11" s="30" t="s">
        <v>49</v>
      </c>
      <c r="C11" t="s">
        <v>50</v>
      </c>
      <c r="D11" s="5">
        <f t="shared" si="1"/>
        <v>105413.83</v>
      </c>
      <c r="E11" s="5">
        <f>105413.83</f>
        <v>105413.83</v>
      </c>
      <c r="R11" s="12">
        <f>D11/D5</f>
        <v>0.001074187680816184</v>
      </c>
    </row>
    <row r="12" spans="1:18" ht="12.75">
      <c r="A12" s="30" t="s">
        <v>5</v>
      </c>
      <c r="B12" s="30" t="s">
        <v>53</v>
      </c>
      <c r="C12" t="s">
        <v>54</v>
      </c>
      <c r="D12" s="5">
        <f t="shared" si="1"/>
        <v>88900.66</v>
      </c>
      <c r="E12" s="5">
        <f>88900.66</f>
        <v>88900.66</v>
      </c>
      <c r="R12" s="12">
        <f>D12/D5</f>
        <v>0.0009059152275221202</v>
      </c>
    </row>
    <row r="13" spans="1:18" ht="12.75">
      <c r="A13" s="30" t="s">
        <v>17</v>
      </c>
      <c r="B13" s="30" t="s">
        <v>147</v>
      </c>
      <c r="C13" t="s">
        <v>24</v>
      </c>
      <c r="D13" s="5">
        <f t="shared" si="1"/>
        <v>3647310.73</v>
      </c>
      <c r="F13" s="5">
        <f>682672.96+1879000+644139.73+335575.03+61459.82-6794.5-38367.26-69086.01+158710.96</f>
        <v>3647310.73</v>
      </c>
      <c r="R13" s="12">
        <f>D13/D5</f>
        <v>0.03716681439498672</v>
      </c>
    </row>
    <row r="14" spans="1:18" ht="12.75">
      <c r="A14" s="30" t="s">
        <v>17</v>
      </c>
      <c r="B14" s="30" t="s">
        <v>32</v>
      </c>
      <c r="C14" t="s">
        <v>18</v>
      </c>
      <c r="D14" s="5">
        <f t="shared" si="1"/>
        <v>7483886.850000001</v>
      </c>
      <c r="F14" s="5">
        <f>1141981.41+6341905.44</f>
        <v>7483886.850000001</v>
      </c>
      <c r="R14" s="12">
        <f>D14/D5</f>
        <v>0.07626228037528128</v>
      </c>
    </row>
    <row r="15" spans="1:18" ht="12.75">
      <c r="A15" s="30" t="s">
        <v>17</v>
      </c>
      <c r="B15" s="30" t="s">
        <v>38</v>
      </c>
      <c r="C15" t="s">
        <v>40</v>
      </c>
      <c r="D15" s="5">
        <f t="shared" si="1"/>
        <v>86401.02</v>
      </c>
      <c r="F15" s="5">
        <f>86401.02</f>
        <v>86401.02</v>
      </c>
      <c r="R15" s="12">
        <f>D15/D5</f>
        <v>0.000880443403810987</v>
      </c>
    </row>
    <row r="16" spans="1:18" ht="12.75">
      <c r="A16" s="30" t="s">
        <v>17</v>
      </c>
      <c r="B16" s="30" t="s">
        <v>49</v>
      </c>
      <c r="C16" t="s">
        <v>51</v>
      </c>
      <c r="D16" s="5">
        <f t="shared" si="1"/>
        <v>58036.91</v>
      </c>
      <c r="F16" s="5">
        <v>58036.91</v>
      </c>
      <c r="R16" s="12">
        <f>D16/D5</f>
        <v>0.0005914075387891475</v>
      </c>
    </row>
    <row r="17" spans="1:18" ht="12.75">
      <c r="A17" s="30" t="s">
        <v>17</v>
      </c>
      <c r="B17" s="30" t="s">
        <v>49</v>
      </c>
      <c r="C17" t="s">
        <v>52</v>
      </c>
      <c r="D17" s="5">
        <f t="shared" si="1"/>
        <v>-8644.86</v>
      </c>
      <c r="F17" s="5">
        <f>-8644.86</f>
        <v>-8644.86</v>
      </c>
      <c r="R17" s="12">
        <f>D17/D5</f>
        <v>-8.80928253378195E-05</v>
      </c>
    </row>
    <row r="18" spans="1:18" ht="12.75">
      <c r="A18" s="30" t="s">
        <v>17</v>
      </c>
      <c r="B18" s="30" t="s">
        <v>48</v>
      </c>
      <c r="C18" t="s">
        <v>43</v>
      </c>
      <c r="D18" s="5">
        <f t="shared" si="1"/>
        <v>-5633</v>
      </c>
      <c r="F18" s="5">
        <f>-5633</f>
        <v>-5633</v>
      </c>
      <c r="R18" s="12">
        <f>D18/D5</f>
        <v>-5.740137898449913E-05</v>
      </c>
    </row>
    <row r="19" spans="1:18" ht="12.75">
      <c r="A19" s="30" t="s">
        <v>20</v>
      </c>
      <c r="B19" s="30" t="s">
        <v>167</v>
      </c>
      <c r="C19" t="s">
        <v>24</v>
      </c>
      <c r="D19" s="5">
        <f t="shared" si="1"/>
        <v>209474.52000000002</v>
      </c>
      <c r="G19" s="5">
        <f>6110+188167.92+15196.6</f>
        <v>209474.52000000002</v>
      </c>
      <c r="R19" s="12">
        <f>D19/D5</f>
        <v>0.0021345865986359034</v>
      </c>
    </row>
    <row r="20" spans="1:18" ht="12.75">
      <c r="A20" s="30" t="s">
        <v>20</v>
      </c>
      <c r="B20" s="30" t="s">
        <v>32</v>
      </c>
      <c r="C20" t="s">
        <v>21</v>
      </c>
      <c r="D20" s="5">
        <f t="shared" si="1"/>
        <v>1288197.08</v>
      </c>
      <c r="G20" s="5">
        <f>996960.19+291236.89</f>
        <v>1288197.08</v>
      </c>
      <c r="R20" s="12">
        <f>D20/D5</f>
        <v>0.013126981856169919</v>
      </c>
    </row>
    <row r="21" spans="1:18" ht="12.75">
      <c r="A21" s="30" t="s">
        <v>20</v>
      </c>
      <c r="B21" s="30" t="s">
        <v>38</v>
      </c>
      <c r="C21" t="s">
        <v>41</v>
      </c>
      <c r="D21" s="5">
        <f t="shared" si="1"/>
        <v>8653913.6</v>
      </c>
      <c r="G21" s="5">
        <v>8653913.6</v>
      </c>
      <c r="R21" s="12">
        <f>D21/D5</f>
        <v>0.0881850833042271</v>
      </c>
    </row>
    <row r="22" spans="1:18" ht="12.75">
      <c r="A22" s="30" t="s">
        <v>25</v>
      </c>
      <c r="B22" s="30" t="s">
        <v>154</v>
      </c>
      <c r="C22" t="s">
        <v>24</v>
      </c>
      <c r="D22" s="5">
        <f t="shared" si="1"/>
        <v>1248573.17</v>
      </c>
      <c r="H22" s="5">
        <f>36069.64+929868.46+188018.95+94616.12</f>
        <v>1248573.17</v>
      </c>
      <c r="R22" s="12">
        <f>D22/D5</f>
        <v>0.012723206412399692</v>
      </c>
    </row>
    <row r="23" spans="1:18" ht="12.75">
      <c r="A23" s="30" t="s">
        <v>25</v>
      </c>
      <c r="B23" s="30" t="s">
        <v>33</v>
      </c>
      <c r="C23" t="s">
        <v>34</v>
      </c>
      <c r="D23" s="5">
        <f t="shared" si="1"/>
        <v>2551199.92</v>
      </c>
      <c r="H23" s="5">
        <v>2551199.92</v>
      </c>
      <c r="R23" s="12">
        <f>D23/D5</f>
        <v>0.02599722944667919</v>
      </c>
    </row>
    <row r="24" spans="1:18" ht="12.75">
      <c r="A24" s="30" t="s">
        <v>26</v>
      </c>
      <c r="B24" s="30" t="s">
        <v>42</v>
      </c>
      <c r="C24" t="s">
        <v>24</v>
      </c>
      <c r="D24" s="5">
        <f t="shared" si="1"/>
        <v>413753.82</v>
      </c>
      <c r="J24" s="5">
        <f>34158.65+245714.72+133880.45</f>
        <v>413753.82</v>
      </c>
      <c r="R24" s="12">
        <f>D24/D5</f>
        <v>0.004216232882674284</v>
      </c>
    </row>
    <row r="25" spans="1:18" ht="12.75">
      <c r="A25" s="30" t="s">
        <v>26</v>
      </c>
      <c r="B25" s="30" t="s">
        <v>33</v>
      </c>
      <c r="C25" t="s">
        <v>35</v>
      </c>
      <c r="D25" s="5">
        <f t="shared" si="1"/>
        <v>2122452.69</v>
      </c>
      <c r="J25" s="5">
        <v>2122452.69</v>
      </c>
      <c r="R25" s="12">
        <f>D25/D5</f>
        <v>0.021628210764310252</v>
      </c>
    </row>
    <row r="26" spans="1:18" ht="12.75">
      <c r="A26" s="30" t="s">
        <v>26</v>
      </c>
      <c r="B26" s="30" t="s">
        <v>53</v>
      </c>
      <c r="C26" t="s">
        <v>43</v>
      </c>
      <c r="D26" s="5">
        <f t="shared" si="1"/>
        <v>18970</v>
      </c>
      <c r="J26" s="5">
        <f>18970</f>
        <v>18970</v>
      </c>
      <c r="R26" s="12">
        <f>D26/D5</f>
        <v>0.00019330803467707236</v>
      </c>
    </row>
    <row r="27" spans="1:18" ht="12.75">
      <c r="A27" s="30" t="s">
        <v>150</v>
      </c>
      <c r="B27" s="30" t="s">
        <v>151</v>
      </c>
      <c r="C27" t="s">
        <v>43</v>
      </c>
      <c r="D27" s="5">
        <f t="shared" si="1"/>
        <v>24970</v>
      </c>
      <c r="K27" s="5">
        <f>9970+15000</f>
        <v>24970</v>
      </c>
      <c r="R27" s="12">
        <f>D27/D5</f>
        <v>0.0002544492159138902</v>
      </c>
    </row>
    <row r="28" spans="1:18" ht="12.75">
      <c r="A28" s="30" t="s">
        <v>27</v>
      </c>
      <c r="B28" s="30" t="s">
        <v>155</v>
      </c>
      <c r="C28" t="s">
        <v>24</v>
      </c>
      <c r="D28" s="5">
        <f t="shared" si="1"/>
        <v>1257941.6800000002</v>
      </c>
      <c r="L28" s="5">
        <f>90000+359860.57+487000+67741.82+253339.29</f>
        <v>1257941.6800000002</v>
      </c>
      <c r="R28" s="12">
        <f>D28/D5</f>
        <v>0.012818673373704518</v>
      </c>
    </row>
    <row r="29" spans="1:18" ht="12.75">
      <c r="A29" s="30" t="s">
        <v>27</v>
      </c>
      <c r="B29" s="30" t="s">
        <v>38</v>
      </c>
      <c r="C29" t="s">
        <v>43</v>
      </c>
      <c r="D29" s="5">
        <f t="shared" si="1"/>
        <v>23947.5</v>
      </c>
      <c r="L29" s="5">
        <f>23947.5</f>
        <v>23947.5</v>
      </c>
      <c r="R29" s="12">
        <f>D29/D5</f>
        <v>0.00024402973961144914</v>
      </c>
    </row>
    <row r="30" spans="1:18" ht="12.75">
      <c r="A30" s="30" t="s">
        <v>22</v>
      </c>
      <c r="B30" s="30" t="s">
        <v>32</v>
      </c>
      <c r="C30" t="s">
        <v>24</v>
      </c>
      <c r="D30" s="5">
        <f t="shared" si="1"/>
        <v>357780.19</v>
      </c>
      <c r="M30" s="5">
        <f>242768.2+115011.99</f>
        <v>357780.19</v>
      </c>
      <c r="R30" s="12">
        <f>D30/D5</f>
        <v>0.003645850573288853</v>
      </c>
    </row>
    <row r="31" spans="1:18" ht="12.75">
      <c r="A31" s="30" t="s">
        <v>22</v>
      </c>
      <c r="B31" s="30" t="s">
        <v>19</v>
      </c>
      <c r="C31" t="s">
        <v>23</v>
      </c>
      <c r="D31" s="5">
        <f t="shared" si="1"/>
        <v>248545</v>
      </c>
      <c r="M31" s="5">
        <v>248545</v>
      </c>
      <c r="R31" s="12">
        <f>D31/D5</f>
        <v>0.0025327224817508144</v>
      </c>
    </row>
    <row r="32" spans="1:18" ht="12.75">
      <c r="A32" s="30" t="s">
        <v>22</v>
      </c>
      <c r="B32" s="30" t="s">
        <v>32</v>
      </c>
      <c r="C32" t="s">
        <v>37</v>
      </c>
      <c r="D32" s="5">
        <f t="shared" si="1"/>
        <v>97021.54</v>
      </c>
      <c r="M32" s="5">
        <f>45603.09+51418.45</f>
        <v>97021.54</v>
      </c>
      <c r="R32" s="12">
        <f>D32/D5</f>
        <v>0.0009886685935025282</v>
      </c>
    </row>
    <row r="33" spans="1:18" ht="12.75">
      <c r="A33" s="30" t="s">
        <v>28</v>
      </c>
      <c r="B33" s="30" t="s">
        <v>47</v>
      </c>
      <c r="C33" t="s">
        <v>24</v>
      </c>
      <c r="D33" s="5">
        <f t="shared" si="1"/>
        <v>1090369.3299999998</v>
      </c>
      <c r="N33" s="5">
        <f>190253.12+369334.97+251602.82+279178.42</f>
        <v>1090369.3299999998</v>
      </c>
      <c r="R33" s="12">
        <f>D33/D5</f>
        <v>0.011111078136766268</v>
      </c>
    </row>
    <row r="34" spans="1:18" ht="12.75">
      <c r="A34" s="30" t="s">
        <v>28</v>
      </c>
      <c r="B34" s="30" t="s">
        <v>33</v>
      </c>
      <c r="C34" t="s">
        <v>36</v>
      </c>
      <c r="D34" s="5">
        <f t="shared" si="1"/>
        <v>2457480.06</v>
      </c>
      <c r="N34" s="5">
        <v>2457480.06</v>
      </c>
      <c r="R34" s="12">
        <f>D34/D5</f>
        <v>0.025042205622387657</v>
      </c>
    </row>
    <row r="35" spans="1:18" ht="12.75">
      <c r="A35" s="30" t="s">
        <v>29</v>
      </c>
      <c r="B35" s="30" t="s">
        <v>145</v>
      </c>
      <c r="C35" t="s">
        <v>24</v>
      </c>
      <c r="D35" s="5">
        <f t="shared" si="1"/>
        <v>313603.51</v>
      </c>
      <c r="O35" s="5">
        <f>65575.07+248028.44</f>
        <v>313603.51</v>
      </c>
      <c r="R35" s="12">
        <f>D35/D5</f>
        <v>0.0031956815069020352</v>
      </c>
    </row>
    <row r="36" spans="1:18" ht="12.75">
      <c r="A36" s="30" t="s">
        <v>29</v>
      </c>
      <c r="B36" s="30" t="s">
        <v>149</v>
      </c>
      <c r="C36" t="s">
        <v>43</v>
      </c>
      <c r="D36" s="5">
        <f t="shared" si="1"/>
        <v>498006.5</v>
      </c>
      <c r="O36" s="5">
        <f>51451.5+246555+200000</f>
        <v>498006.5</v>
      </c>
      <c r="R36" s="12">
        <f>D36/D5</f>
        <v>0.005074784278935552</v>
      </c>
    </row>
    <row r="37" spans="1:18" ht="12.75">
      <c r="A37" s="30" t="s">
        <v>30</v>
      </c>
      <c r="B37" s="30" t="s">
        <v>148</v>
      </c>
      <c r="C37" t="s">
        <v>24</v>
      </c>
      <c r="D37" s="5">
        <f t="shared" si="1"/>
        <v>2307993.5599999996</v>
      </c>
      <c r="P37" s="5">
        <f>12007.36+391267.59+483716.2+1000424.28+179960.19+12017.93+34578+194022.01</f>
        <v>2307993.5599999996</v>
      </c>
      <c r="R37" s="12">
        <f>D37/D5</f>
        <v>0.02351890875756139</v>
      </c>
    </row>
    <row r="38" spans="1:18" ht="12.75">
      <c r="A38" s="30" t="s">
        <v>30</v>
      </c>
      <c r="B38" s="30" t="s">
        <v>45</v>
      </c>
      <c r="C38" t="s">
        <v>46</v>
      </c>
      <c r="D38" s="5">
        <f t="shared" si="1"/>
        <v>122494.35</v>
      </c>
      <c r="P38" s="5">
        <v>122494.35</v>
      </c>
      <c r="R38" s="12">
        <f>D38/D5</f>
        <v>0.0012482415423060327</v>
      </c>
    </row>
    <row r="39" spans="1:19" ht="12.75">
      <c r="A39" s="30" t="s">
        <v>31</v>
      </c>
      <c r="B39" s="30" t="s">
        <v>55</v>
      </c>
      <c r="C39" t="s">
        <v>24</v>
      </c>
      <c r="D39" s="5">
        <f t="shared" si="1"/>
        <v>702285.01</v>
      </c>
      <c r="Q39" s="5">
        <f>65782.4+367000+16314.08+11993.9+76763.05+164431.58</f>
        <v>702285.01</v>
      </c>
      <c r="R39" s="12">
        <f>D39/D5</f>
        <v>0.007156422512718403</v>
      </c>
      <c r="S39" s="12"/>
    </row>
    <row r="40" spans="1:18" ht="12.75">
      <c r="A40" s="30" t="s">
        <v>5</v>
      </c>
      <c r="B40" s="30" t="s">
        <v>152</v>
      </c>
      <c r="C40" t="s">
        <v>63</v>
      </c>
      <c r="D40" s="5">
        <f t="shared" si="1"/>
        <v>8019866.98</v>
      </c>
      <c r="E40" s="5">
        <f>478502.95+7541364.03</f>
        <v>8019866.98</v>
      </c>
      <c r="R40" s="12">
        <f>D40/D5</f>
        <v>0.08172402341989181</v>
      </c>
    </row>
    <row r="41" spans="1:18" ht="12.75">
      <c r="A41" s="30" t="s">
        <v>5</v>
      </c>
      <c r="B41" s="30" t="s">
        <v>62</v>
      </c>
      <c r="C41" t="s">
        <v>64</v>
      </c>
      <c r="D41" s="5">
        <f t="shared" si="1"/>
        <v>5845283.67</v>
      </c>
      <c r="E41" s="5">
        <v>5845283.67</v>
      </c>
      <c r="R41" s="12">
        <f>D41/D5</f>
        <v>0.05956459137468027</v>
      </c>
    </row>
    <row r="42" spans="1:18" ht="12.75">
      <c r="A42" s="30" t="s">
        <v>5</v>
      </c>
      <c r="B42" s="30" t="s">
        <v>70</v>
      </c>
      <c r="C42" t="s">
        <v>71</v>
      </c>
      <c r="D42" s="5">
        <f aca="true" t="shared" si="2" ref="D42:D63">SUM(E42:Q42)</f>
        <v>3099098.32</v>
      </c>
      <c r="E42" s="5">
        <v>3099098.32</v>
      </c>
      <c r="R42" s="12">
        <f>D42/D5</f>
        <v>0.03158042200897294</v>
      </c>
    </row>
    <row r="43" spans="1:18" ht="12.75">
      <c r="A43" s="30" t="s">
        <v>5</v>
      </c>
      <c r="B43" s="30" t="s">
        <v>13</v>
      </c>
      <c r="C43" t="s">
        <v>15</v>
      </c>
      <c r="D43" s="5">
        <f t="shared" si="2"/>
        <v>2253928.3</v>
      </c>
      <c r="E43" s="5">
        <f>2253928.3</f>
        <v>2253928.3</v>
      </c>
      <c r="R43" s="12">
        <f>D43/D5</f>
        <v>0.022967973114182114</v>
      </c>
    </row>
    <row r="44" spans="1:18" ht="12.75">
      <c r="A44" s="30" t="s">
        <v>5</v>
      </c>
      <c r="B44" s="30" t="s">
        <v>13</v>
      </c>
      <c r="C44" t="s">
        <v>81</v>
      </c>
      <c r="D44" s="5">
        <f t="shared" si="2"/>
        <v>258179.39</v>
      </c>
      <c r="E44" s="5">
        <f>258179.39</f>
        <v>258179.39</v>
      </c>
      <c r="R44" s="12">
        <f>D44/D5</f>
        <v>0.0026308988126001786</v>
      </c>
    </row>
    <row r="45" spans="1:18" ht="12.75">
      <c r="A45" s="30" t="s">
        <v>17</v>
      </c>
      <c r="B45" s="30" t="s">
        <v>62</v>
      </c>
      <c r="C45" t="s">
        <v>139</v>
      </c>
      <c r="D45" s="5">
        <f t="shared" si="2"/>
        <v>4084600.87</v>
      </c>
      <c r="F45" s="5">
        <v>4084600.87</v>
      </c>
      <c r="R45" s="12">
        <f>D45/D5</f>
        <v>0.041622887012122294</v>
      </c>
    </row>
    <row r="46" spans="1:18" ht="12.75">
      <c r="A46" s="30" t="s">
        <v>17</v>
      </c>
      <c r="B46" s="30" t="s">
        <v>62</v>
      </c>
      <c r="C46" t="s">
        <v>65</v>
      </c>
      <c r="D46" s="5">
        <f t="shared" si="2"/>
        <v>442785.36</v>
      </c>
      <c r="F46" s="5">
        <v>442785.36</v>
      </c>
      <c r="R46" s="12">
        <f>D46/D5</f>
        <v>0.004512069990794938</v>
      </c>
    </row>
    <row r="47" spans="1:18" ht="12.75">
      <c r="A47" s="30" t="s">
        <v>17</v>
      </c>
      <c r="B47" s="30" t="s">
        <v>70</v>
      </c>
      <c r="C47" t="s">
        <v>72</v>
      </c>
      <c r="D47" s="5">
        <f t="shared" si="2"/>
        <v>1385124.48</v>
      </c>
      <c r="F47" s="5">
        <f>1385124.48</f>
        <v>1385124.48</v>
      </c>
      <c r="R47" s="12">
        <f>D47/D5</f>
        <v>0.014114691144538841</v>
      </c>
    </row>
    <row r="48" spans="1:18" ht="12.75">
      <c r="A48" s="30" t="s">
        <v>20</v>
      </c>
      <c r="B48" s="30" t="s">
        <v>70</v>
      </c>
      <c r="C48" t="s">
        <v>73</v>
      </c>
      <c r="D48" s="5">
        <f t="shared" si="2"/>
        <v>702428.94</v>
      </c>
      <c r="G48" s="5">
        <v>702428.94</v>
      </c>
      <c r="R48" s="12">
        <f>D48/D5</f>
        <v>0.007157889187754305</v>
      </c>
    </row>
    <row r="49" spans="1:18" ht="12.75">
      <c r="A49" s="30" t="s">
        <v>20</v>
      </c>
      <c r="B49" s="30" t="s">
        <v>13</v>
      </c>
      <c r="C49" t="s">
        <v>82</v>
      </c>
      <c r="D49" s="5">
        <f t="shared" si="2"/>
        <v>136415.17</v>
      </c>
      <c r="G49" s="5">
        <f>136415.17</f>
        <v>136415.17</v>
      </c>
      <c r="R49" s="12">
        <f>D49/D5</f>
        <v>0.0013900974387368859</v>
      </c>
    </row>
    <row r="50" spans="1:18" ht="12.75">
      <c r="A50" s="30" t="s">
        <v>20</v>
      </c>
      <c r="B50" s="30" t="s">
        <v>83</v>
      </c>
      <c r="C50" t="s">
        <v>84</v>
      </c>
      <c r="D50" s="5">
        <f t="shared" si="2"/>
        <v>542034.14</v>
      </c>
      <c r="G50" s="5">
        <v>542034.14</v>
      </c>
      <c r="R50" s="12">
        <f>D50/D5</f>
        <v>0.005523434598380448</v>
      </c>
    </row>
    <row r="51" spans="1:18" ht="12.75">
      <c r="A51" s="30" t="s">
        <v>25</v>
      </c>
      <c r="B51" s="30" t="s">
        <v>56</v>
      </c>
      <c r="C51" t="s">
        <v>57</v>
      </c>
      <c r="D51" s="5">
        <f t="shared" si="2"/>
        <v>1321981.34</v>
      </c>
      <c r="H51" s="5">
        <v>1321981.34</v>
      </c>
      <c r="R51" s="12">
        <f>D51/D5</f>
        <v>0.013471250116771883</v>
      </c>
    </row>
    <row r="52" spans="1:18" ht="12.75">
      <c r="A52" s="30" t="s">
        <v>25</v>
      </c>
      <c r="B52" s="30" t="s">
        <v>153</v>
      </c>
      <c r="C52" t="s">
        <v>58</v>
      </c>
      <c r="D52" s="5">
        <f t="shared" si="2"/>
        <v>2958966.16</v>
      </c>
      <c r="H52" s="5">
        <f>527766+2000000+431200.16</f>
        <v>2958966.16</v>
      </c>
      <c r="R52" s="12">
        <f>D52/D5</f>
        <v>0.030152447710361817</v>
      </c>
    </row>
    <row r="53" spans="1:18" ht="12.75">
      <c r="A53" s="30" t="s">
        <v>25</v>
      </c>
      <c r="B53" s="30" t="s">
        <v>56</v>
      </c>
      <c r="C53" t="s">
        <v>59</v>
      </c>
      <c r="D53" s="5">
        <f t="shared" si="2"/>
        <v>447676.29</v>
      </c>
      <c r="H53" s="5">
        <v>447676.29</v>
      </c>
      <c r="R53" s="12">
        <f>D53/D5</f>
        <v>0.004561909530386036</v>
      </c>
    </row>
    <row r="54" spans="1:18" ht="12.75">
      <c r="A54" s="30" t="s">
        <v>25</v>
      </c>
      <c r="B54" s="30" t="s">
        <v>62</v>
      </c>
      <c r="C54" t="s">
        <v>66</v>
      </c>
      <c r="D54" s="5">
        <f t="shared" si="2"/>
        <v>1286321.35</v>
      </c>
      <c r="H54" s="5">
        <v>1286321.35</v>
      </c>
      <c r="R54" s="12">
        <f>D54/D5</f>
        <v>0.013107867798189697</v>
      </c>
    </row>
    <row r="55" spans="1:18" ht="12.75">
      <c r="A55" s="30" t="s">
        <v>25</v>
      </c>
      <c r="B55" s="30" t="s">
        <v>78</v>
      </c>
      <c r="C55" t="s">
        <v>79</v>
      </c>
      <c r="D55" s="5">
        <f t="shared" si="2"/>
        <v>49572</v>
      </c>
      <c r="H55" s="5">
        <f>49572</f>
        <v>49572</v>
      </c>
      <c r="R55" s="12">
        <f>D55/D5</f>
        <v>0.0005051484393785889</v>
      </c>
    </row>
    <row r="56" spans="1:18" ht="12.75">
      <c r="A56" s="30" t="s">
        <v>67</v>
      </c>
      <c r="B56" s="30" t="s">
        <v>62</v>
      </c>
      <c r="C56" t="s">
        <v>68</v>
      </c>
      <c r="D56" s="5">
        <f t="shared" si="2"/>
        <v>2713564.15</v>
      </c>
      <c r="I56" s="5">
        <v>2713564.15</v>
      </c>
      <c r="R56" s="12">
        <f>D56/D5</f>
        <v>0.027651752915480252</v>
      </c>
    </row>
    <row r="57" spans="1:18" ht="12.75">
      <c r="A57" s="30" t="s">
        <v>61</v>
      </c>
      <c r="B57" s="30" t="s">
        <v>56</v>
      </c>
      <c r="C57" t="s">
        <v>143</v>
      </c>
      <c r="D57" s="5">
        <f t="shared" si="2"/>
        <v>427217.64</v>
      </c>
      <c r="K57" s="5">
        <v>427217.64</v>
      </c>
      <c r="R57" s="12">
        <f>D57/D5</f>
        <v>0.004353431859134266</v>
      </c>
    </row>
    <row r="58" spans="1:18" ht="12.75">
      <c r="A58" s="30" t="s">
        <v>61</v>
      </c>
      <c r="B58" s="30" t="s">
        <v>62</v>
      </c>
      <c r="C58" t="s">
        <v>69</v>
      </c>
      <c r="D58" s="5">
        <f t="shared" si="2"/>
        <v>2198471.7</v>
      </c>
      <c r="K58" s="5">
        <f>2198471.7</f>
        <v>2198471.7</v>
      </c>
      <c r="R58" s="12">
        <f>D58/D5</f>
        <v>0.022402859442285834</v>
      </c>
    </row>
    <row r="59" spans="1:18" ht="12.75">
      <c r="A59" s="30" t="s">
        <v>22</v>
      </c>
      <c r="B59" s="30" t="s">
        <v>70</v>
      </c>
      <c r="C59" t="s">
        <v>74</v>
      </c>
      <c r="D59" s="5">
        <f t="shared" si="2"/>
        <v>627642.84</v>
      </c>
      <c r="M59" s="5">
        <f>627642.84</f>
        <v>627642.84</v>
      </c>
      <c r="R59" s="12">
        <f>D59/D5</f>
        <v>0.006395804105405175</v>
      </c>
    </row>
    <row r="60" spans="1:18" ht="12.75">
      <c r="A60" s="30" t="s">
        <v>30</v>
      </c>
      <c r="B60" s="30" t="s">
        <v>70</v>
      </c>
      <c r="C60" t="s">
        <v>75</v>
      </c>
      <c r="D60" s="5">
        <f t="shared" si="2"/>
        <v>6300</v>
      </c>
      <c r="P60" s="5">
        <f>6300</f>
        <v>6300</v>
      </c>
      <c r="R60" s="12">
        <f>D60/D5</f>
        <v>6.419824029865872E-05</v>
      </c>
    </row>
    <row r="61" spans="1:18" ht="12.75">
      <c r="A61" s="30" t="s">
        <v>30</v>
      </c>
      <c r="B61" s="30" t="s">
        <v>70</v>
      </c>
      <c r="C61" t="s">
        <v>76</v>
      </c>
      <c r="D61" s="5">
        <f t="shared" si="2"/>
        <v>11695</v>
      </c>
      <c r="P61" s="5">
        <v>11695</v>
      </c>
      <c r="R61" s="12">
        <f>D61/D5</f>
        <v>0.00011917435242743074</v>
      </c>
    </row>
    <row r="62" spans="1:18" ht="12.75">
      <c r="A62" s="30" t="s">
        <v>30</v>
      </c>
      <c r="B62" s="30" t="s">
        <v>78</v>
      </c>
      <c r="C62" t="s">
        <v>80</v>
      </c>
      <c r="D62" s="5">
        <f t="shared" si="2"/>
        <v>2114546.04</v>
      </c>
      <c r="P62" s="5">
        <v>2114546.04</v>
      </c>
      <c r="R62" s="12">
        <f>D62/D5</f>
        <v>0.021547640444205905</v>
      </c>
    </row>
    <row r="63" spans="1:18" ht="12.75">
      <c r="A63" s="30" t="s">
        <v>31</v>
      </c>
      <c r="B63" s="30" t="s">
        <v>77</v>
      </c>
      <c r="C63" t="s">
        <v>60</v>
      </c>
      <c r="D63" s="5">
        <f t="shared" si="2"/>
        <v>3930404.17</v>
      </c>
      <c r="Q63" s="5">
        <f>3215497.1+714907.07</f>
        <v>3930404.17</v>
      </c>
      <c r="R63" s="12">
        <f>D63/D5</f>
        <v>0.04005159228198576</v>
      </c>
    </row>
    <row r="64" spans="5:18" ht="12.75"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7"/>
    </row>
    <row r="65" spans="2:18" s="12" customFormat="1" ht="13.5" thickBot="1">
      <c r="B65" s="55"/>
      <c r="C65" s="13" t="s">
        <v>8</v>
      </c>
      <c r="D65" s="60">
        <f>SUM(E65:Q65)</f>
        <v>0.9999999999999996</v>
      </c>
      <c r="E65" s="14">
        <f>E5/D5</f>
        <v>0.361501846247692</v>
      </c>
      <c r="F65" s="14">
        <f>F5/D5</f>
        <v>0.1750050996560019</v>
      </c>
      <c r="G65" s="14">
        <f>G5/D5</f>
        <v>0.11751807298390456</v>
      </c>
      <c r="H65" s="14">
        <f>H5/D5</f>
        <v>0.10051905945416688</v>
      </c>
      <c r="I65" s="14">
        <f>I5/D5</f>
        <v>0.027651752915480252</v>
      </c>
      <c r="J65" s="14">
        <f>J5/D5</f>
        <v>0.026037751681661607</v>
      </c>
      <c r="K65" s="14">
        <f>K5/D5</f>
        <v>0.02701074051733399</v>
      </c>
      <c r="L65" s="14">
        <f>L5/D5</f>
        <v>0.013062703113315966</v>
      </c>
      <c r="M65" s="14">
        <f>M5/D5</f>
        <v>0.013563045753947369</v>
      </c>
      <c r="N65" s="14">
        <f>N5/D5</f>
        <v>0.03615328375915392</v>
      </c>
      <c r="O65" s="14">
        <f>O5/D5</f>
        <v>0.008270465785837589</v>
      </c>
      <c r="P65" s="14">
        <f>P5/D5</f>
        <v>0.04649816333679942</v>
      </c>
      <c r="Q65" s="14">
        <f>Q5/D5</f>
        <v>0.047208014794704156</v>
      </c>
      <c r="R65" s="14">
        <f>SUM(R6:R64)</f>
        <v>0.9999999999999998</v>
      </c>
    </row>
    <row r="66" spans="1:18" s="12" customFormat="1" ht="13.5" thickTop="1">
      <c r="A66" s="34"/>
      <c r="C66" s="13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</row>
    <row r="67" spans="1:18" s="12" customFormat="1" ht="12.75">
      <c r="A67" s="65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</row>
    <row r="68" ht="12.75">
      <c r="A68" s="35"/>
    </row>
    <row r="69" spans="1:18" s="52" customFormat="1" ht="12.75">
      <c r="A69" s="34"/>
      <c r="B69" s="6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8"/>
    </row>
    <row r="70" spans="1:18" s="52" customFormat="1" ht="12.75">
      <c r="A70" s="6"/>
      <c r="B70" s="6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8"/>
    </row>
    <row r="71" spans="3:5" ht="12.75">
      <c r="C71" s="66" t="s">
        <v>140</v>
      </c>
      <c r="D71" s="50">
        <v>95000000</v>
      </c>
      <c r="E71" s="28"/>
    </row>
    <row r="72" spans="3:4" ht="12.75">
      <c r="C72" s="11" t="s">
        <v>141</v>
      </c>
      <c r="D72" s="59">
        <v>6099408.5</v>
      </c>
    </row>
    <row r="73" spans="3:5" ht="13.5" thickBot="1">
      <c r="C73" s="8" t="s">
        <v>4</v>
      </c>
      <c r="D73" s="49">
        <f>SUM(D71:D72)</f>
        <v>101099408.5</v>
      </c>
      <c r="E73" s="68">
        <f>D5/D73</f>
        <v>0.9706637495312352</v>
      </c>
    </row>
    <row r="74" spans="3:5" ht="13.5" thickTop="1">
      <c r="C74" s="6"/>
      <c r="D74" s="16"/>
      <c r="E74" s="29"/>
    </row>
    <row r="75" spans="3:4" ht="12.75">
      <c r="C75" s="11" t="s">
        <v>156</v>
      </c>
      <c r="D75" s="33">
        <v>650958.73</v>
      </c>
    </row>
    <row r="76" spans="3:4" ht="12.75">
      <c r="C76" s="11" t="s">
        <v>157</v>
      </c>
      <c r="D76" s="33">
        <f>98899722.76-766191.83</f>
        <v>98133530.93</v>
      </c>
    </row>
    <row r="77" spans="3:4" ht="12.75">
      <c r="C77" s="11" t="s">
        <v>158</v>
      </c>
      <c r="D77" s="33">
        <v>2432645</v>
      </c>
    </row>
    <row r="78" spans="3:5" ht="13.5" thickBot="1">
      <c r="C78" s="11"/>
      <c r="D78" s="69">
        <f>SUM(D75:D77)</f>
        <v>101217134.66000001</v>
      </c>
      <c r="E78" s="5">
        <f>D78-D73</f>
        <v>117726.16000001132</v>
      </c>
    </row>
    <row r="79" spans="3:4" ht="13.5" thickTop="1">
      <c r="C79" s="11"/>
      <c r="D79" s="33"/>
    </row>
    <row r="80" spans="3:4" ht="12.75">
      <c r="C80" s="11" t="s">
        <v>161</v>
      </c>
      <c r="D80" s="33">
        <f>D73-D78</f>
        <v>-117726.16000001132</v>
      </c>
    </row>
    <row r="81" spans="3:4" ht="12.75">
      <c r="C81" s="11" t="s">
        <v>162</v>
      </c>
      <c r="D81" s="33">
        <f>4888176.59-4958309.81</f>
        <v>-70133.21999999974</v>
      </c>
    </row>
    <row r="82" spans="3:4" ht="12.75">
      <c r="C82" s="11" t="s">
        <v>163</v>
      </c>
      <c r="D82" s="33">
        <f>9964642.42-10000000</f>
        <v>-35357.580000000075</v>
      </c>
    </row>
    <row r="83" spans="3:4" ht="12.75">
      <c r="C83" s="11" t="s">
        <v>159</v>
      </c>
      <c r="D83" s="33">
        <v>295196.15</v>
      </c>
    </row>
    <row r="84" spans="3:4" ht="12.75">
      <c r="C84" s="11" t="s">
        <v>160</v>
      </c>
      <c r="D84" s="33">
        <v>51146.55</v>
      </c>
    </row>
    <row r="85" spans="3:4" ht="13.5" thickBot="1">
      <c r="C85" s="11"/>
      <c r="D85" s="69">
        <f>SUM(D80:D84)</f>
        <v>123125.73999998889</v>
      </c>
    </row>
    <row r="86" ht="13.5" thickTop="1">
      <c r="D86" s="12"/>
    </row>
    <row r="87" ht="12.75">
      <c r="D87" s="12"/>
    </row>
  </sheetData>
  <sheetProtection/>
  <printOptions/>
  <pageMargins left="0.5" right="0" top="0.5" bottom="0.5" header="0.5" footer="0.25"/>
  <pageSetup horizontalDpi="300" verticalDpi="300" orientation="landscape" paperSize="5" scale="60"/>
  <headerFooter alignWithMargins="0">
    <oddHeader>&amp;C&amp;A</oddHeader>
    <oddFooter>&amp;CPage 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debt services for 96a</dc:title>
  <dc:subject/>
  <dc:creator>Weems R McFadden</dc:creator>
  <cp:keywords/>
  <dc:description/>
  <cp:lastModifiedBy>Eric Nicholson</cp:lastModifiedBy>
  <cp:lastPrinted>2022-02-17T14:41:44Z</cp:lastPrinted>
  <dcterms:created xsi:type="dcterms:W3CDTF">1998-02-23T20:58:01Z</dcterms:created>
  <dcterms:modified xsi:type="dcterms:W3CDTF">2023-02-28T18:40:28Z</dcterms:modified>
  <cp:category/>
  <cp:version/>
  <cp:contentType/>
  <cp:contentStatus/>
</cp:coreProperties>
</file>