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852" activeTab="3"/>
  </bookViews>
  <sheets>
    <sheet name="2010C-2021A" sheetId="1" r:id="rId1"/>
    <sheet name="2010C-2021Academic" sheetId="2" r:id="rId2"/>
    <sheet name="2011B-2021A" sheetId="3" r:id="rId3"/>
    <sheet name="2011B-2021A Academic" sheetId="4" r:id="rId4"/>
    <sheet name="UMBI adjustment" sheetId="5" r:id="rId5"/>
  </sheets>
  <definedNames/>
  <calcPr fullCalcOnLoad="1"/>
</workbook>
</file>

<file path=xl/sharedStrings.xml><?xml version="1.0" encoding="utf-8"?>
<sst xmlns="http://schemas.openxmlformats.org/spreadsheetml/2006/main" count="894" uniqueCount="69">
  <si>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</si>
  <si>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</si>
  <si>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</si>
  <si>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</si>
  <si>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</si>
  <si>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</si>
  <si>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</si>
  <si>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</si>
  <si>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</si>
  <si>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UMCP Hornbake &amp; McKeldin Libr (Academic)</t>
  </si>
  <si>
    <t xml:space="preserve">        UMB Facilities Renewal (Academic)</t>
  </si>
  <si>
    <t xml:space="preserve">        UMB New Dental School (Academic)</t>
  </si>
  <si>
    <t xml:space="preserve">        UMES Utilities Upgrade (Academic)</t>
  </si>
  <si>
    <t xml:space="preserve"> UMES Social Sci/Education/Health (Academic)</t>
  </si>
  <si>
    <t xml:space="preserve">        UMBC Facilities Renewal (Academic)</t>
  </si>
  <si>
    <t xml:space="preserve"> UMBC Equip Information Tech Bldg (Academic)</t>
  </si>
  <si>
    <t xml:space="preserve">     UMCES Aquaculture Building (Academic)</t>
  </si>
  <si>
    <t xml:space="preserve">          TU Facilities Renewal (Academic)</t>
  </si>
  <si>
    <t xml:space="preserve">          UB Facilities Renewal (Academic)</t>
  </si>
  <si>
    <t xml:space="preserve">     UMCP Health Center Addition (Auxiliary)</t>
  </si>
  <si>
    <t>UMCP South Campus Parking Garage (Auxiliary)</t>
  </si>
  <si>
    <t xml:space="preserve">        UMB Pine Street Annex (Auxiliary)</t>
  </si>
  <si>
    <t xml:space="preserve">       UMES Murphy Hall Annex  (Auxiliary)</t>
  </si>
  <si>
    <t xml:space="preserve">     UMES Student Service Center  (Auxiliary)</t>
  </si>
  <si>
    <t xml:space="preserve">    UMBC Resident Hall Renovation  (Auxiliary)</t>
  </si>
  <si>
    <t xml:space="preserve">  UMBC New Recreation &amp; Athletic (Auxiliary)</t>
  </si>
  <si>
    <t xml:space="preserve"> UMCP Engineering/Applied Sci Bldg (Academic)</t>
  </si>
  <si>
    <t xml:space="preserve">  USMO Shady Grove Parking Lot 2 (Auxiliary)</t>
  </si>
  <si>
    <t xml:space="preserve">       UMCP Chemical/Nuclear Eng (Academic)</t>
  </si>
  <si>
    <t xml:space="preserve">   UMCP Queen Anne's Hall Renov (Auxiliary)</t>
  </si>
  <si>
    <t xml:space="preserve">          Total New Money - 2004 Series A</t>
  </si>
  <si>
    <t xml:space="preserve">           Total Academic Projects - 2004A</t>
  </si>
  <si>
    <t xml:space="preserve">    UMB School of Nursing Equip (Academic)</t>
  </si>
  <si>
    <t xml:space="preserve">   UMBI Emergency Fund Projects (Academic)</t>
  </si>
  <si>
    <t xml:space="preserve">        UMES Facilities Renewal (Academic)</t>
  </si>
  <si>
    <t xml:space="preserve">        UMCES Facilities Renewal (Academic)</t>
  </si>
  <si>
    <t xml:space="preserve">   USM Emergency Fund Projects (Academic)</t>
  </si>
  <si>
    <t xml:space="preserve">           Total Auxiliary Projects - 2004A</t>
  </si>
  <si>
    <t xml:space="preserve">        BSU Facilities Renewal (Academic)</t>
  </si>
  <si>
    <t xml:space="preserve">        CSU Facilities Renewal (Academic)</t>
  </si>
  <si>
    <t xml:space="preserve">   CSU Health/Human Service Bldg (Academic)</t>
  </si>
  <si>
    <t xml:space="preserve">        FSU Facilities Renewal (Academic)</t>
  </si>
  <si>
    <t xml:space="preserve">   FSU Equip Compton Sci Center (Academic)</t>
  </si>
  <si>
    <t xml:space="preserve">        SU Facilities Renewal (Academic)</t>
  </si>
  <si>
    <t xml:space="preserve">     SU Emergency Fund Projects (Academic)</t>
  </si>
  <si>
    <t xml:space="preserve">         TU Fine Arts Center (Academic)</t>
  </si>
  <si>
    <t xml:space="preserve">      TU 7800 York Road Renov (Academic)</t>
  </si>
  <si>
    <t xml:space="preserve">     UB Emergency Fund Projects (Academic)</t>
  </si>
  <si>
    <t xml:space="preserve">        UMBC New Parking Lot  (Auxiliary)</t>
  </si>
  <si>
    <t xml:space="preserve">   UMBC Dining Hall: HVAC Upgrade (Auxiliary)</t>
  </si>
  <si>
    <t xml:space="preserve">    BSU Holmes Hall &amp; Tubman Hall (Auxiliary)</t>
  </si>
  <si>
    <t xml:space="preserve">         CSU New Dining Hall (Auxiliary)</t>
  </si>
  <si>
    <t xml:space="preserve">          TU New Child Care Center (Auxiliary)</t>
  </si>
  <si>
    <t xml:space="preserve">      TU 7800 York Road Garage (Auxiliary)</t>
  </si>
  <si>
    <t xml:space="preserve">        UB New Student Center (Auxiliary)</t>
  </si>
  <si>
    <t>Amort of</t>
  </si>
  <si>
    <t>Premium</t>
  </si>
  <si>
    <t xml:space="preserve"> UMCP Transfer from UMBI (Academic)</t>
  </si>
  <si>
    <t xml:space="preserve">   1992 Series C Bonds Refinanced on 2010C</t>
  </si>
  <si>
    <t>Loss on Refunding</t>
  </si>
  <si>
    <t>(Gain) on Refunding</t>
  </si>
  <si>
    <t>Revised 2004A Debt After 2021A</t>
  </si>
  <si>
    <t>2004A Refinanced on 2021A</t>
  </si>
  <si>
    <t>2004A Refinanced on 11B/2021A</t>
  </si>
  <si>
    <t>2004 Series A Bond Funded Projects After 11B/2021A</t>
  </si>
  <si>
    <t>Revised 2004A Debt After 11B/2021A</t>
  </si>
  <si>
    <t>2004 Series A Bond Funded Projects After 2010C/2021A</t>
  </si>
  <si>
    <t>Revised 2004A Debt After 2010C/2021A</t>
  </si>
  <si>
    <t>2004A Refinanced on 2010C/2021A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</si>
</sst>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175" fontId="0" fillId="0" borderId="12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72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8" fontId="0" fillId="0" borderId="0" xfId="0" applyNumberFormat="1" applyBorder="1" applyAlignment="1">
      <alignment horizontal="center"/>
    </xf>
    <xf numFmtId="38" fontId="1" fillId="0" borderId="11" xfId="0" applyNumberFormat="1" applyFont="1" applyBorder="1" applyAlignment="1">
      <alignment horizontal="left"/>
    </xf>
    <xf numFmtId="38" fontId="0" fillId="33" borderId="11" xfId="0" applyNumberFormat="1" applyFill="1" applyBorder="1" applyAlignment="1">
      <alignment horizontal="centerContinuous"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38" fontId="0" fillId="0" borderId="15" xfId="0" applyNumberFormat="1" applyFont="1" applyBorder="1" applyAlignment="1">
      <alignment horizontal="center"/>
    </xf>
    <xf numFmtId="38" fontId="0" fillId="0" borderId="11" xfId="0" applyNumberFormat="1" applyFont="1" applyBorder="1" applyAlignment="1">
      <alignment horizontal="centerContinuous"/>
    </xf>
    <xf numFmtId="38" fontId="0" fillId="0" borderId="12" xfId="0" applyNumberFormat="1" applyBorder="1" applyAlignment="1">
      <alignment horizontal="left"/>
    </xf>
    <xf numFmtId="38" fontId="0" fillId="0" borderId="19" xfId="0" applyNumberFormat="1" applyBorder="1" applyAlignment="1">
      <alignment horizontal="left"/>
    </xf>
    <xf numFmtId="38" fontId="0" fillId="0" borderId="20" xfId="0" applyNumberFormat="1" applyBorder="1" applyAlignment="1">
      <alignment horizontal="center"/>
    </xf>
    <xf numFmtId="38" fontId="0" fillId="0" borderId="11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38" fontId="40" fillId="0" borderId="0" xfId="0" applyNumberFormat="1" applyFont="1" applyAlignment="1">
      <alignment/>
    </xf>
    <xf numFmtId="38" fontId="0" fillId="0" borderId="0" xfId="0" applyNumberFormat="1" applyFont="1" applyAlignment="1" quotePrefix="1">
      <alignment horizontal="left"/>
    </xf>
    <xf numFmtId="38" fontId="0" fillId="33" borderId="11" xfId="0" applyNumberFormat="1" applyFont="1" applyFill="1" applyBorder="1" applyAlignment="1">
      <alignment horizontal="centerContinuous"/>
    </xf>
    <xf numFmtId="38" fontId="40" fillId="0" borderId="15" xfId="0" applyNumberFormat="1" applyFont="1" applyBorder="1" applyAlignment="1">
      <alignment horizontal="center"/>
    </xf>
    <xf numFmtId="38" fontId="40" fillId="0" borderId="17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53"/>
  <sheetViews>
    <sheetView zoomScalePageLayoutView="0" workbookViewId="0" topLeftCell="A1">
      <selection activeCell="D11" sqref="D11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5.7109375" style="14" customWidth="1"/>
    <col min="8" max="8" width="3.7109375" style="13" customWidth="1"/>
    <col min="9" max="12" width="13.7109375" style="13" customWidth="1"/>
    <col min="13" max="13" width="16.421875" style="13" customWidth="1"/>
    <col min="14" max="14" width="3.7109375" style="13" customWidth="1"/>
    <col min="15" max="18" width="13.7109375" style="13" customWidth="1"/>
    <col min="19" max="19" width="16.7109375" style="13" customWidth="1"/>
    <col min="20" max="20" width="3.7109375" style="13" customWidth="1"/>
    <col min="21" max="24" width="13.7109375" style="13" customWidth="1"/>
    <col min="25" max="25" width="15.7109375" style="13" customWidth="1"/>
    <col min="26" max="26" width="3.7109375" style="13" customWidth="1"/>
    <col min="27" max="30" width="13.7109375" style="0" customWidth="1"/>
    <col min="31" max="31" width="16.28125" style="0" customWidth="1"/>
    <col min="32" max="32" width="3.7109375" style="13" customWidth="1"/>
    <col min="33" max="36" width="13.7109375" style="0" customWidth="1"/>
    <col min="37" max="37" width="15.421875" style="0" customWidth="1"/>
    <col min="38" max="38" width="3.7109375" style="0" customWidth="1"/>
    <col min="39" max="43" width="13.7109375" style="0" customWidth="1"/>
    <col min="44" max="44" width="3.7109375" style="0" customWidth="1"/>
    <col min="45" max="49" width="13.7109375" style="0" customWidth="1"/>
    <col min="50" max="50" width="3.7109375" style="0" customWidth="1"/>
    <col min="51" max="55" width="13.7109375" style="0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2" width="13.7109375" style="3" customWidth="1"/>
    <col min="133" max="133" width="3.7109375" style="0" customWidth="1"/>
  </cols>
  <sheetData>
    <row r="1" spans="1:134" ht="12.75">
      <c r="A1" s="22"/>
      <c r="B1" s="10"/>
      <c r="C1" s="21"/>
      <c r="D1" s="23"/>
      <c r="I1" s="23" t="s">
        <v>6</v>
      </c>
      <c r="O1" s="23"/>
      <c r="AA1" s="23" t="s">
        <v>6</v>
      </c>
      <c r="AG1" s="23"/>
      <c r="AS1" s="23" t="s">
        <v>6</v>
      </c>
      <c r="AY1" s="23"/>
      <c r="BK1" s="23" t="s">
        <v>6</v>
      </c>
      <c r="BQ1" s="23"/>
      <c r="CC1" s="23" t="s">
        <v>6</v>
      </c>
      <c r="CI1" s="23"/>
      <c r="CU1" s="23" t="s">
        <v>6</v>
      </c>
      <c r="DA1" s="23"/>
      <c r="DM1" s="23" t="s">
        <v>6</v>
      </c>
      <c r="DS1" s="23"/>
      <c r="ED1" s="23" t="s">
        <v>6</v>
      </c>
    </row>
    <row r="2" spans="1:134" ht="12.75">
      <c r="A2" s="22"/>
      <c r="B2" s="10"/>
      <c r="C2" s="21"/>
      <c r="D2" s="23"/>
      <c r="I2" s="23" t="s">
        <v>5</v>
      </c>
      <c r="O2" s="23"/>
      <c r="AA2" s="23" t="s">
        <v>5</v>
      </c>
      <c r="AG2" s="23"/>
      <c r="AS2" s="23" t="s">
        <v>5</v>
      </c>
      <c r="AY2" s="23"/>
      <c r="BK2" s="23" t="s">
        <v>5</v>
      </c>
      <c r="BQ2" s="23"/>
      <c r="CC2" s="23" t="s">
        <v>5</v>
      </c>
      <c r="CI2" s="23"/>
      <c r="CU2" s="23" t="s">
        <v>5</v>
      </c>
      <c r="DA2" s="23"/>
      <c r="DM2" s="23" t="s">
        <v>5</v>
      </c>
      <c r="DS2" s="23"/>
      <c r="ED2" s="23" t="s">
        <v>5</v>
      </c>
    </row>
    <row r="3" spans="1:134" ht="12.75">
      <c r="A3" s="22"/>
      <c r="B3" s="10"/>
      <c r="C3" s="21"/>
      <c r="D3" s="21"/>
      <c r="I3" s="56" t="s">
        <v>66</v>
      </c>
      <c r="O3" s="23"/>
      <c r="AA3" s="23" t="str">
        <f>I3</f>
        <v>2004 Series A Bond Funded Projects After 2010C/2021A</v>
      </c>
      <c r="AB3" s="1"/>
      <c r="AG3" s="23"/>
      <c r="AS3" s="23" t="str">
        <f>AA3</f>
        <v>2004 Series A Bond Funded Projects After 2010C/2021A</v>
      </c>
      <c r="AY3" s="23"/>
      <c r="BK3" s="23" t="str">
        <f>AS3</f>
        <v>2004 Series A Bond Funded Projects After 2010C/2021A</v>
      </c>
      <c r="BQ3" s="23"/>
      <c r="CC3" s="23" t="str">
        <f>BK3</f>
        <v>2004 Series A Bond Funded Projects After 2010C/2021A</v>
      </c>
      <c r="CI3" s="23"/>
      <c r="CU3" s="23" t="str">
        <f>CC3</f>
        <v>2004 Series A Bond Funded Projects After 2010C/2021A</v>
      </c>
      <c r="DA3" s="23"/>
      <c r="DM3" s="23" t="str">
        <f>CU3</f>
        <v>2004 Series A Bond Funded Projects After 2010C/2021A</v>
      </c>
      <c r="DS3" s="23"/>
      <c r="ED3" s="23" t="str">
        <f>DM3</f>
        <v>2004 Series A Bond Funded Projects After 2010C/2021A</v>
      </c>
    </row>
    <row r="4" spans="1:4" ht="12.75">
      <c r="A4" s="22"/>
      <c r="B4" s="10"/>
      <c r="C4" s="21"/>
      <c r="D4" s="23"/>
    </row>
    <row r="5" spans="1:132" ht="12.75">
      <c r="A5" s="4" t="s">
        <v>1</v>
      </c>
      <c r="C5" s="57" t="s">
        <v>67</v>
      </c>
      <c r="D5" s="42"/>
      <c r="E5" s="43"/>
      <c r="F5" s="19"/>
      <c r="G5" s="19"/>
      <c r="I5" s="47" t="s">
        <v>58</v>
      </c>
      <c r="J5" s="16"/>
      <c r="K5" s="17"/>
      <c r="L5" s="19"/>
      <c r="M5" s="19"/>
      <c r="O5" s="15" t="s">
        <v>30</v>
      </c>
      <c r="P5" s="16"/>
      <c r="Q5" s="17"/>
      <c r="R5" s="19"/>
      <c r="S5" s="19"/>
      <c r="U5" s="15" t="s">
        <v>31</v>
      </c>
      <c r="V5" s="16"/>
      <c r="W5" s="17"/>
      <c r="X5" s="19"/>
      <c r="Y5" s="19"/>
      <c r="AA5" s="15" t="s">
        <v>37</v>
      </c>
      <c r="AB5" s="16"/>
      <c r="AC5" s="17"/>
      <c r="AD5" s="19"/>
      <c r="AE5" s="19"/>
      <c r="AG5" s="5" t="s">
        <v>19</v>
      </c>
      <c r="AH5" s="6"/>
      <c r="AI5" s="7"/>
      <c r="AJ5" s="19"/>
      <c r="AK5" s="19"/>
      <c r="AM5" s="5" t="s">
        <v>29</v>
      </c>
      <c r="AN5" s="6"/>
      <c r="AO5" s="7"/>
      <c r="AP5" s="19"/>
      <c r="AQ5" s="19"/>
      <c r="AS5" s="5" t="s">
        <v>20</v>
      </c>
      <c r="AT5" s="6"/>
      <c r="AU5" s="7"/>
      <c r="AV5" s="19"/>
      <c r="AW5" s="19"/>
      <c r="AY5" s="5" t="s">
        <v>21</v>
      </c>
      <c r="AZ5" s="6"/>
      <c r="BA5" s="7"/>
      <c r="BB5" s="19"/>
      <c r="BC5" s="19"/>
      <c r="BE5" s="5" t="s">
        <v>22</v>
      </c>
      <c r="BF5" s="6"/>
      <c r="BG5" s="7"/>
      <c r="BH5" s="19"/>
      <c r="BI5" s="19"/>
      <c r="BK5" s="5" t="s">
        <v>23</v>
      </c>
      <c r="BL5" s="6"/>
      <c r="BM5" s="7"/>
      <c r="BN5" s="19"/>
      <c r="BO5" s="19"/>
      <c r="BQ5" s="5" t="s">
        <v>48</v>
      </c>
      <c r="BR5" s="6"/>
      <c r="BS5" s="7"/>
      <c r="BT5" s="19"/>
      <c r="BU5" s="19"/>
      <c r="BW5" s="5" t="s">
        <v>24</v>
      </c>
      <c r="BX5" s="6"/>
      <c r="BY5" s="7"/>
      <c r="BZ5" s="19"/>
      <c r="CA5" s="19"/>
      <c r="CC5" s="5" t="s">
        <v>49</v>
      </c>
      <c r="CD5" s="6"/>
      <c r="CE5" s="7"/>
      <c r="CF5" s="19"/>
      <c r="CG5" s="19"/>
      <c r="CI5" s="5" t="s">
        <v>25</v>
      </c>
      <c r="CJ5" s="6"/>
      <c r="CK5" s="7"/>
      <c r="CL5" s="19"/>
      <c r="CM5" s="19"/>
      <c r="CO5" s="32" t="s">
        <v>27</v>
      </c>
      <c r="CP5" s="6"/>
      <c r="CQ5" s="7"/>
      <c r="CR5" s="19"/>
      <c r="CS5" s="19"/>
      <c r="CU5" s="5" t="s">
        <v>50</v>
      </c>
      <c r="CV5" s="6"/>
      <c r="CW5" s="7"/>
      <c r="CX5" s="19"/>
      <c r="CY5" s="19"/>
      <c r="DA5" s="5" t="s">
        <v>51</v>
      </c>
      <c r="DB5" s="6"/>
      <c r="DC5" s="7"/>
      <c r="DD5" s="19"/>
      <c r="DE5" s="19"/>
      <c r="DG5" s="5" t="s">
        <v>52</v>
      </c>
      <c r="DH5" s="6"/>
      <c r="DI5" s="7"/>
      <c r="DJ5" s="19"/>
      <c r="DK5" s="19"/>
      <c r="DM5" s="5" t="s">
        <v>53</v>
      </c>
      <c r="DN5" s="6"/>
      <c r="DO5" s="7"/>
      <c r="DP5" s="19"/>
      <c r="DQ5" s="19"/>
      <c r="DS5" s="5" t="s">
        <v>54</v>
      </c>
      <c r="DT5" s="6"/>
      <c r="DU5" s="7"/>
      <c r="DV5" s="19"/>
      <c r="DW5" s="19"/>
      <c r="DY5" s="32" t="s">
        <v>7</v>
      </c>
      <c r="DZ5" s="6"/>
      <c r="EA5" s="7"/>
      <c r="EB5" s="19"/>
    </row>
    <row r="6" spans="1:132" s="1" customFormat="1" ht="12.75">
      <c r="A6" s="24" t="s">
        <v>2</v>
      </c>
      <c r="C6" s="46" t="s">
        <v>68</v>
      </c>
      <c r="D6" s="44"/>
      <c r="E6" s="45"/>
      <c r="F6" s="19" t="s">
        <v>55</v>
      </c>
      <c r="G6" s="19" t="s">
        <v>55</v>
      </c>
      <c r="H6" s="13"/>
      <c r="I6" s="18"/>
      <c r="J6" s="16"/>
      <c r="K6" s="17"/>
      <c r="L6" s="19" t="s">
        <v>55</v>
      </c>
      <c r="M6" s="19" t="s">
        <v>55</v>
      </c>
      <c r="N6" s="13"/>
      <c r="O6" s="18"/>
      <c r="P6" s="33"/>
      <c r="Q6" s="17"/>
      <c r="R6" s="19" t="s">
        <v>55</v>
      </c>
      <c r="S6" s="19" t="s">
        <v>55</v>
      </c>
      <c r="T6" s="13"/>
      <c r="U6" s="18"/>
      <c r="V6" s="37">
        <v>0.6798012</v>
      </c>
      <c r="W6" s="17"/>
      <c r="X6" s="19" t="s">
        <v>55</v>
      </c>
      <c r="Y6" s="19" t="s">
        <v>55</v>
      </c>
      <c r="Z6" s="13"/>
      <c r="AA6" s="18"/>
      <c r="AB6" s="31">
        <f>AH6+AN6+AT6+AZ6+BF6+BL6+BR6+BX6+CD6+CJ6+CP6+CV6+DB6+DH6+DN6+DT6+DZ6</f>
        <v>0.3201988</v>
      </c>
      <c r="AC6" s="17"/>
      <c r="AD6" s="19" t="s">
        <v>55</v>
      </c>
      <c r="AE6" s="19" t="s">
        <v>55</v>
      </c>
      <c r="AF6" s="13"/>
      <c r="AG6" s="25"/>
      <c r="AH6" s="12">
        <v>0.0028849</v>
      </c>
      <c r="AI6" s="26"/>
      <c r="AJ6" s="19" t="s">
        <v>55</v>
      </c>
      <c r="AK6" s="19" t="s">
        <v>55</v>
      </c>
      <c r="AM6" s="25"/>
      <c r="AN6" s="12">
        <v>0.0121511</v>
      </c>
      <c r="AO6" s="26"/>
      <c r="AP6" s="19" t="s">
        <v>55</v>
      </c>
      <c r="AQ6" s="19" t="s">
        <v>55</v>
      </c>
      <c r="AS6" s="25"/>
      <c r="AT6" s="12">
        <v>0.0051763</v>
      </c>
      <c r="AU6" s="26"/>
      <c r="AV6" s="19" t="s">
        <v>55</v>
      </c>
      <c r="AW6" s="19" t="s">
        <v>55</v>
      </c>
      <c r="AY6" s="25"/>
      <c r="AZ6" s="12">
        <v>0.001659</v>
      </c>
      <c r="BA6" s="26"/>
      <c r="BB6" s="19" t="s">
        <v>55</v>
      </c>
      <c r="BC6" s="19" t="s">
        <v>55</v>
      </c>
      <c r="BE6" s="25"/>
      <c r="BF6" s="12">
        <v>0.0005119</v>
      </c>
      <c r="BG6" s="26"/>
      <c r="BH6" s="19" t="s">
        <v>55</v>
      </c>
      <c r="BI6" s="19" t="s">
        <v>55</v>
      </c>
      <c r="BK6" s="25"/>
      <c r="BL6" s="12">
        <v>0.0109472</v>
      </c>
      <c r="BM6" s="26"/>
      <c r="BN6" s="19" t="s">
        <v>55</v>
      </c>
      <c r="BO6" s="19" t="s">
        <v>55</v>
      </c>
      <c r="BQ6" s="25"/>
      <c r="BR6" s="12">
        <v>0.0001911</v>
      </c>
      <c r="BS6" s="26"/>
      <c r="BT6" s="19" t="s">
        <v>55</v>
      </c>
      <c r="BU6" s="19" t="s">
        <v>55</v>
      </c>
      <c r="BW6" s="25"/>
      <c r="BX6" s="12">
        <v>0.0424642</v>
      </c>
      <c r="BY6" s="26"/>
      <c r="BZ6" s="19" t="s">
        <v>55</v>
      </c>
      <c r="CA6" s="19" t="s">
        <v>55</v>
      </c>
      <c r="CC6" s="25"/>
      <c r="CD6" s="12">
        <v>0.0015092</v>
      </c>
      <c r="CE6" s="26"/>
      <c r="CF6" s="19" t="s">
        <v>55</v>
      </c>
      <c r="CG6" s="19" t="s">
        <v>55</v>
      </c>
      <c r="CI6" s="25"/>
      <c r="CJ6" s="12">
        <v>0.0450865</v>
      </c>
      <c r="CK6" s="26"/>
      <c r="CL6" s="19" t="s">
        <v>55</v>
      </c>
      <c r="CM6" s="19" t="s">
        <v>55</v>
      </c>
      <c r="CO6" s="25"/>
      <c r="CP6" s="12">
        <v>0.0134749</v>
      </c>
      <c r="CQ6" s="26"/>
      <c r="CR6" s="19" t="s">
        <v>55</v>
      </c>
      <c r="CS6" s="19" t="s">
        <v>55</v>
      </c>
      <c r="CU6" s="25"/>
      <c r="CV6" s="12">
        <v>0.0011948</v>
      </c>
      <c r="CW6" s="26"/>
      <c r="CX6" s="19" t="s">
        <v>55</v>
      </c>
      <c r="CY6" s="19" t="s">
        <v>55</v>
      </c>
      <c r="DA6" s="25"/>
      <c r="DB6" s="12">
        <v>0.0003698</v>
      </c>
      <c r="DC6" s="26"/>
      <c r="DD6" s="19" t="s">
        <v>55</v>
      </c>
      <c r="DE6" s="19" t="s">
        <v>55</v>
      </c>
      <c r="DG6" s="25"/>
      <c r="DH6" s="12">
        <v>0.0013432</v>
      </c>
      <c r="DI6" s="26"/>
      <c r="DJ6" s="19" t="s">
        <v>55</v>
      </c>
      <c r="DK6" s="19" t="s">
        <v>55</v>
      </c>
      <c r="DM6" s="25"/>
      <c r="DN6" s="12">
        <v>0.0026052</v>
      </c>
      <c r="DO6" s="26"/>
      <c r="DP6" s="19" t="s">
        <v>55</v>
      </c>
      <c r="DQ6" s="19" t="s">
        <v>55</v>
      </c>
      <c r="DS6" s="25"/>
      <c r="DT6" s="12">
        <v>0.1786295</v>
      </c>
      <c r="DU6" s="26"/>
      <c r="DV6" s="19" t="s">
        <v>55</v>
      </c>
      <c r="DW6" s="19" t="s">
        <v>55</v>
      </c>
      <c r="DY6" s="25"/>
      <c r="DZ6" s="12"/>
      <c r="EA6" s="26"/>
      <c r="EB6" s="19" t="s">
        <v>55</v>
      </c>
    </row>
    <row r="7" spans="1:132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59</v>
      </c>
      <c r="I7" s="19" t="s">
        <v>3</v>
      </c>
      <c r="J7" s="19" t="s">
        <v>4</v>
      </c>
      <c r="K7" s="19" t="s">
        <v>0</v>
      </c>
      <c r="L7" s="19" t="s">
        <v>56</v>
      </c>
      <c r="M7" s="58" t="s">
        <v>60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59</v>
      </c>
      <c r="U7" s="19" t="s">
        <v>3</v>
      </c>
      <c r="V7" s="19" t="s">
        <v>4</v>
      </c>
      <c r="W7" s="19" t="s">
        <v>0</v>
      </c>
      <c r="X7" s="19" t="s">
        <v>56</v>
      </c>
      <c r="Y7" s="48" t="s">
        <v>59</v>
      </c>
      <c r="AA7" s="19" t="s">
        <v>3</v>
      </c>
      <c r="AB7" s="19" t="s">
        <v>4</v>
      </c>
      <c r="AC7" s="19" t="s">
        <v>0</v>
      </c>
      <c r="AD7" s="19" t="s">
        <v>56</v>
      </c>
      <c r="AE7" s="48" t="s">
        <v>59</v>
      </c>
      <c r="AG7" s="9" t="s">
        <v>3</v>
      </c>
      <c r="AH7" s="9" t="s">
        <v>4</v>
      </c>
      <c r="AI7" s="9" t="s">
        <v>0</v>
      </c>
      <c r="AJ7" s="19" t="s">
        <v>56</v>
      </c>
      <c r="AK7" s="48" t="s">
        <v>59</v>
      </c>
      <c r="AM7" s="9" t="s">
        <v>3</v>
      </c>
      <c r="AN7" s="9" t="s">
        <v>4</v>
      </c>
      <c r="AO7" s="9" t="s">
        <v>0</v>
      </c>
      <c r="AP7" s="19" t="s">
        <v>56</v>
      </c>
      <c r="AQ7" s="48" t="s">
        <v>59</v>
      </c>
      <c r="AS7" s="9" t="s">
        <v>3</v>
      </c>
      <c r="AT7" s="9" t="s">
        <v>4</v>
      </c>
      <c r="AU7" s="9" t="s">
        <v>0</v>
      </c>
      <c r="AV7" s="19" t="s">
        <v>56</v>
      </c>
      <c r="AW7" s="48" t="s">
        <v>59</v>
      </c>
      <c r="AY7" s="9" t="s">
        <v>3</v>
      </c>
      <c r="AZ7" s="9" t="s">
        <v>4</v>
      </c>
      <c r="BA7" s="9" t="s">
        <v>0</v>
      </c>
      <c r="BB7" s="19" t="s">
        <v>56</v>
      </c>
      <c r="BC7" s="48" t="s">
        <v>59</v>
      </c>
      <c r="BE7" s="9" t="s">
        <v>3</v>
      </c>
      <c r="BF7" s="9" t="s">
        <v>4</v>
      </c>
      <c r="BG7" s="9" t="s">
        <v>0</v>
      </c>
      <c r="BH7" s="19" t="s">
        <v>56</v>
      </c>
      <c r="BI7" s="48" t="s">
        <v>59</v>
      </c>
      <c r="BK7" s="9" t="s">
        <v>3</v>
      </c>
      <c r="BL7" s="9" t="s">
        <v>4</v>
      </c>
      <c r="BM7" s="9" t="s">
        <v>0</v>
      </c>
      <c r="BN7" s="19" t="s">
        <v>56</v>
      </c>
      <c r="BO7" s="48" t="s">
        <v>59</v>
      </c>
      <c r="BQ7" s="9" t="s">
        <v>3</v>
      </c>
      <c r="BR7" s="9" t="s">
        <v>4</v>
      </c>
      <c r="BS7" s="9" t="s">
        <v>0</v>
      </c>
      <c r="BT7" s="19" t="s">
        <v>56</v>
      </c>
      <c r="BU7" s="48" t="s">
        <v>59</v>
      </c>
      <c r="BW7" s="9" t="s">
        <v>3</v>
      </c>
      <c r="BX7" s="9" t="s">
        <v>4</v>
      </c>
      <c r="BY7" s="9" t="s">
        <v>0</v>
      </c>
      <c r="BZ7" s="19" t="s">
        <v>56</v>
      </c>
      <c r="CA7" s="48" t="s">
        <v>59</v>
      </c>
      <c r="CC7" s="9" t="s">
        <v>3</v>
      </c>
      <c r="CD7" s="9" t="s">
        <v>4</v>
      </c>
      <c r="CE7" s="9" t="s">
        <v>0</v>
      </c>
      <c r="CF7" s="19" t="s">
        <v>56</v>
      </c>
      <c r="CG7" s="48" t="s">
        <v>59</v>
      </c>
      <c r="CI7" s="9" t="s">
        <v>3</v>
      </c>
      <c r="CJ7" s="9" t="s">
        <v>4</v>
      </c>
      <c r="CK7" s="9" t="s">
        <v>0</v>
      </c>
      <c r="CL7" s="19" t="s">
        <v>56</v>
      </c>
      <c r="CM7" s="48" t="s">
        <v>59</v>
      </c>
      <c r="CO7" s="9" t="s">
        <v>3</v>
      </c>
      <c r="CP7" s="9" t="s">
        <v>4</v>
      </c>
      <c r="CQ7" s="9" t="s">
        <v>0</v>
      </c>
      <c r="CR7" s="19" t="s">
        <v>56</v>
      </c>
      <c r="CS7" s="48" t="s">
        <v>59</v>
      </c>
      <c r="CU7" s="9" t="s">
        <v>3</v>
      </c>
      <c r="CV7" s="9" t="s">
        <v>4</v>
      </c>
      <c r="CW7" s="9" t="s">
        <v>0</v>
      </c>
      <c r="CX7" s="19" t="s">
        <v>56</v>
      </c>
      <c r="CY7" s="48" t="s">
        <v>59</v>
      </c>
      <c r="DA7" s="9" t="s">
        <v>3</v>
      </c>
      <c r="DB7" s="9" t="s">
        <v>4</v>
      </c>
      <c r="DC7" s="9" t="s">
        <v>0</v>
      </c>
      <c r="DD7" s="19" t="s">
        <v>56</v>
      </c>
      <c r="DE7" s="48" t="s">
        <v>59</v>
      </c>
      <c r="DG7" s="9" t="s">
        <v>3</v>
      </c>
      <c r="DH7" s="9" t="s">
        <v>4</v>
      </c>
      <c r="DI7" s="9" t="s">
        <v>0</v>
      </c>
      <c r="DJ7" s="19" t="s">
        <v>56</v>
      </c>
      <c r="DK7" s="48" t="s">
        <v>59</v>
      </c>
      <c r="DM7" s="9" t="s">
        <v>3</v>
      </c>
      <c r="DN7" s="9" t="s">
        <v>4</v>
      </c>
      <c r="DO7" s="9" t="s">
        <v>0</v>
      </c>
      <c r="DP7" s="19" t="s">
        <v>56</v>
      </c>
      <c r="DQ7" s="48" t="s">
        <v>59</v>
      </c>
      <c r="DS7" s="9" t="s">
        <v>3</v>
      </c>
      <c r="DT7" s="9" t="s">
        <v>4</v>
      </c>
      <c r="DU7" s="9" t="s">
        <v>0</v>
      </c>
      <c r="DV7" s="19" t="s">
        <v>56</v>
      </c>
      <c r="DW7" s="48" t="s">
        <v>59</v>
      </c>
      <c r="DY7" s="9" t="s">
        <v>3</v>
      </c>
      <c r="DZ7" s="9" t="s">
        <v>4</v>
      </c>
      <c r="EA7" s="9" t="s">
        <v>0</v>
      </c>
      <c r="EB7" s="19" t="s">
        <v>56</v>
      </c>
    </row>
    <row r="8" spans="1:132" s="30" customFormat="1" ht="12.75">
      <c r="A8" s="29">
        <v>44835</v>
      </c>
      <c r="C8" s="14"/>
      <c r="D8" s="14">
        <v>53000</v>
      </c>
      <c r="E8" s="14">
        <f>C8+D8</f>
        <v>53000</v>
      </c>
      <c r="F8" s="14">
        <v>200504</v>
      </c>
      <c r="G8" s="14">
        <v>8757</v>
      </c>
      <c r="H8" s="28"/>
      <c r="I8" s="13"/>
      <c r="J8" s="13">
        <v>1130</v>
      </c>
      <c r="K8" s="13">
        <f>I8+J8</f>
        <v>1130</v>
      </c>
      <c r="L8" s="13">
        <v>4519</v>
      </c>
      <c r="M8" s="55">
        <v>-3672</v>
      </c>
      <c r="N8" s="28"/>
      <c r="O8" s="14"/>
      <c r="P8" s="14">
        <f>D8-J8</f>
        <v>51870</v>
      </c>
      <c r="Q8" s="14">
        <f>O8+P8</f>
        <v>51870</v>
      </c>
      <c r="R8" s="14">
        <f>F8-L8</f>
        <v>195985</v>
      </c>
      <c r="S8" s="14">
        <f>G8-M8</f>
        <v>12429</v>
      </c>
      <c r="T8" s="28"/>
      <c r="U8" s="28">
        <f>'2010C-2021Academic'!I8+'2010C-2021Academic'!O8+'2010C-2021Academic'!U8+'2010C-2021Academic'!AA8+'2010C-2021Academic'!AG8+'2010C-2021Academic'!AM8+'2010C-2021Academic'!AS8+'2010C-2021Academic'!AY8+'2010C-2021Academic'!BE8+'2010C-2021Academic'!BK8+'2010C-2021Academic'!BQ8+'2010C-2021Academic'!BW8+'2010C-2021Academic'!CC8+'2010C-2021Academic'!CI8+'2010C-2021Academic'!CO8+'2010C-2021Academic'!CU8+'2010C-2021Academic'!DA8+'2010C-2021Academic'!DG8+'2010C-2021Academic'!DM8+'2010C-2021Academic'!DS8+'2010C-2021Academic'!DY8+'2010C-2021Academic'!EE8+'2010C-2021Academic'!EK8+'2010C-2021Academic'!EQ8+'2010C-2021Academic'!EW8+'2010C-2021Academic'!FC8+'2010C-2021Academic'!FI8+'2010C-2021Academic'!FO8</f>
        <v>0</v>
      </c>
      <c r="V8" s="28">
        <f>'2010C-2021Academic'!J8+'2010C-2021Academic'!P8+'2010C-2021Academic'!V8+'2010C-2021Academic'!AB8+'2010C-2021Academic'!AH8+'2010C-2021Academic'!AN8+'2010C-2021Academic'!AT8+'2010C-2021Academic'!AZ8+'2010C-2021Academic'!BF8+'2010C-2021Academic'!BL8+'2010C-2021Academic'!BR8+'2010C-2021Academic'!BX8+'2010C-2021Academic'!CD8+'2010C-2021Academic'!CJ8+'2010C-2021Academic'!CP8+'2010C-2021Academic'!CV8+'2010C-2021Academic'!DB8+'2010C-2021Academic'!DH8+'2010C-2021Academic'!DN8+'2010C-2021Academic'!DT8+'2010C-2021Academic'!DZ8+'2010C-2021Academic'!EF8+'2010C-2021Academic'!EL8+'2010C-2021Academic'!ER8+'2010C-2021Academic'!EX8+'2010C-2021Academic'!FD8+'2010C-2021Academic'!FJ8+'2010C-2021Academic'!FP8</f>
        <v>35261.288244</v>
      </c>
      <c r="W8" s="28">
        <f>U8+V8</f>
        <v>35261.288244</v>
      </c>
      <c r="X8" s="28">
        <f>'2010C-2021Academic'!L8+'2010C-2021Academic'!R8+'2010C-2021Academic'!X8+'2010C-2021Academic'!AD8+'2010C-2021Academic'!AJ8+'2010C-2021Academic'!AP8+'2010C-2021Academic'!AV8+'2010C-2021Academic'!BB8+'2010C-2021Academic'!BH8+'2010C-2021Academic'!BN8+'2010C-2021Academic'!BT8+'2010C-2021Academic'!BZ8+'2010C-2021Academic'!CF8+'2010C-2021Academic'!CL8+'2010C-2021Academic'!CR8+'2010C-2021Academic'!CX8+'2010C-2021Academic'!DD8+'2010C-2021Academic'!DJ8+'2010C-2021Academic'!DP8+'2010C-2021Academic'!DV8+'2010C-2021Academic'!EB8+'2010C-2021Academic'!EH8+'2010C-2021Academic'!EN8+'2010C-2021Academic'!ET8+'2010C-2021Academic'!EZ8+'2010C-2021Academic'!FF8+'2010C-2021Academic'!FL8+'2010C-2021Academic'!FR8</f>
        <v>133230.838182</v>
      </c>
      <c r="Y8" s="28">
        <f>'2010C-2021Academic'!M8+'2010C-2021Academic'!S8+'2010C-2021Academic'!Y8+'2010C-2021Academic'!AE8+'2010C-2021Academic'!AK8+'2010C-2021Academic'!AQ8+'2010C-2021Academic'!AW8+'2010C-2021Academic'!BC8+'2010C-2021Academic'!BI8+'2010C-2021Academic'!BO8+'2010C-2021Academic'!BU8+'2010C-2021Academic'!CA8+'2010C-2021Academic'!CG8+'2010C-2021Academic'!CM8+'2010C-2021Academic'!CS8+'2010C-2021Academic'!CY8+'2010C-2021Academic'!DE8+'2010C-2021Academic'!DK8+'2010C-2021Academic'!DQ8+'2010C-2021Academic'!DW8+'2010C-2021Academic'!EC8+'2010C-2021Academic'!EI8+'2010C-2021Academic'!EO8+'2010C-2021Academic'!EU8+'2010C-2021Academic'!FA8+'2010C-2021Academic'!FG8+'2010C-2021Academic'!FM8+'2010C-2021Academic'!FS8</f>
        <v>8449.2491148</v>
      </c>
      <c r="Z8" s="28"/>
      <c r="AA8" s="13"/>
      <c r="AB8" s="20">
        <f>AH8+AN8+AT8+AZ8+BF8+BL8+BR8+BX8+CD8+CJ8+CP8+CV8+DB8+DH8+DN8+DT8+DZ8</f>
        <v>16608.711756</v>
      </c>
      <c r="AC8" s="13">
        <f>AA8+AB8</f>
        <v>16608.711756</v>
      </c>
      <c r="AD8" s="13">
        <f aca="true" t="shared" si="0" ref="AD8:AE11">AJ8+AP8+AV8+BB8+BH8+BN8+BT8+BZ8+CF8+CL8+CR8+CX8+DD8+DJ8+DP8+DV8+EB8</f>
        <v>62754.16181799999</v>
      </c>
      <c r="AE8" s="20">
        <f t="shared" si="0"/>
        <v>3979.7508851999996</v>
      </c>
      <c r="AF8" s="28"/>
      <c r="AG8" s="28"/>
      <c r="AH8" s="20">
        <f>P8*0.28849/100</f>
        <v>149.63976300000002</v>
      </c>
      <c r="AI8" s="28">
        <f>AG8+AH8</f>
        <v>149.63976300000002</v>
      </c>
      <c r="AJ8" s="28">
        <f>AH$6*$R8</f>
        <v>565.3971265</v>
      </c>
      <c r="AK8" s="28">
        <f>AH$6*$S8</f>
        <v>35.8564221</v>
      </c>
      <c r="AM8" s="28"/>
      <c r="AN8" s="28">
        <f>P8*1.21511/100</f>
        <v>630.2775569999999</v>
      </c>
      <c r="AO8" s="13">
        <f>AM8+AN8</f>
        <v>630.2775569999999</v>
      </c>
      <c r="AP8" s="28">
        <f>AN$6*$R8</f>
        <v>2381.4333335</v>
      </c>
      <c r="AQ8" s="28">
        <f>AN$6*$S8</f>
        <v>151.0260219</v>
      </c>
      <c r="AS8" s="28"/>
      <c r="AT8" s="28">
        <f>P8*0.51763/100</f>
        <v>268.494681</v>
      </c>
      <c r="AU8" s="13">
        <f>AS8+AT8</f>
        <v>268.494681</v>
      </c>
      <c r="AV8" s="28">
        <f>AT$6*$R8</f>
        <v>1014.4771555</v>
      </c>
      <c r="AW8" s="28">
        <f>AT$6*$S8</f>
        <v>64.3362327</v>
      </c>
      <c r="AY8" s="38"/>
      <c r="AZ8" s="38">
        <f>P8*0.1659/100</f>
        <v>86.05233</v>
      </c>
      <c r="BA8" s="3">
        <f>AY8+AZ8</f>
        <v>86.05233</v>
      </c>
      <c r="BB8" s="28">
        <f>AZ$6*$R8</f>
        <v>325.139115</v>
      </c>
      <c r="BC8" s="28">
        <f>AZ$6*$S8</f>
        <v>20.619711000000002</v>
      </c>
      <c r="BD8" s="28"/>
      <c r="BE8" s="28"/>
      <c r="BF8" s="28">
        <f>P8*0.05119/100</f>
        <v>26.552253</v>
      </c>
      <c r="BG8" s="13">
        <f>BE8+BF8</f>
        <v>26.552253</v>
      </c>
      <c r="BH8" s="28">
        <f>BF$6*$R8</f>
        <v>100.32472150000001</v>
      </c>
      <c r="BI8" s="28">
        <f>BF$6*$S8</f>
        <v>6.3624051</v>
      </c>
      <c r="BJ8" s="28"/>
      <c r="BK8" s="28"/>
      <c r="BL8" s="28">
        <f>P8*1.09472/100</f>
        <v>567.8312639999999</v>
      </c>
      <c r="BM8" s="13">
        <f>BK8+BL8</f>
        <v>567.8312639999999</v>
      </c>
      <c r="BN8" s="28">
        <f>BL$6*$R8</f>
        <v>2145.486992</v>
      </c>
      <c r="BO8" s="28">
        <f>BL$6*$S8</f>
        <v>136.0627488</v>
      </c>
      <c r="BP8" s="28"/>
      <c r="BQ8" s="28"/>
      <c r="BR8" s="28">
        <f>P8*0.01911/100</f>
        <v>9.912357</v>
      </c>
      <c r="BS8" s="13">
        <f>BQ8+BR8</f>
        <v>9.912357</v>
      </c>
      <c r="BT8" s="28">
        <f>BR$6*$R8</f>
        <v>37.4527335</v>
      </c>
      <c r="BU8" s="28">
        <f>BR$6*$S8</f>
        <v>2.3751819000000003</v>
      </c>
      <c r="BV8" s="28"/>
      <c r="BW8" s="28"/>
      <c r="BX8" s="28">
        <f>P8*4.24642/100</f>
        <v>2202.618054</v>
      </c>
      <c r="BY8" s="13">
        <f>BW8+BX8</f>
        <v>2202.618054</v>
      </c>
      <c r="BZ8" s="28">
        <f>BX$6*$R8</f>
        <v>8322.346237</v>
      </c>
      <c r="CA8" s="28">
        <f>BX$6*$S8</f>
        <v>527.7875418</v>
      </c>
      <c r="CB8" s="28"/>
      <c r="CC8" s="28"/>
      <c r="CD8" s="28">
        <f>P8*0.15092/100</f>
        <v>78.28220400000001</v>
      </c>
      <c r="CE8" s="13">
        <f>CC8+CD8</f>
        <v>78.28220400000001</v>
      </c>
      <c r="CF8" s="28">
        <f>CD$6*$R8</f>
        <v>295.78056200000003</v>
      </c>
      <c r="CG8" s="28">
        <f>CD$6*$S8</f>
        <v>18.7578468</v>
      </c>
      <c r="CH8" s="28"/>
      <c r="CI8" s="28"/>
      <c r="CJ8" s="28">
        <f>P8*4.50865/100</f>
        <v>2338.636755</v>
      </c>
      <c r="CK8" s="13">
        <f>CI8+CJ8</f>
        <v>2338.636755</v>
      </c>
      <c r="CL8" s="28">
        <f>CJ$6*$R8</f>
        <v>8836.2777025</v>
      </c>
      <c r="CM8" s="28">
        <f>CJ$6*$S8</f>
        <v>560.3801085</v>
      </c>
      <c r="CN8" s="28"/>
      <c r="CO8" s="28"/>
      <c r="CP8" s="28">
        <f>P8*1.34749/100</f>
        <v>698.9430630000002</v>
      </c>
      <c r="CQ8" s="13">
        <f>CO8+CP8</f>
        <v>698.9430630000002</v>
      </c>
      <c r="CR8" s="28">
        <f>CP$6*$R8</f>
        <v>2640.8782765</v>
      </c>
      <c r="CS8" s="28">
        <f>CP$6*$S8</f>
        <v>167.4795321</v>
      </c>
      <c r="CT8" s="28"/>
      <c r="CU8" s="28"/>
      <c r="CV8" s="28">
        <f>P8*0.11948/100</f>
        <v>61.974276</v>
      </c>
      <c r="CW8" s="13">
        <f>CU8+CV8</f>
        <v>61.974276</v>
      </c>
      <c r="CX8" s="28">
        <f>CV$6*$R8</f>
        <v>234.162878</v>
      </c>
      <c r="CY8" s="28">
        <f>CV$6*$S8</f>
        <v>14.8501692</v>
      </c>
      <c r="CZ8" s="28"/>
      <c r="DA8" s="28"/>
      <c r="DB8" s="28">
        <f>P8*0.03698/100</f>
        <v>19.181525999999998</v>
      </c>
      <c r="DC8" s="13">
        <f>DA8+DB8</f>
        <v>19.181525999999998</v>
      </c>
      <c r="DD8" s="28">
        <f>DB$6*$R8</f>
        <v>72.475253</v>
      </c>
      <c r="DE8" s="28">
        <f>DB$6*$S8</f>
        <v>4.5962442</v>
      </c>
      <c r="DF8" s="28"/>
      <c r="DG8" s="28"/>
      <c r="DH8" s="28">
        <f>P8*0.13432/100</f>
        <v>69.671784</v>
      </c>
      <c r="DI8" s="13">
        <f>DG8+DH8</f>
        <v>69.671784</v>
      </c>
      <c r="DJ8" s="28">
        <f>DH$6*$R8</f>
        <v>263.247052</v>
      </c>
      <c r="DK8" s="28">
        <f>DH$6*$S8</f>
        <v>16.694632799999997</v>
      </c>
      <c r="DL8" s="28"/>
      <c r="DM8" s="28"/>
      <c r="DN8" s="28">
        <f>P8*0.26052/100</f>
        <v>135.131724</v>
      </c>
      <c r="DO8" s="13">
        <f>DM8+DN8</f>
        <v>135.131724</v>
      </c>
      <c r="DP8" s="28">
        <f>DN$6*$R8</f>
        <v>510.58012199999996</v>
      </c>
      <c r="DQ8" s="28">
        <f>DN$6*$S8</f>
        <v>32.3800308</v>
      </c>
      <c r="DR8" s="28"/>
      <c r="DS8" s="28"/>
      <c r="DT8" s="28">
        <f>P8*17.86295/100</f>
        <v>9265.512165</v>
      </c>
      <c r="DU8" s="13">
        <f>DS8+DT8</f>
        <v>9265.512165</v>
      </c>
      <c r="DV8" s="28">
        <f>DT$6*$R8</f>
        <v>35008.7025575</v>
      </c>
      <c r="DW8" s="28">
        <f>DT$6*$S8</f>
        <v>2220.1860555</v>
      </c>
      <c r="DX8" s="28"/>
      <c r="DY8" s="13"/>
      <c r="DZ8" s="13"/>
      <c r="EA8" s="13">
        <f>DY8+DZ8</f>
        <v>0</v>
      </c>
      <c r="EB8" s="13"/>
    </row>
    <row r="9" spans="1:132" s="30" customFormat="1" ht="12.75">
      <c r="A9" s="29">
        <v>45017</v>
      </c>
      <c r="C9" s="14">
        <v>2120000</v>
      </c>
      <c r="D9" s="14">
        <v>53000</v>
      </c>
      <c r="E9" s="14">
        <f>C9+D9</f>
        <v>2173000</v>
      </c>
      <c r="F9" s="14">
        <v>200504</v>
      </c>
      <c r="G9" s="14">
        <v>8757</v>
      </c>
      <c r="H9" s="28"/>
      <c r="I9" s="13">
        <v>45198</v>
      </c>
      <c r="J9" s="13">
        <v>1130</v>
      </c>
      <c r="K9" s="13">
        <f>I9+J9</f>
        <v>46328</v>
      </c>
      <c r="L9" s="13">
        <v>4519</v>
      </c>
      <c r="M9" s="55">
        <v>-3672</v>
      </c>
      <c r="N9" s="28"/>
      <c r="O9" s="14">
        <f>C9-I9</f>
        <v>2074802</v>
      </c>
      <c r="P9" s="14">
        <f>D9-J9</f>
        <v>51870</v>
      </c>
      <c r="Q9" s="14">
        <f>O9+P9</f>
        <v>2126672</v>
      </c>
      <c r="R9" s="14">
        <f>F9-L9</f>
        <v>195985</v>
      </c>
      <c r="S9" s="14">
        <f>G9-M9</f>
        <v>12429</v>
      </c>
      <c r="T9" s="28"/>
      <c r="U9" s="28">
        <f>'2010C-2021Academic'!I9+'2010C-2021Academic'!O9+'2010C-2021Academic'!U9+'2010C-2021Academic'!AA9+'2010C-2021Academic'!AG9+'2010C-2021Academic'!AM9+'2010C-2021Academic'!AS9+'2010C-2021Academic'!AY9+'2010C-2021Academic'!BE9+'2010C-2021Academic'!BK9+'2010C-2021Academic'!BQ9+'2010C-2021Academic'!BW9+'2010C-2021Academic'!CC9+'2010C-2021Academic'!CI9+'2010C-2021Academic'!CO9+'2010C-2021Academic'!CU9+'2010C-2021Academic'!DA9+'2010C-2021Academic'!DG9+'2010C-2021Academic'!DM9+'2010C-2021Academic'!DS9+'2010C-2021Academic'!DY9+'2010C-2021Academic'!EE9+'2010C-2021Academic'!EK9+'2010C-2021Academic'!EQ9+'2010C-2021Academic'!EW9+'2010C-2021Academic'!FC9+'2010C-2021Academic'!FI9+'2010C-2021Academic'!FO9</f>
        <v>1410452.8893624</v>
      </c>
      <c r="V9" s="28">
        <f>'2010C-2021Academic'!J9+'2010C-2021Academic'!P9+'2010C-2021Academic'!V9+'2010C-2021Academic'!AB9+'2010C-2021Academic'!AH9+'2010C-2021Academic'!AN9+'2010C-2021Academic'!AT9+'2010C-2021Academic'!AZ9+'2010C-2021Academic'!BF9+'2010C-2021Academic'!BL9+'2010C-2021Academic'!BR9+'2010C-2021Academic'!BX9+'2010C-2021Academic'!CD9+'2010C-2021Academic'!CJ9+'2010C-2021Academic'!CP9+'2010C-2021Academic'!CV9+'2010C-2021Academic'!DB9+'2010C-2021Academic'!DH9+'2010C-2021Academic'!DN9+'2010C-2021Academic'!DT9+'2010C-2021Academic'!DZ9+'2010C-2021Academic'!EF9+'2010C-2021Academic'!EL9+'2010C-2021Academic'!ER9+'2010C-2021Academic'!EX9+'2010C-2021Academic'!FD9+'2010C-2021Academic'!FJ9+'2010C-2021Academic'!FP9</f>
        <v>35261.288244</v>
      </c>
      <c r="W9" s="28">
        <f>U9+V9</f>
        <v>1445714.1776063999</v>
      </c>
      <c r="X9" s="28">
        <f>'2010C-2021Academic'!L9+'2010C-2021Academic'!R9+'2010C-2021Academic'!X9+'2010C-2021Academic'!AD9+'2010C-2021Academic'!AJ9+'2010C-2021Academic'!AP9+'2010C-2021Academic'!AV9+'2010C-2021Academic'!BB9+'2010C-2021Academic'!BH9+'2010C-2021Academic'!BN9+'2010C-2021Academic'!BT9+'2010C-2021Academic'!BZ9+'2010C-2021Academic'!CF9+'2010C-2021Academic'!CL9+'2010C-2021Academic'!CR9+'2010C-2021Academic'!CX9+'2010C-2021Academic'!DD9+'2010C-2021Academic'!DJ9+'2010C-2021Academic'!DP9+'2010C-2021Academic'!DV9+'2010C-2021Academic'!EB9+'2010C-2021Academic'!EH9+'2010C-2021Academic'!EN9+'2010C-2021Academic'!ET9+'2010C-2021Academic'!EZ9+'2010C-2021Academic'!FF9+'2010C-2021Academic'!FL9+'2010C-2021Academic'!FR9</f>
        <v>133230.838182</v>
      </c>
      <c r="Y9" s="28">
        <f>'2010C-2021Academic'!M9+'2010C-2021Academic'!S9+'2010C-2021Academic'!Y9+'2010C-2021Academic'!AE9+'2010C-2021Academic'!AK9+'2010C-2021Academic'!AQ9+'2010C-2021Academic'!AW9+'2010C-2021Academic'!BC9+'2010C-2021Academic'!BI9+'2010C-2021Academic'!BO9+'2010C-2021Academic'!BU9+'2010C-2021Academic'!CA9+'2010C-2021Academic'!CG9+'2010C-2021Academic'!CM9+'2010C-2021Academic'!CS9+'2010C-2021Academic'!CY9+'2010C-2021Academic'!DE9+'2010C-2021Academic'!DK9+'2010C-2021Academic'!DQ9+'2010C-2021Academic'!DW9+'2010C-2021Academic'!EC9+'2010C-2021Academic'!EI9+'2010C-2021Academic'!EO9+'2010C-2021Academic'!EU9+'2010C-2021Academic'!FA9+'2010C-2021Academic'!FG9+'2010C-2021Academic'!FM9+'2010C-2021Academic'!FS9</f>
        <v>8449.2491148</v>
      </c>
      <c r="Z9" s="28"/>
      <c r="AA9" s="13">
        <f>AG9+AM9+AS9+AY9+BE9+BK9+BQ9+BW9+CC9+CI9+CO9+CU9+DA9+DG9+DM9+DS9+DY9</f>
        <v>664349.1106376001</v>
      </c>
      <c r="AB9" s="20">
        <f>AH9+AN9+AT9+AZ9+BF9+BL9+BR9+BX9+CD9+CJ9+CP9+CV9+DB9+DH9+DN9+DT9+DZ9</f>
        <v>16608.711756</v>
      </c>
      <c r="AC9" s="13">
        <f>AA9+AB9</f>
        <v>680957.8223936</v>
      </c>
      <c r="AD9" s="13">
        <f t="shared" si="0"/>
        <v>62754.16181799999</v>
      </c>
      <c r="AE9" s="20">
        <f t="shared" si="0"/>
        <v>3979.7508851999996</v>
      </c>
      <c r="AF9" s="28"/>
      <c r="AG9" s="28">
        <f>O9*0.28849/100</f>
        <v>5985.596289800001</v>
      </c>
      <c r="AH9" s="20">
        <f>P9*0.28849/100</f>
        <v>149.63976300000002</v>
      </c>
      <c r="AI9" s="28">
        <f>AG9+AH9</f>
        <v>6135.236052800001</v>
      </c>
      <c r="AJ9" s="28">
        <f>AH$6*$R9</f>
        <v>565.3971265</v>
      </c>
      <c r="AK9" s="28">
        <f>AH$6*$S9</f>
        <v>35.8564221</v>
      </c>
      <c r="AM9" s="28">
        <f>O9*1.21511/100</f>
        <v>25211.126582199995</v>
      </c>
      <c r="AN9" s="28">
        <f>P9*1.21511/100</f>
        <v>630.2775569999999</v>
      </c>
      <c r="AO9" s="13">
        <f>AM9+AN9</f>
        <v>25841.404139199996</v>
      </c>
      <c r="AP9" s="28">
        <f>AN$6*$R9</f>
        <v>2381.4333335</v>
      </c>
      <c r="AQ9" s="28">
        <f>AN$6*$S9</f>
        <v>151.0260219</v>
      </c>
      <c r="AS9" s="28">
        <f>O9*0.51763/100</f>
        <v>10739.7975926</v>
      </c>
      <c r="AT9" s="28">
        <f>P9*0.51763/100</f>
        <v>268.494681</v>
      </c>
      <c r="AU9" s="13">
        <f>AS9+AT9</f>
        <v>11008.2922736</v>
      </c>
      <c r="AV9" s="28">
        <f>AT$6*$R9</f>
        <v>1014.4771555</v>
      </c>
      <c r="AW9" s="28">
        <f>AT$6*$S9</f>
        <v>64.3362327</v>
      </c>
      <c r="AY9" s="38">
        <f>O9*0.1659/100</f>
        <v>3442.096518</v>
      </c>
      <c r="AZ9" s="38">
        <f>P9*0.1659/100</f>
        <v>86.05233</v>
      </c>
      <c r="BA9" s="3">
        <f>AY9+AZ9</f>
        <v>3528.148848</v>
      </c>
      <c r="BB9" s="28">
        <f>AZ$6*$R9</f>
        <v>325.139115</v>
      </c>
      <c r="BC9" s="28">
        <f>AZ$6*$S9</f>
        <v>20.619711000000002</v>
      </c>
      <c r="BD9" s="28"/>
      <c r="BE9" s="28">
        <f>O9*0.05119/100</f>
        <v>1062.0911438</v>
      </c>
      <c r="BF9" s="28">
        <f>P9*0.05119/100</f>
        <v>26.552253</v>
      </c>
      <c r="BG9" s="13">
        <f>BE9+BF9</f>
        <v>1088.6433968000001</v>
      </c>
      <c r="BH9" s="28">
        <f>BF$6*$R9</f>
        <v>100.32472150000001</v>
      </c>
      <c r="BI9" s="28">
        <f>BF$6*$S9</f>
        <v>6.3624051</v>
      </c>
      <c r="BJ9" s="28"/>
      <c r="BK9" s="28">
        <f>O9*1.09472/100</f>
        <v>22713.272454399998</v>
      </c>
      <c r="BL9" s="28">
        <f>P9*1.09472/100</f>
        <v>567.8312639999999</v>
      </c>
      <c r="BM9" s="13">
        <f>BK9+BL9</f>
        <v>23281.103718399998</v>
      </c>
      <c r="BN9" s="28">
        <f>BL$6*$R9</f>
        <v>2145.486992</v>
      </c>
      <c r="BO9" s="28">
        <f>BL$6*$S9</f>
        <v>136.0627488</v>
      </c>
      <c r="BP9" s="28"/>
      <c r="BQ9" s="28">
        <f>O9*0.01911/100</f>
        <v>396.49466219999994</v>
      </c>
      <c r="BR9" s="28">
        <f>P9*0.01911/100</f>
        <v>9.912357</v>
      </c>
      <c r="BS9" s="13">
        <f>BQ9+BR9</f>
        <v>406.4070191999999</v>
      </c>
      <c r="BT9" s="28">
        <f>BR$6*$R9</f>
        <v>37.4527335</v>
      </c>
      <c r="BU9" s="28">
        <f>BR$6*$S9</f>
        <v>2.3751819000000003</v>
      </c>
      <c r="BV9" s="28"/>
      <c r="BW9" s="28">
        <f>O9*4.24642/100</f>
        <v>88104.80708839999</v>
      </c>
      <c r="BX9" s="28">
        <f>P9*4.24642/100</f>
        <v>2202.618054</v>
      </c>
      <c r="BY9" s="13">
        <f>BW9+BX9</f>
        <v>90307.4251424</v>
      </c>
      <c r="BZ9" s="28">
        <f>BX$6*$R9</f>
        <v>8322.346237</v>
      </c>
      <c r="CA9" s="28">
        <f>BX$6*$S9</f>
        <v>527.7875418</v>
      </c>
      <c r="CB9" s="28"/>
      <c r="CC9" s="28">
        <f>O9*0.15092/100</f>
        <v>3131.2911784000003</v>
      </c>
      <c r="CD9" s="28">
        <f>P9*0.15092/100</f>
        <v>78.28220400000001</v>
      </c>
      <c r="CE9" s="13">
        <f>CC9+CD9</f>
        <v>3209.5733824000004</v>
      </c>
      <c r="CF9" s="28">
        <f>CD$6*$R9</f>
        <v>295.78056200000003</v>
      </c>
      <c r="CG9" s="28">
        <f>CD$6*$S9</f>
        <v>18.7578468</v>
      </c>
      <c r="CH9" s="28"/>
      <c r="CI9" s="28">
        <f>O9*4.50865/100</f>
        <v>93545.560373</v>
      </c>
      <c r="CJ9" s="28">
        <f>P9*4.50865/100</f>
        <v>2338.636755</v>
      </c>
      <c r="CK9" s="13">
        <f>CI9+CJ9</f>
        <v>95884.197128</v>
      </c>
      <c r="CL9" s="28">
        <f>CJ$6*$R9</f>
        <v>8836.2777025</v>
      </c>
      <c r="CM9" s="28">
        <f>CJ$6*$S9</f>
        <v>560.3801085</v>
      </c>
      <c r="CN9" s="28"/>
      <c r="CO9" s="28">
        <f>O9*1.34749/100</f>
        <v>27957.7494698</v>
      </c>
      <c r="CP9" s="28">
        <f>P9*1.34749/100</f>
        <v>698.9430630000002</v>
      </c>
      <c r="CQ9" s="13">
        <f>CO9+CP9</f>
        <v>28656.6925328</v>
      </c>
      <c r="CR9" s="28">
        <f>CP$6*$R9</f>
        <v>2640.8782765</v>
      </c>
      <c r="CS9" s="28">
        <f>CP$6*$S9</f>
        <v>167.4795321</v>
      </c>
      <c r="CT9" s="28"/>
      <c r="CU9" s="28">
        <f>O9*0.11948/100</f>
        <v>2478.9734296</v>
      </c>
      <c r="CV9" s="28">
        <f>P9*0.11948/100</f>
        <v>61.974276</v>
      </c>
      <c r="CW9" s="13">
        <f>CU9+CV9</f>
        <v>2540.9477056</v>
      </c>
      <c r="CX9" s="28">
        <f>CV$6*$R9</f>
        <v>234.162878</v>
      </c>
      <c r="CY9" s="28">
        <f>CV$6*$S9</f>
        <v>14.8501692</v>
      </c>
      <c r="CZ9" s="28"/>
      <c r="DA9" s="28">
        <f>O9*0.03698/100</f>
        <v>767.2617796</v>
      </c>
      <c r="DB9" s="28">
        <f>P9*0.03698/100</f>
        <v>19.181525999999998</v>
      </c>
      <c r="DC9" s="13">
        <f>DA9+DB9</f>
        <v>786.4433055999999</v>
      </c>
      <c r="DD9" s="28">
        <f>DB$6*$R9</f>
        <v>72.475253</v>
      </c>
      <c r="DE9" s="28">
        <f>DB$6*$S9</f>
        <v>4.5962442</v>
      </c>
      <c r="DF9" s="28"/>
      <c r="DG9" s="28">
        <f>O9*0.13432/100</f>
        <v>2786.8740463999998</v>
      </c>
      <c r="DH9" s="28">
        <f>P9*0.13432/100</f>
        <v>69.671784</v>
      </c>
      <c r="DI9" s="13">
        <f>DG9+DH9</f>
        <v>2856.5458304</v>
      </c>
      <c r="DJ9" s="28">
        <f>DH$6*$R9</f>
        <v>263.247052</v>
      </c>
      <c r="DK9" s="28">
        <f>DH$6*$S9</f>
        <v>16.694632799999997</v>
      </c>
      <c r="DL9" s="28"/>
      <c r="DM9" s="28">
        <f>O9*0.26052/100</f>
        <v>5405.2741704</v>
      </c>
      <c r="DN9" s="28">
        <f>P9*0.26052/100</f>
        <v>135.131724</v>
      </c>
      <c r="DO9" s="13">
        <f>DM9+DN9</f>
        <v>5540.4058944</v>
      </c>
      <c r="DP9" s="28">
        <f>DN$6*$R9</f>
        <v>510.58012199999996</v>
      </c>
      <c r="DQ9" s="28">
        <f>DN$6*$S9</f>
        <v>32.3800308</v>
      </c>
      <c r="DR9" s="28"/>
      <c r="DS9" s="28">
        <f>O9*17.86295/100</f>
        <v>370620.8438590001</v>
      </c>
      <c r="DT9" s="28">
        <f>P9*17.86295/100</f>
        <v>9265.512165</v>
      </c>
      <c r="DU9" s="13">
        <f>DS9+DT9</f>
        <v>379886.3560240001</v>
      </c>
      <c r="DV9" s="28">
        <f>DT$6*$R9</f>
        <v>35008.7025575</v>
      </c>
      <c r="DW9" s="28">
        <f>DT$6*$S9</f>
        <v>2220.1860555</v>
      </c>
      <c r="DX9" s="28"/>
      <c r="DY9" s="13"/>
      <c r="DZ9" s="13"/>
      <c r="EA9" s="13">
        <f>DY9+DZ9</f>
        <v>0</v>
      </c>
      <c r="EB9" s="13"/>
    </row>
    <row r="10" spans="1:132" s="30" customFormat="1" ht="12.75">
      <c r="A10" s="29">
        <v>45200</v>
      </c>
      <c r="C10" s="14"/>
      <c r="D10" s="14"/>
      <c r="E10" s="14"/>
      <c r="F10" s="14"/>
      <c r="G10" s="14"/>
      <c r="H10" s="28"/>
      <c r="I10" s="20"/>
      <c r="J10" s="20"/>
      <c r="K10" s="14"/>
      <c r="L10" s="14"/>
      <c r="M10" s="14"/>
      <c r="N10" s="28"/>
      <c r="O10" s="20"/>
      <c r="P10" s="20"/>
      <c r="Q10" s="14"/>
      <c r="R10" s="14"/>
      <c r="S10" s="14"/>
      <c r="T10" s="28"/>
      <c r="U10" s="28">
        <f>'2010C-2021Academic'!I10+'2010C-2021Academic'!O10+'2010C-2021Academic'!U10+'2010C-2021Academic'!AA10+'2010C-2021Academic'!AG10+'2010C-2021Academic'!AM10+'2010C-2021Academic'!AS10+'2010C-2021Academic'!AY10+'2010C-2021Academic'!BE10+'2010C-2021Academic'!BK10+'2010C-2021Academic'!BQ10+'2010C-2021Academic'!BW10+'2010C-2021Academic'!CC10+'2010C-2021Academic'!CI10+'2010C-2021Academic'!CO10+'2010C-2021Academic'!CU10+'2010C-2021Academic'!DA10+'2010C-2021Academic'!DG10+'2010C-2021Academic'!DM10+'2010C-2021Academic'!DS10+'2010C-2021Academic'!DY10+'2010C-2021Academic'!EE10+'2010C-2021Academic'!EK10+'2010C-2021Academic'!EQ10+'2010C-2021Academic'!EW10+'2010C-2021Academic'!FC10+'2010C-2021Academic'!FI10+'2010C-2021Academic'!FO10</f>
        <v>0</v>
      </c>
      <c r="V10" s="28">
        <f>'2010C-2021Academic'!J10+'2010C-2021Academic'!P10+'2010C-2021Academic'!V10+'2010C-2021Academic'!AB10+'2010C-2021Academic'!AH10+'2010C-2021Academic'!AN10+'2010C-2021Academic'!AT10+'2010C-2021Academic'!AZ10+'2010C-2021Academic'!BF10+'2010C-2021Academic'!BL10+'2010C-2021Academic'!BR10+'2010C-2021Academic'!BX10+'2010C-2021Academic'!CD10+'2010C-2021Academic'!CJ10+'2010C-2021Academic'!CP10+'2010C-2021Academic'!CV10+'2010C-2021Academic'!DB10+'2010C-2021Academic'!DH10+'2010C-2021Academic'!DN10+'2010C-2021Academic'!DT10+'2010C-2021Academic'!DZ10+'2010C-2021Academic'!EF10+'2010C-2021Academic'!EL10+'2010C-2021Academic'!ER10+'2010C-2021Academic'!EX10+'2010C-2021Academic'!FD10+'2010C-2021Academic'!FJ10+'2010C-2021Academic'!FP10</f>
        <v>0</v>
      </c>
      <c r="W10" s="28">
        <f>U10+V10</f>
        <v>0</v>
      </c>
      <c r="X10" s="28">
        <f>'2010C-2021Academic'!L10+'2010C-2021Academic'!R10+'2010C-2021Academic'!X10+'2010C-2021Academic'!AD10+'2010C-2021Academic'!AJ10+'2010C-2021Academic'!AP10+'2010C-2021Academic'!AV10+'2010C-2021Academic'!BB10+'2010C-2021Academic'!BH10+'2010C-2021Academic'!BN10+'2010C-2021Academic'!BT10+'2010C-2021Academic'!BZ10+'2010C-2021Academic'!CF10+'2010C-2021Academic'!CL10+'2010C-2021Academic'!CR10+'2010C-2021Academic'!CX10+'2010C-2021Academic'!DD10+'2010C-2021Academic'!DJ10+'2010C-2021Academic'!DP10+'2010C-2021Academic'!DV10+'2010C-2021Academic'!EB10+'2010C-2021Academic'!EH10+'2010C-2021Academic'!EN10+'2010C-2021Academic'!ET10+'2010C-2021Academic'!EZ10+'2010C-2021Academic'!FF10+'2010C-2021Academic'!FL10+'2010C-2021Academic'!FR10</f>
        <v>0</v>
      </c>
      <c r="Y10" s="28">
        <f>'2010C-2021Academic'!M10+'2010C-2021Academic'!S10+'2010C-2021Academic'!Y10+'2010C-2021Academic'!AE10+'2010C-2021Academic'!AK10+'2010C-2021Academic'!AQ10+'2010C-2021Academic'!AW10+'2010C-2021Academic'!BC10+'2010C-2021Academic'!BI10+'2010C-2021Academic'!BO10+'2010C-2021Academic'!BU10+'2010C-2021Academic'!CA10+'2010C-2021Academic'!CG10+'2010C-2021Academic'!CM10+'2010C-2021Academic'!CS10+'2010C-2021Academic'!CY10+'2010C-2021Academic'!DE10+'2010C-2021Academic'!DK10+'2010C-2021Academic'!DQ10+'2010C-2021Academic'!DW10+'2010C-2021Academic'!EC10+'2010C-2021Academic'!EI10+'2010C-2021Academic'!EO10+'2010C-2021Academic'!EU10+'2010C-2021Academic'!FA10+'2010C-2021Academic'!FG10+'2010C-2021Academic'!FM10+'2010C-2021Academic'!FS10</f>
        <v>0</v>
      </c>
      <c r="Z10" s="28"/>
      <c r="AA10" s="13"/>
      <c r="AB10" s="20">
        <f>AH10+AN10+AT10+AZ10+BF10+BL10+BR10+BX10+CD10+CJ10+CP10+CV10+DB10+DH10+DN10+DT10+DZ10</f>
        <v>0</v>
      </c>
      <c r="AC10" s="13">
        <f>AA10+AB10</f>
        <v>0</v>
      </c>
      <c r="AD10" s="13">
        <f t="shared" si="0"/>
        <v>0</v>
      </c>
      <c r="AE10" s="20">
        <f t="shared" si="0"/>
        <v>0</v>
      </c>
      <c r="AF10" s="28"/>
      <c r="AG10" s="28"/>
      <c r="AH10" s="20">
        <f>P10*0.28849/100</f>
        <v>0</v>
      </c>
      <c r="AI10" s="28">
        <f>AG10+AH10</f>
        <v>0</v>
      </c>
      <c r="AJ10" s="28">
        <f>AH$6*$R10</f>
        <v>0</v>
      </c>
      <c r="AK10" s="28">
        <f>AH$6*$S10</f>
        <v>0</v>
      </c>
      <c r="AM10" s="28"/>
      <c r="AN10" s="28">
        <f>P10*1.21511/100</f>
        <v>0</v>
      </c>
      <c r="AO10" s="13">
        <f>AM10+AN10</f>
        <v>0</v>
      </c>
      <c r="AP10" s="28">
        <f>AN$6*$R10</f>
        <v>0</v>
      </c>
      <c r="AQ10" s="28">
        <f>AN$6*$S10</f>
        <v>0</v>
      </c>
      <c r="AS10" s="28"/>
      <c r="AT10" s="28">
        <f>P10*0.51763/100</f>
        <v>0</v>
      </c>
      <c r="AU10" s="13">
        <f>AS10+AT10</f>
        <v>0</v>
      </c>
      <c r="AV10" s="28">
        <f>AT$6*$R10</f>
        <v>0</v>
      </c>
      <c r="AW10" s="28">
        <f>AT$6*$S10</f>
        <v>0</v>
      </c>
      <c r="AY10" s="38"/>
      <c r="AZ10" s="38">
        <f>P10*0.1659/100</f>
        <v>0</v>
      </c>
      <c r="BA10" s="3">
        <f>AY10+AZ10</f>
        <v>0</v>
      </c>
      <c r="BB10" s="28">
        <f>AZ$6*$R10</f>
        <v>0</v>
      </c>
      <c r="BC10" s="28">
        <f>AZ$6*$S10</f>
        <v>0</v>
      </c>
      <c r="BD10" s="28"/>
      <c r="BE10" s="28"/>
      <c r="BF10" s="28">
        <f>P10*0.05119/100</f>
        <v>0</v>
      </c>
      <c r="BG10" s="13">
        <f>BE10+BF10</f>
        <v>0</v>
      </c>
      <c r="BH10" s="28">
        <f>BF$6*$R10</f>
        <v>0</v>
      </c>
      <c r="BI10" s="28">
        <f>BF$6*$S10</f>
        <v>0</v>
      </c>
      <c r="BJ10" s="28"/>
      <c r="BK10" s="28"/>
      <c r="BL10" s="28">
        <f>P10*1.09472/100</f>
        <v>0</v>
      </c>
      <c r="BM10" s="13">
        <f>BK10+BL10</f>
        <v>0</v>
      </c>
      <c r="BN10" s="28">
        <f>BL$6*$R10</f>
        <v>0</v>
      </c>
      <c r="BO10" s="28">
        <f>BL$6*$S10</f>
        <v>0</v>
      </c>
      <c r="BP10" s="28"/>
      <c r="BQ10" s="28"/>
      <c r="BR10" s="28">
        <f>P10*0.01911/100</f>
        <v>0</v>
      </c>
      <c r="BS10" s="13">
        <f>BQ10+BR10</f>
        <v>0</v>
      </c>
      <c r="BT10" s="28">
        <f>BR$6*$R10</f>
        <v>0</v>
      </c>
      <c r="BU10" s="28">
        <f>BR$6*$S10</f>
        <v>0</v>
      </c>
      <c r="BV10" s="28"/>
      <c r="BW10" s="28"/>
      <c r="BX10" s="28">
        <f>P10*4.24642/100</f>
        <v>0</v>
      </c>
      <c r="BY10" s="13">
        <f>BW10+BX10</f>
        <v>0</v>
      </c>
      <c r="BZ10" s="28">
        <f>BX$6*$R10</f>
        <v>0</v>
      </c>
      <c r="CA10" s="28">
        <f>BX$6*$S10</f>
        <v>0</v>
      </c>
      <c r="CB10" s="28"/>
      <c r="CC10" s="28"/>
      <c r="CD10" s="28">
        <f>P10*0.15092/100</f>
        <v>0</v>
      </c>
      <c r="CE10" s="13">
        <f>CC10+CD10</f>
        <v>0</v>
      </c>
      <c r="CF10" s="28">
        <f>CD$6*$R10</f>
        <v>0</v>
      </c>
      <c r="CG10" s="28">
        <f>CD$6*$S10</f>
        <v>0</v>
      </c>
      <c r="CH10" s="28"/>
      <c r="CI10" s="28"/>
      <c r="CJ10" s="28">
        <f>P10*4.50865/100</f>
        <v>0</v>
      </c>
      <c r="CK10" s="13">
        <f>CI10+CJ10</f>
        <v>0</v>
      </c>
      <c r="CL10" s="28">
        <f>CJ$6*$R10</f>
        <v>0</v>
      </c>
      <c r="CM10" s="28">
        <f>CJ$6*$S10</f>
        <v>0</v>
      </c>
      <c r="CN10" s="28"/>
      <c r="CO10" s="28"/>
      <c r="CP10" s="28">
        <f>P10*1.34749/100</f>
        <v>0</v>
      </c>
      <c r="CQ10" s="13">
        <f>CO10+CP10</f>
        <v>0</v>
      </c>
      <c r="CR10" s="28">
        <f>CP$6*$R10</f>
        <v>0</v>
      </c>
      <c r="CS10" s="28">
        <f>CP$6*$S10</f>
        <v>0</v>
      </c>
      <c r="CT10" s="28"/>
      <c r="CU10" s="28"/>
      <c r="CV10" s="28">
        <f>P10*0.11948/100</f>
        <v>0</v>
      </c>
      <c r="CW10" s="13">
        <f>CU10+CV10</f>
        <v>0</v>
      </c>
      <c r="CX10" s="28">
        <f>CV$6*$R10</f>
        <v>0</v>
      </c>
      <c r="CY10" s="28">
        <f>CV$6*$S10</f>
        <v>0</v>
      </c>
      <c r="CZ10" s="28"/>
      <c r="DA10" s="28"/>
      <c r="DB10" s="28">
        <f>P10*0.03698/100</f>
        <v>0</v>
      </c>
      <c r="DC10" s="13">
        <f>DA10+DB10</f>
        <v>0</v>
      </c>
      <c r="DD10" s="28">
        <f>DB$6*$R10</f>
        <v>0</v>
      </c>
      <c r="DE10" s="28">
        <f>DB$6*$S10</f>
        <v>0</v>
      </c>
      <c r="DF10" s="28"/>
      <c r="DG10" s="28"/>
      <c r="DH10" s="28">
        <f>P10*0.13432/100</f>
        <v>0</v>
      </c>
      <c r="DI10" s="13">
        <f>DG10+DH10</f>
        <v>0</v>
      </c>
      <c r="DJ10" s="28">
        <f>DH$6*$R10</f>
        <v>0</v>
      </c>
      <c r="DK10" s="28">
        <f>DH$6*$S10</f>
        <v>0</v>
      </c>
      <c r="DL10" s="28"/>
      <c r="DM10" s="28"/>
      <c r="DN10" s="28">
        <f>P10*0.26052/100</f>
        <v>0</v>
      </c>
      <c r="DO10" s="13">
        <f>DM10+DN10</f>
        <v>0</v>
      </c>
      <c r="DP10" s="28">
        <f>DN$6*$R10</f>
        <v>0</v>
      </c>
      <c r="DQ10" s="28">
        <f>DN$6*$S10</f>
        <v>0</v>
      </c>
      <c r="DR10" s="28"/>
      <c r="DS10" s="28"/>
      <c r="DT10" s="28">
        <f>P10*17.86295/100</f>
        <v>0</v>
      </c>
      <c r="DU10" s="13">
        <f>DS10+DT10</f>
        <v>0</v>
      </c>
      <c r="DV10" s="28">
        <f>DT$6*$R10</f>
        <v>0</v>
      </c>
      <c r="DW10" s="28">
        <f>DT$6*$S10</f>
        <v>0</v>
      </c>
      <c r="DX10" s="28"/>
      <c r="DY10" s="13"/>
      <c r="DZ10" s="13"/>
      <c r="EA10" s="13">
        <f>DY10+DZ10</f>
        <v>0</v>
      </c>
      <c r="EB10" s="13"/>
    </row>
    <row r="11" spans="1:132" s="30" customFormat="1" ht="12.75">
      <c r="A11" s="29">
        <v>45383</v>
      </c>
      <c r="C11" s="14"/>
      <c r="D11" s="14"/>
      <c r="E11" s="14"/>
      <c r="F11" s="14"/>
      <c r="G11" s="14"/>
      <c r="H11" s="28"/>
      <c r="I11" s="20"/>
      <c r="J11" s="20"/>
      <c r="K11" s="14"/>
      <c r="L11" s="14"/>
      <c r="M11" s="14"/>
      <c r="N11" s="28"/>
      <c r="O11" s="20"/>
      <c r="P11" s="20"/>
      <c r="Q11" s="14"/>
      <c r="R11" s="14"/>
      <c r="S11" s="14"/>
      <c r="T11" s="28"/>
      <c r="U11" s="28">
        <f>'2010C-2021Academic'!I11+'2010C-2021Academic'!O11+'2010C-2021Academic'!U11+'2010C-2021Academic'!AA11+'2010C-2021Academic'!AG11+'2010C-2021Academic'!AM11+'2010C-2021Academic'!AS11+'2010C-2021Academic'!AY11+'2010C-2021Academic'!BE11+'2010C-2021Academic'!BK11+'2010C-2021Academic'!BQ11+'2010C-2021Academic'!BW11+'2010C-2021Academic'!CC11+'2010C-2021Academic'!CI11+'2010C-2021Academic'!CO11+'2010C-2021Academic'!CU11+'2010C-2021Academic'!DA11+'2010C-2021Academic'!DG11+'2010C-2021Academic'!DM11+'2010C-2021Academic'!DS11+'2010C-2021Academic'!DY11+'2010C-2021Academic'!EE11+'2010C-2021Academic'!EK11+'2010C-2021Academic'!EQ11+'2010C-2021Academic'!EW11+'2010C-2021Academic'!FC11+'2010C-2021Academic'!FI11+'2010C-2021Academic'!FO11</f>
        <v>0</v>
      </c>
      <c r="V11" s="28">
        <f>'2010C-2021Academic'!J11+'2010C-2021Academic'!P11+'2010C-2021Academic'!V11+'2010C-2021Academic'!AB11+'2010C-2021Academic'!AH11+'2010C-2021Academic'!AN11+'2010C-2021Academic'!AT11+'2010C-2021Academic'!AZ11+'2010C-2021Academic'!BF11+'2010C-2021Academic'!BL11+'2010C-2021Academic'!BR11+'2010C-2021Academic'!BX11+'2010C-2021Academic'!CD11+'2010C-2021Academic'!CJ11+'2010C-2021Academic'!CP11+'2010C-2021Academic'!CV11+'2010C-2021Academic'!DB11+'2010C-2021Academic'!DH11+'2010C-2021Academic'!DN11+'2010C-2021Academic'!DT11+'2010C-2021Academic'!DZ11+'2010C-2021Academic'!EF11+'2010C-2021Academic'!EL11+'2010C-2021Academic'!ER11+'2010C-2021Academic'!EX11+'2010C-2021Academic'!FD11+'2010C-2021Academic'!FJ11+'2010C-2021Academic'!FP11</f>
        <v>0</v>
      </c>
      <c r="W11" s="28">
        <f>U11+V11</f>
        <v>0</v>
      </c>
      <c r="X11" s="28">
        <f>'2010C-2021Academic'!L11+'2010C-2021Academic'!R11+'2010C-2021Academic'!X11+'2010C-2021Academic'!AD11+'2010C-2021Academic'!AJ11+'2010C-2021Academic'!AP11+'2010C-2021Academic'!AV11+'2010C-2021Academic'!BB11+'2010C-2021Academic'!BH11+'2010C-2021Academic'!BN11+'2010C-2021Academic'!BT11+'2010C-2021Academic'!BZ11+'2010C-2021Academic'!CF11+'2010C-2021Academic'!CL11+'2010C-2021Academic'!CR11+'2010C-2021Academic'!CX11+'2010C-2021Academic'!DD11+'2010C-2021Academic'!DJ11+'2010C-2021Academic'!DP11+'2010C-2021Academic'!DV11+'2010C-2021Academic'!EB11+'2010C-2021Academic'!EH11+'2010C-2021Academic'!EN11+'2010C-2021Academic'!ET11+'2010C-2021Academic'!EZ11+'2010C-2021Academic'!FF11+'2010C-2021Academic'!FL11+'2010C-2021Academic'!FR11</f>
        <v>0</v>
      </c>
      <c r="Y11" s="28">
        <f>'2010C-2021Academic'!M11+'2010C-2021Academic'!S11+'2010C-2021Academic'!Y11+'2010C-2021Academic'!AE11+'2010C-2021Academic'!AK11+'2010C-2021Academic'!AQ11+'2010C-2021Academic'!AW11+'2010C-2021Academic'!BC11+'2010C-2021Academic'!BI11+'2010C-2021Academic'!BO11+'2010C-2021Academic'!BU11+'2010C-2021Academic'!CA11+'2010C-2021Academic'!CG11+'2010C-2021Academic'!CM11+'2010C-2021Academic'!CS11+'2010C-2021Academic'!CY11+'2010C-2021Academic'!DE11+'2010C-2021Academic'!DK11+'2010C-2021Academic'!DQ11+'2010C-2021Academic'!DW11+'2010C-2021Academic'!EC11+'2010C-2021Academic'!EI11+'2010C-2021Academic'!EO11+'2010C-2021Academic'!EU11+'2010C-2021Academic'!FA11+'2010C-2021Academic'!FG11+'2010C-2021Academic'!FM11+'2010C-2021Academic'!FS11</f>
        <v>0</v>
      </c>
      <c r="Z11" s="28"/>
      <c r="AA11" s="13">
        <f>AG11+AM11+AS11+AY11+BE11+BK11+BQ11+BW11+CC11+CI11+CO11+CU11+DA11+DG11+DM11+DS11+DY11</f>
        <v>0</v>
      </c>
      <c r="AB11" s="20">
        <f>AH11+AN11+AT11+AZ11+BF11+BL11+BR11+BX11+CD11+CJ11+CP11+CV11+DB11+DH11+DN11+DT11+DZ11</f>
        <v>0</v>
      </c>
      <c r="AC11" s="13">
        <f>AA11+AB11</f>
        <v>0</v>
      </c>
      <c r="AD11" s="13">
        <f t="shared" si="0"/>
        <v>0</v>
      </c>
      <c r="AE11" s="20">
        <f t="shared" si="0"/>
        <v>0</v>
      </c>
      <c r="AF11" s="28"/>
      <c r="AG11" s="28">
        <f>O11*0.28849/100</f>
        <v>0</v>
      </c>
      <c r="AH11" s="20">
        <f>P11*0.28849/100</f>
        <v>0</v>
      </c>
      <c r="AI11" s="28">
        <f>AG11+AH11</f>
        <v>0</v>
      </c>
      <c r="AJ11" s="28">
        <f>AH$6*$R11</f>
        <v>0</v>
      </c>
      <c r="AK11" s="28">
        <f>AH$6*$S11</f>
        <v>0</v>
      </c>
      <c r="AM11" s="28">
        <f>O11*1.21511/100</f>
        <v>0</v>
      </c>
      <c r="AN11" s="28">
        <f>P11*1.21511/100</f>
        <v>0</v>
      </c>
      <c r="AO11" s="13">
        <f>AM11+AN11</f>
        <v>0</v>
      </c>
      <c r="AP11" s="28">
        <f>AN$6*$R11</f>
        <v>0</v>
      </c>
      <c r="AQ11" s="28">
        <f>AN$6*$S11</f>
        <v>0</v>
      </c>
      <c r="AS11" s="28">
        <f>O11*0.51763/100</f>
        <v>0</v>
      </c>
      <c r="AT11" s="28">
        <f>P11*0.51763/100</f>
        <v>0</v>
      </c>
      <c r="AU11" s="13">
        <f>AS11+AT11</f>
        <v>0</v>
      </c>
      <c r="AV11" s="28">
        <f>AT$6*$R11</f>
        <v>0</v>
      </c>
      <c r="AW11" s="28">
        <f>AT$6*$S11</f>
        <v>0</v>
      </c>
      <c r="AY11" s="38">
        <f>O11*0.1659/100</f>
        <v>0</v>
      </c>
      <c r="AZ11" s="38">
        <f>P11*0.1659/100</f>
        <v>0</v>
      </c>
      <c r="BA11" s="3">
        <f>AY11+AZ11</f>
        <v>0</v>
      </c>
      <c r="BB11" s="28">
        <f>AZ$6*$R11</f>
        <v>0</v>
      </c>
      <c r="BC11" s="28">
        <f>AZ$6*$S11</f>
        <v>0</v>
      </c>
      <c r="BD11" s="28"/>
      <c r="BE11" s="28">
        <f>O11*0.05119/100</f>
        <v>0</v>
      </c>
      <c r="BF11" s="28">
        <f>P11*0.05119/100</f>
        <v>0</v>
      </c>
      <c r="BG11" s="13">
        <f>BE11+BF11</f>
        <v>0</v>
      </c>
      <c r="BH11" s="28">
        <f>BF$6*$R11</f>
        <v>0</v>
      </c>
      <c r="BI11" s="28">
        <f>BF$6*$S11</f>
        <v>0</v>
      </c>
      <c r="BJ11" s="28"/>
      <c r="BK11" s="28">
        <f>O11*1.09472/100</f>
        <v>0</v>
      </c>
      <c r="BL11" s="28">
        <f>P11*1.09472/100</f>
        <v>0</v>
      </c>
      <c r="BM11" s="13">
        <f>BK11+BL11</f>
        <v>0</v>
      </c>
      <c r="BN11" s="28">
        <f>BL$6*$R11</f>
        <v>0</v>
      </c>
      <c r="BO11" s="28">
        <f>BL$6*$S11</f>
        <v>0</v>
      </c>
      <c r="BP11" s="28"/>
      <c r="BQ11" s="28">
        <f>O11*0.01911/100</f>
        <v>0</v>
      </c>
      <c r="BR11" s="28">
        <f>P11*0.01911/100</f>
        <v>0</v>
      </c>
      <c r="BS11" s="13">
        <f>BQ11+BR11</f>
        <v>0</v>
      </c>
      <c r="BT11" s="28">
        <f>BR$6*$R11</f>
        <v>0</v>
      </c>
      <c r="BU11" s="28">
        <f>BR$6*$S11</f>
        <v>0</v>
      </c>
      <c r="BV11" s="28"/>
      <c r="BW11" s="28">
        <f>O11*4.24642/100</f>
        <v>0</v>
      </c>
      <c r="BX11" s="28">
        <f>P11*4.24642/100</f>
        <v>0</v>
      </c>
      <c r="BY11" s="13">
        <f>BW11+BX11</f>
        <v>0</v>
      </c>
      <c r="BZ11" s="28">
        <f>BX$6*$R11</f>
        <v>0</v>
      </c>
      <c r="CA11" s="28">
        <f>BX$6*$S11</f>
        <v>0</v>
      </c>
      <c r="CB11" s="28"/>
      <c r="CC11" s="28">
        <f>O11*0.15092/100</f>
        <v>0</v>
      </c>
      <c r="CD11" s="28">
        <f>P11*0.15092/100</f>
        <v>0</v>
      </c>
      <c r="CE11" s="13">
        <f>CC11+CD11</f>
        <v>0</v>
      </c>
      <c r="CF11" s="28">
        <f>CD$6*$R11</f>
        <v>0</v>
      </c>
      <c r="CG11" s="28">
        <f>CD$6*$S11</f>
        <v>0</v>
      </c>
      <c r="CH11" s="28"/>
      <c r="CI11" s="28">
        <f>O11*4.50865/100</f>
        <v>0</v>
      </c>
      <c r="CJ11" s="28">
        <f>P11*4.50865/100</f>
        <v>0</v>
      </c>
      <c r="CK11" s="13">
        <f>CI11+CJ11</f>
        <v>0</v>
      </c>
      <c r="CL11" s="28">
        <f>CJ$6*$R11</f>
        <v>0</v>
      </c>
      <c r="CM11" s="28">
        <f>CJ$6*$S11</f>
        <v>0</v>
      </c>
      <c r="CN11" s="28"/>
      <c r="CO11" s="28">
        <f>O11*1.34749/100</f>
        <v>0</v>
      </c>
      <c r="CP11" s="28">
        <f>P11*1.34749/100</f>
        <v>0</v>
      </c>
      <c r="CQ11" s="13">
        <f>CO11+CP11</f>
        <v>0</v>
      </c>
      <c r="CR11" s="28">
        <f>CP$6*$R11</f>
        <v>0</v>
      </c>
      <c r="CS11" s="28">
        <f>CP$6*$S11</f>
        <v>0</v>
      </c>
      <c r="CT11" s="28"/>
      <c r="CU11" s="28">
        <f>O11*0.11948/100</f>
        <v>0</v>
      </c>
      <c r="CV11" s="28">
        <f>P11*0.11948/100</f>
        <v>0</v>
      </c>
      <c r="CW11" s="13">
        <f>CU11+CV11</f>
        <v>0</v>
      </c>
      <c r="CX11" s="28">
        <f>CV$6*$R11</f>
        <v>0</v>
      </c>
      <c r="CY11" s="28">
        <f>CV$6*$S11</f>
        <v>0</v>
      </c>
      <c r="CZ11" s="28"/>
      <c r="DA11" s="28">
        <f>O11*0.03698/100</f>
        <v>0</v>
      </c>
      <c r="DB11" s="28">
        <f>P11*0.03698/100</f>
        <v>0</v>
      </c>
      <c r="DC11" s="13">
        <f>DA11+DB11</f>
        <v>0</v>
      </c>
      <c r="DD11" s="28">
        <f>DB$6*$R11</f>
        <v>0</v>
      </c>
      <c r="DE11" s="28">
        <f>DB$6*$S11</f>
        <v>0</v>
      </c>
      <c r="DF11" s="28"/>
      <c r="DG11" s="28">
        <f>O11*0.13432/100</f>
        <v>0</v>
      </c>
      <c r="DH11" s="28">
        <f>P11*0.13432/100</f>
        <v>0</v>
      </c>
      <c r="DI11" s="13">
        <f>DG11+DH11</f>
        <v>0</v>
      </c>
      <c r="DJ11" s="28">
        <f>DH$6*$R11</f>
        <v>0</v>
      </c>
      <c r="DK11" s="28">
        <f>DH$6*$S11</f>
        <v>0</v>
      </c>
      <c r="DL11" s="28"/>
      <c r="DM11" s="28">
        <f>O11*0.26052/100</f>
        <v>0</v>
      </c>
      <c r="DN11" s="28">
        <f>P11*0.26052/100</f>
        <v>0</v>
      </c>
      <c r="DO11" s="13">
        <f>DM11+DN11</f>
        <v>0</v>
      </c>
      <c r="DP11" s="28">
        <f>DN$6*$R11</f>
        <v>0</v>
      </c>
      <c r="DQ11" s="28">
        <f>DN$6*$S11</f>
        <v>0</v>
      </c>
      <c r="DR11" s="28"/>
      <c r="DS11" s="28">
        <f>O11*17.86295/100</f>
        <v>0</v>
      </c>
      <c r="DT11" s="28">
        <f>P11*17.86295/100</f>
        <v>0</v>
      </c>
      <c r="DU11" s="13">
        <f>DS11+DT11</f>
        <v>0</v>
      </c>
      <c r="DV11" s="28">
        <f>DT$6*$R11</f>
        <v>0</v>
      </c>
      <c r="DW11" s="28">
        <f>DT$6*$S11</f>
        <v>0</v>
      </c>
      <c r="DX11" s="28"/>
      <c r="DY11" s="13"/>
      <c r="DZ11" s="13"/>
      <c r="EA11" s="13">
        <f>DY11+DZ11</f>
        <v>0</v>
      </c>
      <c r="EB11" s="13"/>
    </row>
    <row r="12" spans="3:132" ht="12.75">
      <c r="C12" s="20"/>
      <c r="D12" s="20"/>
      <c r="E12" s="20"/>
      <c r="F12" s="20"/>
      <c r="G12" s="20"/>
      <c r="I12" s="20"/>
      <c r="J12" s="20"/>
      <c r="K12" s="20"/>
      <c r="L12" s="20"/>
      <c r="M12" s="20"/>
      <c r="O12" s="20"/>
      <c r="P12" s="20"/>
      <c r="Q12" s="20"/>
      <c r="R12" s="20"/>
      <c r="S12" s="20"/>
      <c r="V12" s="28"/>
      <c r="AE12" s="13"/>
      <c r="AK12" s="13"/>
      <c r="AM12" s="13"/>
      <c r="AN12" s="13"/>
      <c r="AQ12" s="13"/>
      <c r="AS12" s="13"/>
      <c r="AT12" s="13"/>
      <c r="AU12" s="13"/>
      <c r="AW12" s="13"/>
      <c r="AY12" s="3"/>
      <c r="AZ12" s="3"/>
      <c r="BA12" s="3"/>
      <c r="BC12" s="13"/>
      <c r="BD12" s="13"/>
      <c r="BE12" s="13"/>
      <c r="BF12" s="13"/>
      <c r="BG12" s="13"/>
      <c r="BH12"/>
      <c r="BI12" s="13"/>
      <c r="BJ12" s="13"/>
      <c r="BK12" s="13"/>
      <c r="BL12" s="13"/>
      <c r="BM12" s="13"/>
      <c r="BN12"/>
      <c r="BO12" s="13"/>
      <c r="BP12" s="13"/>
      <c r="BQ12" s="13"/>
      <c r="BR12" s="13"/>
      <c r="BS12" s="13"/>
      <c r="BT12"/>
      <c r="BU12" s="13"/>
      <c r="BV12" s="13"/>
      <c r="BW12" s="13"/>
      <c r="BX12" s="13"/>
      <c r="BY12" s="13"/>
      <c r="BZ12"/>
      <c r="CA12" s="13"/>
      <c r="CB12" s="13"/>
      <c r="CC12" s="13"/>
      <c r="CD12" s="13"/>
      <c r="CE12" s="13"/>
      <c r="CF12"/>
      <c r="CG12" s="13"/>
      <c r="CH12" s="13"/>
      <c r="CI12" s="13"/>
      <c r="CJ12" s="13"/>
      <c r="CK12" s="13"/>
      <c r="CL12"/>
      <c r="CM12" s="13"/>
      <c r="CN12" s="13"/>
      <c r="CO12" s="13"/>
      <c r="CP12" s="13"/>
      <c r="CQ12" s="13"/>
      <c r="CR12"/>
      <c r="CS12" s="13"/>
      <c r="CT12" s="13"/>
      <c r="CU12" s="13"/>
      <c r="CV12" s="13"/>
      <c r="CW12" s="13"/>
      <c r="CX12"/>
      <c r="CY12" s="13"/>
      <c r="CZ12" s="13"/>
      <c r="DA12" s="13"/>
      <c r="DB12" s="13"/>
      <c r="DC12" s="13"/>
      <c r="DD12"/>
      <c r="DE12" s="13"/>
      <c r="DF12" s="13"/>
      <c r="DG12" s="13"/>
      <c r="DH12" s="13"/>
      <c r="DI12" s="13"/>
      <c r="DJ12"/>
      <c r="DK12" s="13"/>
      <c r="DL12" s="13"/>
      <c r="DM12" s="13"/>
      <c r="DN12" s="13"/>
      <c r="DO12" s="13"/>
      <c r="DP12"/>
      <c r="DQ12" s="13"/>
      <c r="DR12" s="13"/>
      <c r="DS12" s="13"/>
      <c r="DT12" s="13"/>
      <c r="DU12" s="13"/>
      <c r="DV12"/>
      <c r="DW12" s="13"/>
      <c r="DX12" s="13"/>
      <c r="DY12" s="13"/>
      <c r="DZ12" s="13"/>
      <c r="EA12" s="13"/>
      <c r="EB12" s="13"/>
    </row>
    <row r="13" spans="1:132" ht="13.5" thickBot="1">
      <c r="A13" s="11" t="s">
        <v>0</v>
      </c>
      <c r="C13" s="27">
        <f>SUM(C8:C12)</f>
        <v>2120000</v>
      </c>
      <c r="D13" s="27">
        <f>SUM(D8:D12)</f>
        <v>106000</v>
      </c>
      <c r="E13" s="27">
        <f>SUM(E8:E12)</f>
        <v>2226000</v>
      </c>
      <c r="F13" s="27">
        <f>SUM(F8:F12)</f>
        <v>401008</v>
      </c>
      <c r="G13" s="27">
        <f>SUM(G8:G12)</f>
        <v>17514</v>
      </c>
      <c r="I13" s="27">
        <f>SUM(I8:I12)</f>
        <v>45198</v>
      </c>
      <c r="J13" s="27">
        <f>SUM(J8:J12)</f>
        <v>2260</v>
      </c>
      <c r="K13" s="27">
        <f>SUM(K8:K12)</f>
        <v>47458</v>
      </c>
      <c r="L13" s="27">
        <f>SUM(L8:L12)</f>
        <v>9038</v>
      </c>
      <c r="M13" s="59">
        <f>SUM(M8:M12)</f>
        <v>-7344</v>
      </c>
      <c r="O13" s="27">
        <f>SUM(O8:O12)</f>
        <v>2074802</v>
      </c>
      <c r="P13" s="27">
        <f>SUM(P8:P12)</f>
        <v>103740</v>
      </c>
      <c r="Q13" s="27">
        <f>SUM(Q8:Q12)</f>
        <v>2178542</v>
      </c>
      <c r="R13" s="27">
        <f>SUM(R8:R12)</f>
        <v>391970</v>
      </c>
      <c r="S13" s="27">
        <f>SUM(S8:S12)</f>
        <v>24858</v>
      </c>
      <c r="U13" s="27">
        <f>SUM(U8:U12)</f>
        <v>1410452.8893624</v>
      </c>
      <c r="V13" s="27">
        <f>SUM(V8:V12)</f>
        <v>70522.576488</v>
      </c>
      <c r="W13" s="27">
        <f>SUM(W8:W12)</f>
        <v>1480975.4658503998</v>
      </c>
      <c r="X13" s="27">
        <f>SUM(X8:X12)</f>
        <v>266461.676364</v>
      </c>
      <c r="Y13" s="27">
        <f>SUM(Y8:Y12)</f>
        <v>16898.4982296</v>
      </c>
      <c r="AA13" s="27">
        <f>SUM(AA8:AA12)</f>
        <v>664349.1106376001</v>
      </c>
      <c r="AB13" s="27">
        <f>SUM(AB8:AB12)</f>
        <v>33217.423512</v>
      </c>
      <c r="AC13" s="27">
        <f>SUM(AC8:AC12)</f>
        <v>697566.5341496</v>
      </c>
      <c r="AD13" s="27">
        <f>SUM(AD8:AD12)</f>
        <v>125508.32363599999</v>
      </c>
      <c r="AE13" s="27">
        <f>SUM(AE8:AE12)</f>
        <v>7959.501770399999</v>
      </c>
      <c r="AG13" s="27">
        <f>SUM(AG8:AG12)</f>
        <v>5985.596289800001</v>
      </c>
      <c r="AH13" s="27">
        <f>SUM(AH8:AH12)</f>
        <v>299.27952600000003</v>
      </c>
      <c r="AI13" s="27">
        <f>SUM(AI8:AI12)</f>
        <v>6284.875815800001</v>
      </c>
      <c r="AJ13" s="27">
        <f>SUM(AJ8:AJ12)</f>
        <v>1130.794253</v>
      </c>
      <c r="AK13" s="27">
        <f>SUM(AK8:AK12)</f>
        <v>71.7128442</v>
      </c>
      <c r="AM13" s="27">
        <f>SUM(AM8:AM12)</f>
        <v>25211.126582199995</v>
      </c>
      <c r="AN13" s="27">
        <f>SUM(AN8:AN12)</f>
        <v>1260.5551139999998</v>
      </c>
      <c r="AO13" s="27">
        <f>SUM(AO8:AO12)</f>
        <v>26471.681696199998</v>
      </c>
      <c r="AP13" s="27">
        <f>SUM(AP8:AP12)</f>
        <v>4762.866667</v>
      </c>
      <c r="AQ13" s="27">
        <f>SUM(AQ8:AQ12)</f>
        <v>302.0520438</v>
      </c>
      <c r="AS13" s="27">
        <f>SUM(AS8:AS12)</f>
        <v>10739.7975926</v>
      </c>
      <c r="AT13" s="27">
        <f>SUM(AT8:AT12)</f>
        <v>536.989362</v>
      </c>
      <c r="AU13" s="27">
        <f>SUM(AU8:AU12)</f>
        <v>11276.7869546</v>
      </c>
      <c r="AV13" s="27">
        <f>SUM(AV8:AV12)</f>
        <v>2028.954311</v>
      </c>
      <c r="AW13" s="27">
        <f>SUM(AW8:AW12)</f>
        <v>128.6724654</v>
      </c>
      <c r="AY13" s="27">
        <f>SUM(AY8:AY12)</f>
        <v>3442.096518</v>
      </c>
      <c r="AZ13" s="27">
        <f>SUM(AZ8:AZ12)</f>
        <v>172.10466</v>
      </c>
      <c r="BA13" s="27">
        <f>SUM(BA8:BA12)</f>
        <v>3614.201178</v>
      </c>
      <c r="BB13" s="27">
        <f>SUM(BB8:BB12)</f>
        <v>650.27823</v>
      </c>
      <c r="BC13" s="27">
        <f>SUM(BC8:BC12)</f>
        <v>41.239422000000005</v>
      </c>
      <c r="BD13" s="13"/>
      <c r="BE13" s="27">
        <f>SUM(BE8:BE12)</f>
        <v>1062.0911438</v>
      </c>
      <c r="BF13" s="27">
        <f>SUM(BF8:BF12)</f>
        <v>53.104506</v>
      </c>
      <c r="BG13" s="27">
        <f>SUM(BG8:BG12)</f>
        <v>1115.1956498000002</v>
      </c>
      <c r="BH13" s="27">
        <f>SUM(BH8:BH12)</f>
        <v>200.64944300000002</v>
      </c>
      <c r="BI13" s="27">
        <f>SUM(BI8:BI12)</f>
        <v>12.7248102</v>
      </c>
      <c r="BJ13" s="13"/>
      <c r="BK13" s="27">
        <f>SUM(BK8:BK12)</f>
        <v>22713.272454399998</v>
      </c>
      <c r="BL13" s="27">
        <f>SUM(BL8:BL12)</f>
        <v>1135.6625279999998</v>
      </c>
      <c r="BM13" s="27">
        <f>SUM(BM8:BM12)</f>
        <v>23848.9349824</v>
      </c>
      <c r="BN13" s="27">
        <f>SUM(BN8:BN12)</f>
        <v>4290.973984</v>
      </c>
      <c r="BO13" s="27">
        <f>SUM(BO8:BO12)</f>
        <v>272.1254976</v>
      </c>
      <c r="BP13" s="13"/>
      <c r="BQ13" s="27">
        <f>SUM(BQ8:BQ12)</f>
        <v>396.49466219999994</v>
      </c>
      <c r="BR13" s="27">
        <f>SUM(BR8:BR12)</f>
        <v>19.824714</v>
      </c>
      <c r="BS13" s="27">
        <f>SUM(BS8:BS12)</f>
        <v>416.3193761999999</v>
      </c>
      <c r="BT13" s="27">
        <f>SUM(BT8:BT12)</f>
        <v>74.905467</v>
      </c>
      <c r="BU13" s="27">
        <f>SUM(BU8:BU12)</f>
        <v>4.750363800000001</v>
      </c>
      <c r="BV13" s="13"/>
      <c r="BW13" s="27">
        <f>SUM(BW8:BW12)</f>
        <v>88104.80708839999</v>
      </c>
      <c r="BX13" s="27">
        <f>SUM(BX8:BX12)</f>
        <v>4405.236108</v>
      </c>
      <c r="BY13" s="27">
        <f>SUM(BY8:BY12)</f>
        <v>92510.0431964</v>
      </c>
      <c r="BZ13" s="27">
        <f>SUM(BZ8:BZ12)</f>
        <v>16644.692474</v>
      </c>
      <c r="CA13" s="27">
        <f>SUM(CA8:CA12)</f>
        <v>1055.5750836</v>
      </c>
      <c r="CB13" s="13"/>
      <c r="CC13" s="27">
        <f>SUM(CC8:CC12)</f>
        <v>3131.2911784000003</v>
      </c>
      <c r="CD13" s="27">
        <f>SUM(CD8:CD12)</f>
        <v>156.56440800000001</v>
      </c>
      <c r="CE13" s="27">
        <f>SUM(CE8:CE12)</f>
        <v>3287.8555864000004</v>
      </c>
      <c r="CF13" s="27">
        <f>SUM(CF8:CF12)</f>
        <v>591.5611240000001</v>
      </c>
      <c r="CG13" s="27">
        <f>SUM(CG8:CG12)</f>
        <v>37.5156936</v>
      </c>
      <c r="CH13" s="13"/>
      <c r="CI13" s="27">
        <f>SUM(CI8:CI12)</f>
        <v>93545.560373</v>
      </c>
      <c r="CJ13" s="27">
        <f>SUM(CJ8:CJ12)</f>
        <v>4677.27351</v>
      </c>
      <c r="CK13" s="27">
        <f>SUM(CK8:CK12)</f>
        <v>98222.833883</v>
      </c>
      <c r="CL13" s="27">
        <f>SUM(CL8:CL12)</f>
        <v>17672.555405</v>
      </c>
      <c r="CM13" s="27">
        <f>SUM(CM8:CM12)</f>
        <v>1120.760217</v>
      </c>
      <c r="CN13" s="13"/>
      <c r="CO13" s="27">
        <f>SUM(CO8:CO12)</f>
        <v>27957.7494698</v>
      </c>
      <c r="CP13" s="27">
        <f>SUM(CP8:CP12)</f>
        <v>1397.8861260000003</v>
      </c>
      <c r="CQ13" s="27">
        <f>SUM(CQ8:CQ12)</f>
        <v>29355.6355958</v>
      </c>
      <c r="CR13" s="27">
        <f>SUM(CR8:CR12)</f>
        <v>5281.756553</v>
      </c>
      <c r="CS13" s="27">
        <f>SUM(CS8:CS12)</f>
        <v>334.9590642</v>
      </c>
      <c r="CT13" s="13"/>
      <c r="CU13" s="27">
        <f>SUM(CU8:CU12)</f>
        <v>2478.9734296</v>
      </c>
      <c r="CV13" s="27">
        <f>SUM(CV8:CV12)</f>
        <v>123.948552</v>
      </c>
      <c r="CW13" s="27">
        <f>SUM(CW8:CW12)</f>
        <v>2602.9219816</v>
      </c>
      <c r="CX13" s="27">
        <f>SUM(CX8:CX12)</f>
        <v>468.325756</v>
      </c>
      <c r="CY13" s="27">
        <f>SUM(CY8:CY12)</f>
        <v>29.7003384</v>
      </c>
      <c r="CZ13" s="13"/>
      <c r="DA13" s="27">
        <f>SUM(DA8:DA12)</f>
        <v>767.2617796</v>
      </c>
      <c r="DB13" s="27">
        <f>SUM(DB8:DB12)</f>
        <v>38.363051999999996</v>
      </c>
      <c r="DC13" s="27">
        <f>SUM(DC8:DC12)</f>
        <v>805.6248315999999</v>
      </c>
      <c r="DD13" s="27">
        <f>SUM(DD8:DD12)</f>
        <v>144.950506</v>
      </c>
      <c r="DE13" s="27">
        <f>SUM(DE8:DE12)</f>
        <v>9.1924884</v>
      </c>
      <c r="DF13" s="13"/>
      <c r="DG13" s="27">
        <f>SUM(DG8:DG12)</f>
        <v>2786.8740463999998</v>
      </c>
      <c r="DH13" s="27">
        <f>SUM(DH8:DH12)</f>
        <v>139.343568</v>
      </c>
      <c r="DI13" s="27">
        <f>SUM(DI8:DI12)</f>
        <v>2926.2176144</v>
      </c>
      <c r="DJ13" s="27">
        <f>SUM(DJ8:DJ12)</f>
        <v>526.494104</v>
      </c>
      <c r="DK13" s="27">
        <f>SUM(DK8:DK12)</f>
        <v>33.389265599999995</v>
      </c>
      <c r="DL13" s="13"/>
      <c r="DM13" s="27">
        <f>SUM(DM8:DM12)</f>
        <v>5405.2741704</v>
      </c>
      <c r="DN13" s="27">
        <f>SUM(DN8:DN12)</f>
        <v>270.263448</v>
      </c>
      <c r="DO13" s="27">
        <f>SUM(DO8:DO12)</f>
        <v>5675.5376184</v>
      </c>
      <c r="DP13" s="27">
        <f>SUM(DP8:DP12)</f>
        <v>1021.1602439999999</v>
      </c>
      <c r="DQ13" s="27">
        <f>SUM(DQ8:DQ12)</f>
        <v>64.7600616</v>
      </c>
      <c r="DR13" s="13"/>
      <c r="DS13" s="27">
        <f>SUM(DS8:DS12)</f>
        <v>370620.8438590001</v>
      </c>
      <c r="DT13" s="27">
        <f>SUM(DT8:DT12)</f>
        <v>18531.02433</v>
      </c>
      <c r="DU13" s="27">
        <f>SUM(DU8:DU12)</f>
        <v>389151.8681890001</v>
      </c>
      <c r="DV13" s="27">
        <f>SUM(DV8:DV12)</f>
        <v>70017.405115</v>
      </c>
      <c r="DW13" s="27">
        <f>SUM(DW8:DW12)</f>
        <v>4440.372111</v>
      </c>
      <c r="DX13" s="13"/>
      <c r="DY13" s="27">
        <f>SUM(DY8:DY12)</f>
        <v>0</v>
      </c>
      <c r="DZ13" s="27">
        <f>SUM(DZ8:DZ12)</f>
        <v>0</v>
      </c>
      <c r="EA13" s="27">
        <f>SUM(EA8:EA12)</f>
        <v>0</v>
      </c>
      <c r="EB13" s="20"/>
    </row>
    <row r="14" spans="45:55" ht="13.5" thickTop="1">
      <c r="AS14" s="13"/>
      <c r="AT14" s="13"/>
      <c r="AU14" s="13"/>
      <c r="AV14" s="13"/>
      <c r="AW14" s="13"/>
      <c r="AY14" s="3"/>
      <c r="AZ14" s="3"/>
      <c r="BA14" s="3"/>
      <c r="BB14" s="3"/>
      <c r="BC14" s="3"/>
    </row>
    <row r="15" spans="3:55" ht="12.75">
      <c r="C15" s="14">
        <f>I13+O13</f>
        <v>2120000</v>
      </c>
      <c r="D15" s="14">
        <f>J13+P13</f>
        <v>106000</v>
      </c>
      <c r="E15" s="14">
        <f>K13+Q13</f>
        <v>2226000</v>
      </c>
      <c r="F15" s="14">
        <f>L13+R13</f>
        <v>401008</v>
      </c>
      <c r="G15" s="14">
        <f>M13+S13</f>
        <v>17514</v>
      </c>
      <c r="O15" s="13">
        <f>U13+AA13</f>
        <v>2074802</v>
      </c>
      <c r="P15" s="13">
        <f>V13+AB13</f>
        <v>103740</v>
      </c>
      <c r="Q15" s="13">
        <f>W13+AC13</f>
        <v>2178542</v>
      </c>
      <c r="R15" s="13">
        <f>X13+AD13</f>
        <v>391970</v>
      </c>
      <c r="S15" s="13">
        <f>Y13+AE13</f>
        <v>24858</v>
      </c>
      <c r="AB15" s="13"/>
      <c r="AS15" s="13"/>
      <c r="AT15" s="13"/>
      <c r="AU15" s="13"/>
      <c r="AV15" s="13"/>
      <c r="AW15" s="13"/>
      <c r="AY15" s="3"/>
      <c r="AZ15" s="3"/>
      <c r="BA15" s="3"/>
      <c r="BB15" s="3"/>
      <c r="BC15" s="3"/>
    </row>
    <row r="16" spans="45:55" ht="12.75">
      <c r="AS16" s="13"/>
      <c r="AT16" s="13"/>
      <c r="AU16" s="13"/>
      <c r="AV16" s="13"/>
      <c r="AW16" s="13"/>
      <c r="AY16" s="3"/>
      <c r="AZ16" s="3"/>
      <c r="BA16" s="3"/>
      <c r="BB16" s="3"/>
      <c r="BC16" s="3"/>
    </row>
    <row r="17" spans="45:55" ht="12.75">
      <c r="AS17" s="13"/>
      <c r="AT17" s="13"/>
      <c r="AU17" s="13"/>
      <c r="AV17" s="13"/>
      <c r="AW17" s="13"/>
      <c r="AY17" s="3"/>
      <c r="AZ17" s="3"/>
      <c r="BA17" s="3"/>
      <c r="BB17" s="3"/>
      <c r="BC17" s="3"/>
    </row>
    <row r="18" spans="45:55" ht="12.75">
      <c r="AS18" s="13"/>
      <c r="AT18" s="13"/>
      <c r="AU18" s="13"/>
      <c r="AV18" s="13"/>
      <c r="AW18" s="13"/>
      <c r="AY18" s="3"/>
      <c r="AZ18" s="3"/>
      <c r="BA18" s="3"/>
      <c r="BB18" s="3"/>
      <c r="BC18" s="3"/>
    </row>
    <row r="19" spans="45:55" ht="12.75">
      <c r="AS19" s="13"/>
      <c r="AT19" s="13"/>
      <c r="AU19" s="13"/>
      <c r="AV19" s="13"/>
      <c r="AW19" s="13"/>
      <c r="AY19" s="3"/>
      <c r="AZ19" s="3"/>
      <c r="BA19" s="3"/>
      <c r="BB19" s="3"/>
      <c r="BC19" s="3"/>
    </row>
    <row r="20" spans="45:55" ht="12.75">
      <c r="AS20" s="13"/>
      <c r="AT20" s="13"/>
      <c r="AU20" s="13"/>
      <c r="AV20" s="13"/>
      <c r="AW20" s="13"/>
      <c r="AY20" s="3"/>
      <c r="AZ20" s="3"/>
      <c r="BA20" s="3"/>
      <c r="BB20" s="3"/>
      <c r="BC20" s="3"/>
    </row>
    <row r="21" spans="45:55" ht="12.75">
      <c r="AS21" s="13"/>
      <c r="AT21" s="13"/>
      <c r="AU21" s="13"/>
      <c r="AV21" s="13"/>
      <c r="AW21" s="13"/>
      <c r="AY21" s="3"/>
      <c r="AZ21" s="3"/>
      <c r="BA21" s="3"/>
      <c r="BB21" s="3"/>
      <c r="BC21" s="3"/>
    </row>
    <row r="22" spans="45:55" ht="12.75">
      <c r="AS22" s="13"/>
      <c r="AT22" s="13"/>
      <c r="AU22" s="13"/>
      <c r="AV22" s="13"/>
      <c r="AW22" s="13"/>
      <c r="AY22" s="3"/>
      <c r="AZ22" s="3"/>
      <c r="BA22" s="3"/>
      <c r="BB22" s="3"/>
      <c r="BC22" s="3"/>
    </row>
    <row r="23" spans="45:55" ht="12.75">
      <c r="AS23" s="13"/>
      <c r="AT23" s="13"/>
      <c r="AU23" s="13"/>
      <c r="AV23" s="13"/>
      <c r="AW23" s="13"/>
      <c r="AY23" s="3"/>
      <c r="AZ23" s="3"/>
      <c r="BA23" s="3"/>
      <c r="BB23" s="3"/>
      <c r="BC23" s="3"/>
    </row>
    <row r="24" spans="45:55" ht="12.75">
      <c r="AS24" s="13"/>
      <c r="AT24" s="13"/>
      <c r="AU24" s="13"/>
      <c r="AV24" s="13"/>
      <c r="AW24" s="13"/>
      <c r="AY24" s="3"/>
      <c r="AZ24" s="3"/>
      <c r="BA24" s="3"/>
      <c r="BB24" s="3"/>
      <c r="BC24" s="3"/>
    </row>
    <row r="25" spans="45:55" ht="12.75">
      <c r="AS25" s="13"/>
      <c r="AT25" s="13"/>
      <c r="AU25" s="13"/>
      <c r="AV25" s="13"/>
      <c r="AW25" s="13"/>
      <c r="AY25" s="3"/>
      <c r="AZ25" s="3"/>
      <c r="BA25" s="3"/>
      <c r="BB25" s="3"/>
      <c r="BC25" s="3"/>
    </row>
    <row r="26" spans="45:55" ht="12.75">
      <c r="AS26" s="13"/>
      <c r="AT26" s="13"/>
      <c r="AU26" s="13"/>
      <c r="AV26" s="13"/>
      <c r="AW26" s="13"/>
      <c r="AY26" s="3"/>
      <c r="AZ26" s="3"/>
      <c r="BA26" s="3"/>
      <c r="BB26" s="3"/>
      <c r="BC26" s="3"/>
    </row>
    <row r="27" spans="1:132" ht="12.75">
      <c r="A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F27"/>
      <c r="AS27" s="13"/>
      <c r="AT27" s="13"/>
      <c r="AU27" s="13"/>
      <c r="AV27" s="13"/>
      <c r="AW27" s="13"/>
      <c r="AY27" s="3"/>
      <c r="AZ27" s="3"/>
      <c r="BA27" s="3"/>
      <c r="BB27" s="3"/>
      <c r="BC27" s="3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32" ht="12.75">
      <c r="A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F28"/>
      <c r="AS28" s="13"/>
      <c r="AT28" s="13"/>
      <c r="AU28" s="13"/>
      <c r="AV28" s="13"/>
      <c r="AW28" s="13"/>
      <c r="AY28" s="3"/>
      <c r="AZ28" s="3"/>
      <c r="BA28" s="3"/>
      <c r="BB28" s="3"/>
      <c r="BC28" s="3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32" ht="12.75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F29"/>
      <c r="AS29" s="13"/>
      <c r="AT29" s="13"/>
      <c r="AU29" s="13"/>
      <c r="AV29" s="13"/>
      <c r="AW29" s="13"/>
      <c r="AY29" s="3"/>
      <c r="AZ29" s="3"/>
      <c r="BA29" s="3"/>
      <c r="BB29" s="3"/>
      <c r="BC29" s="3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1:132" ht="12.75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F30"/>
      <c r="AS30" s="13"/>
      <c r="AT30" s="13"/>
      <c r="AU30" s="13"/>
      <c r="AV30" s="13"/>
      <c r="AW30" s="13"/>
      <c r="AY30" s="3"/>
      <c r="AZ30" s="3"/>
      <c r="BA30" s="3"/>
      <c r="BB30" s="3"/>
      <c r="BC30" s="3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1:132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F31"/>
      <c r="AS31" s="13"/>
      <c r="AT31" s="13"/>
      <c r="AU31" s="13"/>
      <c r="AV31" s="13"/>
      <c r="AW31" s="13"/>
      <c r="AY31" s="3"/>
      <c r="AZ31" s="3"/>
      <c r="BA31" s="3"/>
      <c r="BB31" s="3"/>
      <c r="BC31" s="3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F32"/>
      <c r="AS32" s="13"/>
      <c r="AT32" s="13"/>
      <c r="AU32" s="13"/>
      <c r="AV32" s="13"/>
      <c r="AW32" s="13"/>
      <c r="AY32" s="3"/>
      <c r="AZ32" s="3"/>
      <c r="BA32" s="3"/>
      <c r="BB32" s="3"/>
      <c r="BC32" s="3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1:132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F33"/>
      <c r="AS33" s="13"/>
      <c r="AT33" s="13"/>
      <c r="AU33" s="13"/>
      <c r="AV33" s="13"/>
      <c r="AW33" s="13"/>
      <c r="AY33" s="3"/>
      <c r="AZ33" s="3"/>
      <c r="BA33" s="3"/>
      <c r="BB33" s="3"/>
      <c r="BC33" s="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  <row r="34" spans="1:132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F34"/>
      <c r="AS34" s="13"/>
      <c r="AT34" s="13"/>
      <c r="AU34" s="13"/>
      <c r="AV34" s="13"/>
      <c r="AW34" s="13"/>
      <c r="AY34" s="3"/>
      <c r="AZ34" s="3"/>
      <c r="BA34" s="3"/>
      <c r="BB34" s="3"/>
      <c r="BC34" s="3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</row>
    <row r="35" spans="1:132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F35"/>
      <c r="AS35" s="13"/>
      <c r="AT35" s="13"/>
      <c r="AU35" s="13"/>
      <c r="AV35" s="13"/>
      <c r="AW35" s="13"/>
      <c r="AY35" s="3"/>
      <c r="AZ35" s="3"/>
      <c r="BA35" s="3"/>
      <c r="BB35" s="3"/>
      <c r="BC35" s="3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</row>
    <row r="36" spans="1:132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F36"/>
      <c r="AS36" s="13"/>
      <c r="AT36" s="13"/>
      <c r="AU36" s="13"/>
      <c r="AV36" s="13"/>
      <c r="AW36" s="13"/>
      <c r="AY36" s="3"/>
      <c r="AZ36" s="3"/>
      <c r="BA36" s="3"/>
      <c r="BB36" s="3"/>
      <c r="BC36" s="3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1:132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F37"/>
      <c r="AS37" s="13"/>
      <c r="AT37" s="13"/>
      <c r="AU37" s="13"/>
      <c r="AV37" s="13"/>
      <c r="AW37" s="13"/>
      <c r="AY37" s="3"/>
      <c r="AZ37" s="3"/>
      <c r="BA37" s="3"/>
      <c r="BB37" s="3"/>
      <c r="BC37" s="3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</row>
    <row r="38" spans="1:132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F38"/>
      <c r="AS38" s="13"/>
      <c r="AT38" s="13"/>
      <c r="AU38" s="13"/>
      <c r="AV38" s="13"/>
      <c r="AW38" s="13"/>
      <c r="AY38" s="3"/>
      <c r="AZ38" s="3"/>
      <c r="BA38" s="3"/>
      <c r="BB38" s="3"/>
      <c r="BC38" s="3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</row>
    <row r="39" spans="1:132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F39"/>
      <c r="AS39" s="13"/>
      <c r="AT39" s="13"/>
      <c r="AU39" s="13"/>
      <c r="AV39" s="13"/>
      <c r="AW39" s="13"/>
      <c r="AY39" s="3"/>
      <c r="AZ39" s="3"/>
      <c r="BA39" s="3"/>
      <c r="BB39" s="3"/>
      <c r="BC39" s="3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  <row r="40" spans="1:132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F40"/>
      <c r="AS40" s="13"/>
      <c r="AT40" s="13"/>
      <c r="AU40" s="13"/>
      <c r="AV40" s="13"/>
      <c r="AW40" s="13"/>
      <c r="AY40" s="3"/>
      <c r="AZ40" s="3"/>
      <c r="BA40" s="3"/>
      <c r="BB40" s="3"/>
      <c r="BC40" s="3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</row>
    <row r="41" spans="1:13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F41"/>
      <c r="AS41" s="13"/>
      <c r="AT41" s="13"/>
      <c r="AU41" s="13"/>
      <c r="AV41" s="13"/>
      <c r="AW41" s="13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</row>
    <row r="42" spans="1:13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F42"/>
      <c r="AS42" s="13"/>
      <c r="AT42" s="13"/>
      <c r="AU42" s="13"/>
      <c r="AV42" s="13"/>
      <c r="AW42" s="13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</row>
    <row r="43" spans="1:13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F43"/>
      <c r="AS43" s="13"/>
      <c r="AT43" s="13"/>
      <c r="AU43" s="13"/>
      <c r="AV43" s="13"/>
      <c r="AW43" s="1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</row>
    <row r="44" spans="1:13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F44"/>
      <c r="AS44" s="13"/>
      <c r="AT44" s="13"/>
      <c r="AU44" s="13"/>
      <c r="AV44" s="13"/>
      <c r="AW44" s="13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</row>
    <row r="45" spans="1:13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F45"/>
      <c r="AS45" s="13"/>
      <c r="AT45" s="13"/>
      <c r="AU45" s="13"/>
      <c r="AV45" s="13"/>
      <c r="AW45" s="13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</row>
    <row r="46" spans="1:13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F46"/>
      <c r="AS46" s="13"/>
      <c r="AT46" s="13"/>
      <c r="AU46" s="13"/>
      <c r="AV46" s="13"/>
      <c r="AW46" s="13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1:13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F47"/>
      <c r="AS47" s="13"/>
      <c r="AT47" s="13"/>
      <c r="AU47" s="13"/>
      <c r="AV47" s="13"/>
      <c r="AW47" s="13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</row>
    <row r="48" spans="1:13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F48"/>
      <c r="AS48" s="13"/>
      <c r="AT48" s="13"/>
      <c r="AU48" s="13"/>
      <c r="AV48" s="13"/>
      <c r="AW48" s="13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:13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F49"/>
      <c r="AS49" s="13"/>
      <c r="AT49" s="13"/>
      <c r="AU49" s="13"/>
      <c r="AV49" s="13"/>
      <c r="AW49" s="13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</row>
    <row r="50" spans="1:13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F50"/>
      <c r="AS50" s="13"/>
      <c r="AT50" s="13"/>
      <c r="AU50" s="13"/>
      <c r="AV50" s="13"/>
      <c r="AW50" s="13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</row>
    <row r="51" spans="1:13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F51"/>
      <c r="AS51" s="13"/>
      <c r="AT51" s="13"/>
      <c r="AU51" s="13"/>
      <c r="AV51" s="13"/>
      <c r="AW51" s="13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</row>
    <row r="52" spans="1:13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F52"/>
      <c r="AS52" s="13"/>
      <c r="AT52" s="13"/>
      <c r="AU52" s="13"/>
      <c r="AV52" s="13"/>
      <c r="AW52" s="13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</row>
    <row r="53" spans="1:13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F53"/>
      <c r="AS53" s="13"/>
      <c r="AT53" s="13"/>
      <c r="AU53" s="13"/>
      <c r="AV53" s="13"/>
      <c r="AW53" s="1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T53"/>
  <sheetViews>
    <sheetView zoomScalePageLayoutView="0" workbookViewId="0" topLeftCell="A1">
      <selection activeCell="G14" sqref="G14"/>
    </sheetView>
  </sheetViews>
  <sheetFormatPr defaultColWidth="8.7109375" defaultRowHeight="12.75"/>
  <cols>
    <col min="1" max="1" width="9.7109375" style="2" customWidth="1"/>
    <col min="2" max="2" width="3.7109375" style="0" customWidth="1"/>
    <col min="3" max="6" width="13.7109375" style="13" customWidth="1"/>
    <col min="7" max="7" width="15.7109375" style="13" customWidth="1"/>
    <col min="8" max="8" width="3.7109375" style="13" customWidth="1"/>
    <col min="9" max="12" width="13.7109375" style="13" customWidth="1"/>
    <col min="13" max="13" width="17.00390625" style="13" customWidth="1"/>
    <col min="14" max="14" width="3.7109375" style="13" customWidth="1"/>
    <col min="15" max="19" width="13.7109375" style="13" customWidth="1"/>
    <col min="20" max="20" width="3.7109375" style="13" customWidth="1"/>
    <col min="21" max="25" width="13.7109375" style="13" customWidth="1"/>
    <col min="26" max="26" width="3.7109375" style="13" customWidth="1"/>
    <col min="27" max="31" width="13.7109375" style="13" customWidth="1"/>
    <col min="32" max="32" width="3.7109375" style="13" customWidth="1"/>
    <col min="33" max="37" width="13.7109375" style="13" customWidth="1"/>
    <col min="38" max="38" width="3.7109375" style="13" customWidth="1"/>
    <col min="39" max="43" width="13.7109375" style="13" customWidth="1"/>
    <col min="44" max="44" width="3.7109375" style="13" customWidth="1"/>
    <col min="45" max="49" width="13.7109375" style="13" customWidth="1"/>
    <col min="50" max="50" width="3.7109375" style="13" customWidth="1"/>
    <col min="51" max="55" width="13.7109375" style="13" customWidth="1"/>
    <col min="56" max="56" width="3.7109375" style="13" customWidth="1"/>
    <col min="57" max="61" width="13.7109375" style="13" customWidth="1"/>
    <col min="62" max="62" width="3.7109375" style="13" customWidth="1"/>
    <col min="63" max="67" width="13.7109375" style="13" customWidth="1"/>
    <col min="68" max="68" width="3.7109375" style="13" customWidth="1"/>
    <col min="69" max="73" width="13.7109375" style="13" customWidth="1"/>
    <col min="74" max="74" width="3.7109375" style="13" customWidth="1"/>
    <col min="75" max="79" width="13.7109375" style="13" customWidth="1"/>
    <col min="80" max="80" width="3.7109375" style="13" customWidth="1"/>
    <col min="81" max="85" width="13.7109375" style="13" customWidth="1"/>
    <col min="86" max="86" width="3.7109375" style="13" customWidth="1"/>
    <col min="87" max="91" width="13.7109375" style="13" customWidth="1"/>
    <col min="92" max="92" width="3.7109375" style="13" customWidth="1"/>
    <col min="93" max="97" width="13.7109375" style="13" customWidth="1"/>
    <col min="98" max="98" width="3.7109375" style="13" customWidth="1"/>
    <col min="99" max="103" width="13.7109375" style="13" customWidth="1"/>
    <col min="104" max="104" width="3.7109375" style="13" customWidth="1"/>
    <col min="105" max="109" width="13.7109375" style="13" customWidth="1"/>
    <col min="110" max="110" width="3.7109375" style="13" customWidth="1"/>
    <col min="111" max="115" width="13.7109375" style="13" customWidth="1"/>
    <col min="116" max="116" width="3.7109375" style="13" customWidth="1"/>
    <col min="117" max="121" width="13.7109375" style="13" customWidth="1"/>
    <col min="122" max="122" width="3.7109375" style="13" customWidth="1"/>
    <col min="123" max="127" width="13.7109375" style="13" customWidth="1"/>
    <col min="128" max="128" width="3.7109375" style="13" customWidth="1"/>
    <col min="129" max="133" width="13.7109375" style="13" customWidth="1"/>
    <col min="134" max="134" width="3.7109375" style="13" customWidth="1"/>
    <col min="135" max="139" width="13.7109375" style="13" customWidth="1"/>
    <col min="140" max="140" width="3.7109375" style="13" customWidth="1"/>
    <col min="141" max="145" width="13.7109375" style="13" customWidth="1"/>
    <col min="146" max="146" width="3.7109375" style="13" customWidth="1"/>
    <col min="147" max="151" width="13.7109375" style="13" customWidth="1"/>
    <col min="152" max="152" width="3.7109375" style="13" customWidth="1"/>
    <col min="153" max="157" width="13.7109375" style="13" customWidth="1"/>
    <col min="158" max="158" width="3.7109375" style="13" customWidth="1"/>
    <col min="159" max="163" width="13.7109375" style="13" customWidth="1"/>
    <col min="164" max="164" width="3.7109375" style="13" customWidth="1"/>
    <col min="165" max="169" width="13.7109375" style="13" customWidth="1"/>
    <col min="170" max="170" width="3.7109375" style="13" customWidth="1"/>
    <col min="171" max="175" width="13.7109375" style="13" customWidth="1"/>
    <col min="176" max="176" width="3.7109375" style="13" customWidth="1"/>
  </cols>
  <sheetData>
    <row r="1" spans="1:176" ht="12.75">
      <c r="A1" s="22"/>
      <c r="B1" s="10"/>
      <c r="H1" s="23"/>
      <c r="T1" s="23" t="s">
        <v>6</v>
      </c>
      <c r="U1"/>
      <c r="V1"/>
      <c r="W1"/>
      <c r="Z1" s="23"/>
      <c r="AA1"/>
      <c r="AB1"/>
      <c r="AC1"/>
      <c r="AD1"/>
      <c r="AE1"/>
      <c r="AF1"/>
      <c r="AG1"/>
      <c r="AH1"/>
      <c r="AI1"/>
      <c r="AJ1"/>
      <c r="AK1"/>
      <c r="AL1" s="23" t="s">
        <v>6</v>
      </c>
      <c r="AM1"/>
      <c r="AN1"/>
      <c r="AO1"/>
      <c r="AP1"/>
      <c r="AQ1"/>
      <c r="AR1" s="23"/>
      <c r="AS1"/>
      <c r="AT1"/>
      <c r="AU1"/>
      <c r="AV1" s="3"/>
      <c r="AW1" s="3"/>
      <c r="AX1" s="3"/>
      <c r="AY1" s="3"/>
      <c r="AZ1" s="3"/>
      <c r="BA1" s="3"/>
      <c r="BB1" s="3"/>
      <c r="BC1" s="3"/>
      <c r="BD1" s="23" t="s">
        <v>6</v>
      </c>
      <c r="BE1" s="3"/>
      <c r="BF1" s="3"/>
      <c r="BG1" s="3"/>
      <c r="BH1" s="3"/>
      <c r="BI1" s="3"/>
      <c r="BJ1" s="2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23" t="s">
        <v>6</v>
      </c>
      <c r="BW1" s="3"/>
      <c r="BX1" s="3"/>
      <c r="BY1" s="3"/>
      <c r="BZ1" s="3"/>
      <c r="CA1" s="3"/>
      <c r="CB1" s="2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23" t="s">
        <v>6</v>
      </c>
      <c r="CO1" s="3"/>
      <c r="CP1" s="3"/>
      <c r="CQ1" s="3"/>
      <c r="CR1" s="3"/>
      <c r="CS1" s="3"/>
      <c r="CT1" s="2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23" t="s">
        <v>6</v>
      </c>
      <c r="DG1" s="3"/>
      <c r="DH1" s="3"/>
      <c r="DI1" s="3"/>
      <c r="DJ1" s="3"/>
      <c r="DK1" s="3"/>
      <c r="DL1" s="23"/>
      <c r="DM1" s="3"/>
      <c r="DN1" s="3"/>
      <c r="DO1" s="3"/>
      <c r="DP1" s="3"/>
      <c r="DQ1" s="3"/>
      <c r="DR1" s="3"/>
      <c r="DS1" s="3"/>
      <c r="DT1" s="3"/>
      <c r="DU1" s="3"/>
      <c r="DV1"/>
      <c r="DW1"/>
      <c r="DX1" s="23" t="s">
        <v>6</v>
      </c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ht="12.75">
      <c r="A2" s="22"/>
      <c r="B2" s="10"/>
      <c r="H2" s="23"/>
      <c r="T2" s="23" t="s">
        <v>5</v>
      </c>
      <c r="U2"/>
      <c r="V2"/>
      <c r="W2"/>
      <c r="Z2" s="23"/>
      <c r="AA2"/>
      <c r="AB2"/>
      <c r="AC2"/>
      <c r="AD2"/>
      <c r="AE2"/>
      <c r="AF2"/>
      <c r="AG2"/>
      <c r="AH2"/>
      <c r="AI2"/>
      <c r="AJ2"/>
      <c r="AK2"/>
      <c r="AL2" s="23" t="s">
        <v>5</v>
      </c>
      <c r="AM2"/>
      <c r="AN2"/>
      <c r="AO2"/>
      <c r="AP2"/>
      <c r="AQ2"/>
      <c r="AR2" s="23"/>
      <c r="AS2"/>
      <c r="AT2"/>
      <c r="AU2"/>
      <c r="AV2" s="3"/>
      <c r="AW2" s="3"/>
      <c r="AX2" s="3"/>
      <c r="AY2" s="3"/>
      <c r="AZ2" s="3"/>
      <c r="BA2" s="3"/>
      <c r="BB2" s="3"/>
      <c r="BC2" s="3"/>
      <c r="BD2" s="23" t="s">
        <v>5</v>
      </c>
      <c r="BE2" s="3"/>
      <c r="BF2" s="3"/>
      <c r="BG2" s="3"/>
      <c r="BH2" s="3"/>
      <c r="BI2" s="3"/>
      <c r="BJ2" s="2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23" t="s">
        <v>5</v>
      </c>
      <c r="BW2" s="3"/>
      <c r="BX2" s="3"/>
      <c r="BY2" s="3"/>
      <c r="BZ2" s="3"/>
      <c r="CA2" s="3"/>
      <c r="CB2" s="2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3" t="s">
        <v>5</v>
      </c>
      <c r="CO2" s="3"/>
      <c r="CP2" s="3"/>
      <c r="CQ2" s="3"/>
      <c r="CR2" s="3"/>
      <c r="CS2" s="3"/>
      <c r="CT2" s="2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23" t="s">
        <v>5</v>
      </c>
      <c r="DG2" s="3"/>
      <c r="DH2" s="3"/>
      <c r="DI2" s="3"/>
      <c r="DJ2" s="3"/>
      <c r="DK2" s="3"/>
      <c r="DL2" s="23"/>
      <c r="DM2" s="3"/>
      <c r="DN2" s="3"/>
      <c r="DO2" s="3"/>
      <c r="DP2" s="3"/>
      <c r="DQ2" s="3"/>
      <c r="DR2" s="3"/>
      <c r="DS2" s="3"/>
      <c r="DT2" s="3"/>
      <c r="DU2" s="3"/>
      <c r="DV2"/>
      <c r="DW2"/>
      <c r="DX2" s="23" t="s">
        <v>5</v>
      </c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12.75">
      <c r="A3" s="22"/>
      <c r="B3" s="10"/>
      <c r="H3" s="23"/>
      <c r="T3" s="23"/>
      <c r="U3" s="1"/>
      <c r="V3"/>
      <c r="W3"/>
      <c r="Z3" s="23"/>
      <c r="AA3"/>
      <c r="AB3"/>
      <c r="AC3"/>
      <c r="AD3"/>
      <c r="AE3"/>
      <c r="AF3"/>
      <c r="AG3"/>
      <c r="AH3"/>
      <c r="AI3"/>
      <c r="AJ3"/>
      <c r="AK3"/>
      <c r="AL3" s="23"/>
      <c r="AM3"/>
      <c r="AN3"/>
      <c r="AO3"/>
      <c r="AP3"/>
      <c r="AQ3"/>
      <c r="AR3" s="23"/>
      <c r="AS3"/>
      <c r="AT3"/>
      <c r="AU3"/>
      <c r="AV3" s="3"/>
      <c r="AW3" s="3"/>
      <c r="AX3" s="3"/>
      <c r="AY3" s="3"/>
      <c r="AZ3" s="3"/>
      <c r="BA3" s="3"/>
      <c r="BB3" s="3"/>
      <c r="BC3" s="3"/>
      <c r="BD3" s="23"/>
      <c r="BE3" s="3"/>
      <c r="BF3" s="3"/>
      <c r="BG3" s="3"/>
      <c r="BH3" s="3"/>
      <c r="BI3" s="3"/>
      <c r="BJ3" s="2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23"/>
      <c r="BW3" s="3"/>
      <c r="BX3" s="3"/>
      <c r="BY3" s="3"/>
      <c r="BZ3" s="3"/>
      <c r="CA3" s="3"/>
      <c r="CB3" s="2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23"/>
      <c r="CO3" s="3"/>
      <c r="CP3" s="3"/>
      <c r="CQ3" s="3"/>
      <c r="CR3" s="3"/>
      <c r="CS3" s="3"/>
      <c r="CT3" s="2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23"/>
      <c r="DG3" s="3"/>
      <c r="DH3" s="3"/>
      <c r="DI3" s="3"/>
      <c r="DJ3" s="3"/>
      <c r="DK3" s="3"/>
      <c r="DL3" s="23"/>
      <c r="DM3" s="3"/>
      <c r="DN3" s="3"/>
      <c r="DO3" s="3"/>
      <c r="DP3" s="3"/>
      <c r="DQ3" s="3"/>
      <c r="DR3" s="3"/>
      <c r="DS3" s="3"/>
      <c r="DT3" s="3"/>
      <c r="DU3" s="3"/>
      <c r="DV3"/>
      <c r="DW3"/>
      <c r="DX3" s="2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2" ht="12.75">
      <c r="A4" s="22"/>
      <c r="B4" s="10"/>
    </row>
    <row r="5" spans="1:175" ht="12.75">
      <c r="A5" s="4" t="s">
        <v>1</v>
      </c>
      <c r="C5" s="15" t="s">
        <v>30</v>
      </c>
      <c r="D5" s="16"/>
      <c r="E5" s="17"/>
      <c r="F5" s="19"/>
      <c r="G5" s="19"/>
      <c r="I5" s="15" t="s">
        <v>8</v>
      </c>
      <c r="J5" s="16"/>
      <c r="K5" s="17"/>
      <c r="L5" s="19"/>
      <c r="M5" s="19"/>
      <c r="O5" s="15" t="s">
        <v>28</v>
      </c>
      <c r="P5" s="16"/>
      <c r="Q5" s="17"/>
      <c r="R5" s="19"/>
      <c r="S5" s="19"/>
      <c r="U5" s="34" t="s">
        <v>9</v>
      </c>
      <c r="V5" s="16"/>
      <c r="W5" s="17"/>
      <c r="X5" s="19"/>
      <c r="Y5" s="19"/>
      <c r="AA5" s="34" t="s">
        <v>26</v>
      </c>
      <c r="AB5" s="16"/>
      <c r="AC5" s="17"/>
      <c r="AD5" s="19"/>
      <c r="AE5" s="19"/>
      <c r="AF5" s="39"/>
      <c r="AG5" s="40" t="s">
        <v>57</v>
      </c>
      <c r="AH5" s="16"/>
      <c r="AI5" s="17"/>
      <c r="AJ5" s="19"/>
      <c r="AK5" s="19"/>
      <c r="AM5" s="15" t="s">
        <v>10</v>
      </c>
      <c r="AN5" s="16"/>
      <c r="AO5" s="17"/>
      <c r="AP5" s="19"/>
      <c r="AQ5" s="19"/>
      <c r="AR5" s="35"/>
      <c r="AS5" s="15" t="s">
        <v>11</v>
      </c>
      <c r="AT5" s="16"/>
      <c r="AU5" s="17"/>
      <c r="AV5" s="19"/>
      <c r="AW5" s="19"/>
      <c r="AY5" s="15" t="s">
        <v>32</v>
      </c>
      <c r="AZ5" s="16"/>
      <c r="BA5" s="17"/>
      <c r="BB5" s="19"/>
      <c r="BC5" s="19"/>
      <c r="BE5" s="15" t="s">
        <v>34</v>
      </c>
      <c r="BF5" s="16"/>
      <c r="BG5" s="17"/>
      <c r="BH5" s="19"/>
      <c r="BI5" s="19"/>
      <c r="BK5" s="15" t="s">
        <v>12</v>
      </c>
      <c r="BL5" s="16"/>
      <c r="BM5" s="17"/>
      <c r="BN5" s="19"/>
      <c r="BO5" s="19"/>
      <c r="BQ5" s="15" t="s">
        <v>13</v>
      </c>
      <c r="BR5" s="16"/>
      <c r="BS5" s="17"/>
      <c r="BT5" s="19"/>
      <c r="BU5" s="19"/>
      <c r="BV5" s="35"/>
      <c r="BW5" s="15" t="s">
        <v>14</v>
      </c>
      <c r="BX5" s="16"/>
      <c r="BY5" s="17"/>
      <c r="BZ5" s="19"/>
      <c r="CA5" s="19"/>
      <c r="CC5" s="15" t="s">
        <v>15</v>
      </c>
      <c r="CD5" s="16"/>
      <c r="CE5" s="17"/>
      <c r="CF5" s="19"/>
      <c r="CG5" s="19"/>
      <c r="CI5" s="15" t="s">
        <v>35</v>
      </c>
      <c r="CJ5" s="16"/>
      <c r="CK5" s="17"/>
      <c r="CL5" s="19"/>
      <c r="CM5" s="19"/>
      <c r="CO5" s="15" t="s">
        <v>16</v>
      </c>
      <c r="CP5" s="16"/>
      <c r="CQ5" s="17"/>
      <c r="CR5" s="19"/>
      <c r="CS5" s="19"/>
      <c r="CU5" s="15" t="s">
        <v>36</v>
      </c>
      <c r="CV5" s="16"/>
      <c r="CW5" s="17"/>
      <c r="CX5" s="19"/>
      <c r="CY5" s="19"/>
      <c r="DA5" s="15" t="s">
        <v>38</v>
      </c>
      <c r="DB5" s="16"/>
      <c r="DC5" s="17"/>
      <c r="DD5" s="19"/>
      <c r="DE5" s="19"/>
      <c r="DG5" s="15" t="s">
        <v>39</v>
      </c>
      <c r="DH5" s="16"/>
      <c r="DI5" s="17"/>
      <c r="DJ5" s="19"/>
      <c r="DK5" s="19"/>
      <c r="DM5" s="15" t="s">
        <v>40</v>
      </c>
      <c r="DN5" s="16"/>
      <c r="DO5" s="17"/>
      <c r="DP5" s="19"/>
      <c r="DQ5" s="19"/>
      <c r="DS5" s="15" t="s">
        <v>41</v>
      </c>
      <c r="DT5" s="16"/>
      <c r="DU5" s="17"/>
      <c r="DV5" s="19"/>
      <c r="DW5" s="19"/>
      <c r="DY5" s="15" t="s">
        <v>42</v>
      </c>
      <c r="DZ5" s="16"/>
      <c r="EA5" s="17"/>
      <c r="EB5" s="19"/>
      <c r="EC5" s="19"/>
      <c r="EE5" s="15" t="s">
        <v>43</v>
      </c>
      <c r="EF5" s="16"/>
      <c r="EG5" s="17"/>
      <c r="EH5" s="19"/>
      <c r="EI5" s="19"/>
      <c r="EK5" s="15" t="s">
        <v>44</v>
      </c>
      <c r="EL5" s="16"/>
      <c r="EM5" s="17"/>
      <c r="EN5" s="19"/>
      <c r="EO5" s="19"/>
      <c r="EQ5" s="15" t="s">
        <v>17</v>
      </c>
      <c r="ER5" s="16"/>
      <c r="ES5" s="17"/>
      <c r="ET5" s="19"/>
      <c r="EU5" s="19"/>
      <c r="EW5" s="15" t="s">
        <v>45</v>
      </c>
      <c r="EX5" s="16"/>
      <c r="EY5" s="17"/>
      <c r="EZ5" s="19"/>
      <c r="FA5" s="19"/>
      <c r="FC5" s="15" t="s">
        <v>46</v>
      </c>
      <c r="FD5" s="16"/>
      <c r="FE5" s="17"/>
      <c r="FF5" s="19"/>
      <c r="FG5" s="19"/>
      <c r="FI5" s="15" t="s">
        <v>18</v>
      </c>
      <c r="FJ5" s="16"/>
      <c r="FK5" s="17"/>
      <c r="FL5" s="19"/>
      <c r="FM5" s="19"/>
      <c r="FO5" s="34" t="s">
        <v>47</v>
      </c>
      <c r="FP5" s="16"/>
      <c r="FQ5" s="17"/>
      <c r="FR5" s="19"/>
      <c r="FS5" s="19"/>
    </row>
    <row r="6" spans="1:176" s="1" customFormat="1" ht="12.75">
      <c r="A6" s="24" t="s">
        <v>2</v>
      </c>
      <c r="C6" s="18"/>
      <c r="D6" s="33"/>
      <c r="E6" s="17"/>
      <c r="F6" s="19" t="s">
        <v>55</v>
      </c>
      <c r="G6" s="19" t="s">
        <v>55</v>
      </c>
      <c r="H6" s="13"/>
      <c r="I6" s="18"/>
      <c r="J6" s="31">
        <v>0.0796069</v>
      </c>
      <c r="K6" s="17"/>
      <c r="L6" s="19" t="s">
        <v>55</v>
      </c>
      <c r="M6" s="19" t="s">
        <v>55</v>
      </c>
      <c r="N6" s="13"/>
      <c r="O6" s="18"/>
      <c r="P6" s="31">
        <v>0.0886163</v>
      </c>
      <c r="Q6" s="17"/>
      <c r="R6" s="19" t="s">
        <v>55</v>
      </c>
      <c r="S6" s="19" t="s">
        <v>55</v>
      </c>
      <c r="T6" s="13"/>
      <c r="U6" s="18"/>
      <c r="V6" s="31">
        <v>0.0327229</v>
      </c>
      <c r="W6" s="17"/>
      <c r="X6" s="19" t="s">
        <v>55</v>
      </c>
      <c r="Y6" s="19" t="s">
        <v>55</v>
      </c>
      <c r="Z6" s="13"/>
      <c r="AA6" s="18"/>
      <c r="AB6" s="31">
        <v>0.0244463</v>
      </c>
      <c r="AC6" s="17"/>
      <c r="AD6" s="19" t="s">
        <v>55</v>
      </c>
      <c r="AE6" s="19" t="s">
        <v>55</v>
      </c>
      <c r="AF6" s="39"/>
      <c r="AG6" s="18"/>
      <c r="AH6" s="31">
        <v>0.0024261</v>
      </c>
      <c r="AI6" s="17"/>
      <c r="AJ6" s="19" t="s">
        <v>55</v>
      </c>
      <c r="AK6" s="19" t="s">
        <v>55</v>
      </c>
      <c r="AL6" s="13"/>
      <c r="AM6" s="18"/>
      <c r="AN6" s="31">
        <v>0.0325486</v>
      </c>
      <c r="AO6" s="17"/>
      <c r="AP6" s="19" t="s">
        <v>55</v>
      </c>
      <c r="AQ6" s="19" t="s">
        <v>55</v>
      </c>
      <c r="AR6" s="35"/>
      <c r="AS6" s="18"/>
      <c r="AT6" s="31">
        <v>0.2378111</v>
      </c>
      <c r="AU6" s="17"/>
      <c r="AV6" s="19" t="s">
        <v>55</v>
      </c>
      <c r="AW6" s="19" t="s">
        <v>55</v>
      </c>
      <c r="AX6" s="13"/>
      <c r="AY6" s="18"/>
      <c r="AZ6" s="31">
        <v>4E-06</v>
      </c>
      <c r="BA6" s="17"/>
      <c r="BB6" s="19" t="s">
        <v>55</v>
      </c>
      <c r="BC6" s="19" t="s">
        <v>55</v>
      </c>
      <c r="BD6" s="13"/>
      <c r="BE6" s="18"/>
      <c r="BF6" s="31">
        <v>0.0013664</v>
      </c>
      <c r="BG6" s="17"/>
      <c r="BH6" s="19" t="s">
        <v>55</v>
      </c>
      <c r="BI6" s="19" t="s">
        <v>55</v>
      </c>
      <c r="BJ6" s="13"/>
      <c r="BK6" s="18"/>
      <c r="BL6" s="31">
        <v>0.0087875</v>
      </c>
      <c r="BM6" s="17"/>
      <c r="BN6" s="19" t="s">
        <v>55</v>
      </c>
      <c r="BO6" s="19" t="s">
        <v>55</v>
      </c>
      <c r="BP6" s="13"/>
      <c r="BQ6" s="18"/>
      <c r="BR6" s="31">
        <v>0.0056757</v>
      </c>
      <c r="BS6" s="17"/>
      <c r="BT6" s="19" t="s">
        <v>55</v>
      </c>
      <c r="BU6" s="19" t="s">
        <v>55</v>
      </c>
      <c r="BV6" s="35"/>
      <c r="BW6" s="18"/>
      <c r="BX6" s="31">
        <v>0.0218514</v>
      </c>
      <c r="BY6" s="17"/>
      <c r="BZ6" s="19" t="s">
        <v>55</v>
      </c>
      <c r="CA6" s="19" t="s">
        <v>55</v>
      </c>
      <c r="CB6" s="13"/>
      <c r="CC6" s="18"/>
      <c r="CD6" s="31">
        <v>0.0013916</v>
      </c>
      <c r="CE6" s="17"/>
      <c r="CF6" s="19" t="s">
        <v>55</v>
      </c>
      <c r="CG6" s="19" t="s">
        <v>55</v>
      </c>
      <c r="CH6" s="13"/>
      <c r="CI6" s="18"/>
      <c r="CJ6" s="31">
        <v>0.0037665</v>
      </c>
      <c r="CK6" s="17"/>
      <c r="CL6" s="19" t="s">
        <v>55</v>
      </c>
      <c r="CM6" s="19" t="s">
        <v>55</v>
      </c>
      <c r="CN6" s="13"/>
      <c r="CO6" s="18"/>
      <c r="CP6" s="31">
        <v>0.0158627</v>
      </c>
      <c r="CQ6" s="17"/>
      <c r="CR6" s="19" t="s">
        <v>55</v>
      </c>
      <c r="CS6" s="19" t="s">
        <v>55</v>
      </c>
      <c r="CT6" s="13"/>
      <c r="CU6" s="18"/>
      <c r="CV6" s="31">
        <v>0.0007178</v>
      </c>
      <c r="CW6" s="17"/>
      <c r="CX6" s="19" t="s">
        <v>55</v>
      </c>
      <c r="CY6" s="19" t="s">
        <v>55</v>
      </c>
      <c r="CZ6" s="13"/>
      <c r="DA6" s="18"/>
      <c r="DB6" s="31">
        <v>0.0101431</v>
      </c>
      <c r="DC6" s="17"/>
      <c r="DD6" s="19" t="s">
        <v>55</v>
      </c>
      <c r="DE6" s="19" t="s">
        <v>55</v>
      </c>
      <c r="DF6" s="13"/>
      <c r="DG6" s="18"/>
      <c r="DH6" s="31">
        <v>0.0048536</v>
      </c>
      <c r="DI6" s="17"/>
      <c r="DJ6" s="19" t="s">
        <v>55</v>
      </c>
      <c r="DK6" s="19" t="s">
        <v>55</v>
      </c>
      <c r="DL6" s="13"/>
      <c r="DM6" s="18"/>
      <c r="DN6" s="31">
        <v>0.0080603</v>
      </c>
      <c r="DO6" s="17"/>
      <c r="DP6" s="19" t="s">
        <v>55</v>
      </c>
      <c r="DQ6" s="19" t="s">
        <v>55</v>
      </c>
      <c r="DR6" s="13"/>
      <c r="DS6" s="18"/>
      <c r="DT6" s="31">
        <v>0.0245163</v>
      </c>
      <c r="DU6" s="17"/>
      <c r="DV6" s="19" t="s">
        <v>55</v>
      </c>
      <c r="DW6" s="19" t="s">
        <v>55</v>
      </c>
      <c r="DX6" s="13"/>
      <c r="DY6" s="18"/>
      <c r="DZ6" s="31">
        <v>0.0025443</v>
      </c>
      <c r="EA6" s="17"/>
      <c r="EB6" s="19" t="s">
        <v>55</v>
      </c>
      <c r="EC6" s="19" t="s">
        <v>55</v>
      </c>
      <c r="ED6" s="13"/>
      <c r="EE6" s="18"/>
      <c r="EF6" s="31">
        <v>0.0012856</v>
      </c>
      <c r="EG6" s="17"/>
      <c r="EH6" s="19" t="s">
        <v>55</v>
      </c>
      <c r="EI6" s="19" t="s">
        <v>55</v>
      </c>
      <c r="EJ6" s="13"/>
      <c r="EK6" s="18"/>
      <c r="EL6" s="31">
        <v>0.0003415</v>
      </c>
      <c r="EM6" s="17"/>
      <c r="EN6" s="19" t="s">
        <v>55</v>
      </c>
      <c r="EO6" s="19" t="s">
        <v>55</v>
      </c>
      <c r="EP6" s="13"/>
      <c r="EQ6" s="18"/>
      <c r="ER6" s="31">
        <v>0.0111619</v>
      </c>
      <c r="ES6" s="17"/>
      <c r="ET6" s="19" t="s">
        <v>55</v>
      </c>
      <c r="EU6" s="19" t="s">
        <v>55</v>
      </c>
      <c r="EV6" s="13"/>
      <c r="EW6" s="18"/>
      <c r="EX6" s="31">
        <v>0.0455599</v>
      </c>
      <c r="EY6" s="17"/>
      <c r="EZ6" s="19" t="s">
        <v>55</v>
      </c>
      <c r="FA6" s="19" t="s">
        <v>55</v>
      </c>
      <c r="FB6" s="13"/>
      <c r="FC6" s="18"/>
      <c r="FD6" s="31">
        <v>0.0007571</v>
      </c>
      <c r="FE6" s="17"/>
      <c r="FF6" s="19" t="s">
        <v>55</v>
      </c>
      <c r="FG6" s="19" t="s">
        <v>55</v>
      </c>
      <c r="FH6" s="13"/>
      <c r="FI6" s="18"/>
      <c r="FJ6" s="31">
        <v>0.0091696</v>
      </c>
      <c r="FK6" s="17"/>
      <c r="FL6" s="19" t="s">
        <v>55</v>
      </c>
      <c r="FM6" s="19" t="s">
        <v>55</v>
      </c>
      <c r="FN6" s="13"/>
      <c r="FO6" s="18"/>
      <c r="FP6" s="31">
        <v>0.0038062</v>
      </c>
      <c r="FQ6" s="17"/>
      <c r="FR6" s="19" t="s">
        <v>55</v>
      </c>
      <c r="FS6" s="19" t="s">
        <v>55</v>
      </c>
      <c r="FT6" s="13"/>
    </row>
    <row r="7" spans="1:175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59</v>
      </c>
      <c r="I7" s="19" t="s">
        <v>3</v>
      </c>
      <c r="J7" s="19" t="s">
        <v>4</v>
      </c>
      <c r="K7" s="19" t="s">
        <v>0</v>
      </c>
      <c r="L7" s="19" t="s">
        <v>56</v>
      </c>
      <c r="M7" s="48" t="s">
        <v>59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59</v>
      </c>
      <c r="U7" s="19" t="s">
        <v>3</v>
      </c>
      <c r="V7" s="19" t="s">
        <v>4</v>
      </c>
      <c r="W7" s="19" t="s">
        <v>0</v>
      </c>
      <c r="X7" s="19" t="s">
        <v>56</v>
      </c>
      <c r="Y7" s="48" t="s">
        <v>59</v>
      </c>
      <c r="AA7" s="19" t="s">
        <v>3</v>
      </c>
      <c r="AB7" s="19" t="s">
        <v>4</v>
      </c>
      <c r="AC7" s="19" t="s">
        <v>0</v>
      </c>
      <c r="AD7" s="19" t="s">
        <v>56</v>
      </c>
      <c r="AE7" s="48" t="s">
        <v>59</v>
      </c>
      <c r="AF7" s="39"/>
      <c r="AG7" s="19" t="s">
        <v>3</v>
      </c>
      <c r="AH7" s="19" t="s">
        <v>4</v>
      </c>
      <c r="AI7" s="19" t="s">
        <v>0</v>
      </c>
      <c r="AJ7" s="19" t="s">
        <v>56</v>
      </c>
      <c r="AK7" s="48" t="s">
        <v>59</v>
      </c>
      <c r="AM7" s="19" t="s">
        <v>3</v>
      </c>
      <c r="AN7" s="19" t="s">
        <v>4</v>
      </c>
      <c r="AO7" s="19" t="s">
        <v>0</v>
      </c>
      <c r="AP7" s="19" t="s">
        <v>56</v>
      </c>
      <c r="AQ7" s="48" t="s">
        <v>59</v>
      </c>
      <c r="AR7" s="36"/>
      <c r="AS7" s="19" t="s">
        <v>3</v>
      </c>
      <c r="AT7" s="19" t="s">
        <v>4</v>
      </c>
      <c r="AU7" s="19" t="s">
        <v>0</v>
      </c>
      <c r="AV7" s="19" t="s">
        <v>56</v>
      </c>
      <c r="AW7" s="48" t="s">
        <v>59</v>
      </c>
      <c r="AY7" s="19" t="s">
        <v>3</v>
      </c>
      <c r="AZ7" s="19" t="s">
        <v>4</v>
      </c>
      <c r="BA7" s="19" t="s">
        <v>0</v>
      </c>
      <c r="BB7" s="19" t="s">
        <v>56</v>
      </c>
      <c r="BC7" s="48" t="s">
        <v>59</v>
      </c>
      <c r="BE7" s="19" t="s">
        <v>3</v>
      </c>
      <c r="BF7" s="19" t="s">
        <v>4</v>
      </c>
      <c r="BG7" s="19" t="s">
        <v>0</v>
      </c>
      <c r="BH7" s="19" t="s">
        <v>56</v>
      </c>
      <c r="BI7" s="48" t="s">
        <v>59</v>
      </c>
      <c r="BK7" s="19" t="s">
        <v>3</v>
      </c>
      <c r="BL7" s="19" t="s">
        <v>4</v>
      </c>
      <c r="BM7" s="19" t="s">
        <v>0</v>
      </c>
      <c r="BN7" s="19" t="s">
        <v>56</v>
      </c>
      <c r="BO7" s="48" t="s">
        <v>59</v>
      </c>
      <c r="BQ7" s="19" t="s">
        <v>3</v>
      </c>
      <c r="BR7" s="19" t="s">
        <v>4</v>
      </c>
      <c r="BS7" s="19" t="s">
        <v>0</v>
      </c>
      <c r="BT7" s="19" t="s">
        <v>56</v>
      </c>
      <c r="BU7" s="48" t="s">
        <v>59</v>
      </c>
      <c r="BV7" s="36"/>
      <c r="BW7" s="19" t="s">
        <v>3</v>
      </c>
      <c r="BX7" s="19" t="s">
        <v>4</v>
      </c>
      <c r="BY7" s="19" t="s">
        <v>0</v>
      </c>
      <c r="BZ7" s="19" t="s">
        <v>56</v>
      </c>
      <c r="CA7" s="48" t="s">
        <v>59</v>
      </c>
      <c r="CC7" s="19" t="s">
        <v>3</v>
      </c>
      <c r="CD7" s="19" t="s">
        <v>4</v>
      </c>
      <c r="CE7" s="19" t="s">
        <v>0</v>
      </c>
      <c r="CF7" s="19" t="s">
        <v>56</v>
      </c>
      <c r="CG7" s="48" t="s">
        <v>59</v>
      </c>
      <c r="CI7" s="19" t="s">
        <v>3</v>
      </c>
      <c r="CJ7" s="19" t="s">
        <v>4</v>
      </c>
      <c r="CK7" s="19" t="s">
        <v>0</v>
      </c>
      <c r="CL7" s="19" t="s">
        <v>56</v>
      </c>
      <c r="CM7" s="48" t="s">
        <v>59</v>
      </c>
      <c r="CO7" s="19" t="s">
        <v>3</v>
      </c>
      <c r="CP7" s="19" t="s">
        <v>4</v>
      </c>
      <c r="CQ7" s="19" t="s">
        <v>0</v>
      </c>
      <c r="CR7" s="19" t="s">
        <v>56</v>
      </c>
      <c r="CS7" s="48" t="s">
        <v>59</v>
      </c>
      <c r="CU7" s="19" t="s">
        <v>3</v>
      </c>
      <c r="CV7" s="19" t="s">
        <v>4</v>
      </c>
      <c r="CW7" s="19" t="s">
        <v>0</v>
      </c>
      <c r="CX7" s="19" t="s">
        <v>56</v>
      </c>
      <c r="CY7" s="48" t="s">
        <v>59</v>
      </c>
      <c r="DA7" s="19" t="s">
        <v>3</v>
      </c>
      <c r="DB7" s="19" t="s">
        <v>4</v>
      </c>
      <c r="DC7" s="19" t="s">
        <v>0</v>
      </c>
      <c r="DD7" s="19" t="s">
        <v>56</v>
      </c>
      <c r="DE7" s="48" t="s">
        <v>59</v>
      </c>
      <c r="DG7" s="19" t="s">
        <v>3</v>
      </c>
      <c r="DH7" s="19" t="s">
        <v>4</v>
      </c>
      <c r="DI7" s="19" t="s">
        <v>0</v>
      </c>
      <c r="DJ7" s="19" t="s">
        <v>56</v>
      </c>
      <c r="DK7" s="48" t="s">
        <v>59</v>
      </c>
      <c r="DM7" s="19" t="s">
        <v>3</v>
      </c>
      <c r="DN7" s="19" t="s">
        <v>4</v>
      </c>
      <c r="DO7" s="19" t="s">
        <v>0</v>
      </c>
      <c r="DP7" s="19" t="s">
        <v>56</v>
      </c>
      <c r="DQ7" s="48" t="s">
        <v>59</v>
      </c>
      <c r="DS7" s="19" t="s">
        <v>3</v>
      </c>
      <c r="DT7" s="19" t="s">
        <v>4</v>
      </c>
      <c r="DU7" s="19" t="s">
        <v>0</v>
      </c>
      <c r="DV7" s="19" t="s">
        <v>56</v>
      </c>
      <c r="DW7" s="48" t="s">
        <v>59</v>
      </c>
      <c r="DY7" s="19" t="s">
        <v>3</v>
      </c>
      <c r="DZ7" s="19" t="s">
        <v>4</v>
      </c>
      <c r="EA7" s="19" t="s">
        <v>0</v>
      </c>
      <c r="EB7" s="19" t="s">
        <v>56</v>
      </c>
      <c r="EC7" s="48" t="s">
        <v>59</v>
      </c>
      <c r="EE7" s="19" t="s">
        <v>3</v>
      </c>
      <c r="EF7" s="19" t="s">
        <v>4</v>
      </c>
      <c r="EG7" s="19" t="s">
        <v>0</v>
      </c>
      <c r="EH7" s="19" t="s">
        <v>56</v>
      </c>
      <c r="EI7" s="48" t="s">
        <v>59</v>
      </c>
      <c r="EK7" s="19" t="s">
        <v>3</v>
      </c>
      <c r="EL7" s="19" t="s">
        <v>4</v>
      </c>
      <c r="EM7" s="19" t="s">
        <v>0</v>
      </c>
      <c r="EN7" s="19" t="s">
        <v>56</v>
      </c>
      <c r="EO7" s="48" t="s">
        <v>59</v>
      </c>
      <c r="EQ7" s="19" t="s">
        <v>3</v>
      </c>
      <c r="ER7" s="19" t="s">
        <v>4</v>
      </c>
      <c r="ES7" s="19" t="s">
        <v>0</v>
      </c>
      <c r="ET7" s="19" t="s">
        <v>56</v>
      </c>
      <c r="EU7" s="48" t="s">
        <v>59</v>
      </c>
      <c r="EW7" s="19" t="s">
        <v>3</v>
      </c>
      <c r="EX7" s="19" t="s">
        <v>4</v>
      </c>
      <c r="EY7" s="19" t="s">
        <v>0</v>
      </c>
      <c r="EZ7" s="19" t="s">
        <v>56</v>
      </c>
      <c r="FA7" s="48" t="s">
        <v>59</v>
      </c>
      <c r="FC7" s="19" t="s">
        <v>3</v>
      </c>
      <c r="FD7" s="19" t="s">
        <v>4</v>
      </c>
      <c r="FE7" s="19" t="s">
        <v>0</v>
      </c>
      <c r="FF7" s="19" t="s">
        <v>56</v>
      </c>
      <c r="FG7" s="48" t="s">
        <v>59</v>
      </c>
      <c r="FI7" s="19" t="s">
        <v>3</v>
      </c>
      <c r="FJ7" s="19" t="s">
        <v>4</v>
      </c>
      <c r="FK7" s="19" t="s">
        <v>0</v>
      </c>
      <c r="FL7" s="19" t="s">
        <v>56</v>
      </c>
      <c r="FM7" s="48" t="s">
        <v>59</v>
      </c>
      <c r="FO7" s="19" t="s">
        <v>3</v>
      </c>
      <c r="FP7" s="19" t="s">
        <v>4</v>
      </c>
      <c r="FQ7" s="19" t="s">
        <v>0</v>
      </c>
      <c r="FR7" s="19" t="s">
        <v>56</v>
      </c>
      <c r="FS7" s="48" t="s">
        <v>59</v>
      </c>
    </row>
    <row r="8" spans="1:176" s="30" customFormat="1" ht="12.75">
      <c r="A8" s="29">
        <v>44835</v>
      </c>
      <c r="C8" s="20">
        <f>'2010C-2021A'!O8</f>
        <v>0</v>
      </c>
      <c r="D8" s="20">
        <f>'2010C-2021A'!P8</f>
        <v>51870</v>
      </c>
      <c r="E8" s="14">
        <v>51870</v>
      </c>
      <c r="F8" s="20">
        <f>'2010C-2021A'!R8</f>
        <v>195985</v>
      </c>
      <c r="G8" s="20">
        <f>'2010C-2021A'!S8</f>
        <v>12429</v>
      </c>
      <c r="H8" s="28"/>
      <c r="I8" s="13"/>
      <c r="J8" s="13">
        <f>D8*7.96069/100</f>
        <v>4129.209903</v>
      </c>
      <c r="K8" s="28">
        <f>I8+J8</f>
        <v>4129.209903</v>
      </c>
      <c r="L8" s="28">
        <f>J$6*$F8</f>
        <v>15601.758296499998</v>
      </c>
      <c r="M8" s="28">
        <f>J$6*$G8</f>
        <v>989.4341601</v>
      </c>
      <c r="N8" s="28"/>
      <c r="O8" s="13"/>
      <c r="P8" s="13">
        <f>D8*8.86163/100</f>
        <v>4596.527481</v>
      </c>
      <c r="Q8" s="13">
        <f>O8+P8</f>
        <v>4596.527481</v>
      </c>
      <c r="R8" s="28">
        <f>P$6*$F8</f>
        <v>17367.4655555</v>
      </c>
      <c r="S8" s="28">
        <f>P$6*$G8</f>
        <v>1101.4119927</v>
      </c>
      <c r="T8" s="28"/>
      <c r="U8" s="28"/>
      <c r="V8" s="13">
        <f>D8*3.27229/100</f>
        <v>1697.3368229999999</v>
      </c>
      <c r="W8" s="13">
        <f>U8+V8</f>
        <v>1697.3368229999999</v>
      </c>
      <c r="X8" s="28">
        <f>V$6*$F8</f>
        <v>6413.1975565</v>
      </c>
      <c r="Y8" s="28">
        <f>V$6*$G8</f>
        <v>406.7129241</v>
      </c>
      <c r="Z8" s="28"/>
      <c r="AA8" s="13"/>
      <c r="AB8" s="13">
        <f>D8*2.44463/100</f>
        <v>1268.029581</v>
      </c>
      <c r="AC8" s="13">
        <f>AA8+AB8</f>
        <v>1268.029581</v>
      </c>
      <c r="AD8" s="28">
        <f>AB$6*$F8</f>
        <v>4791.1081055</v>
      </c>
      <c r="AE8" s="28">
        <f>AB$6*$G8</f>
        <v>303.8430627</v>
      </c>
      <c r="AF8" s="13"/>
      <c r="AG8" s="13"/>
      <c r="AH8" s="13">
        <f>AH$6*$D8</f>
        <v>125.841807</v>
      </c>
      <c r="AI8" s="13">
        <f>SUM(AG8:AH8)</f>
        <v>125.841807</v>
      </c>
      <c r="AJ8" s="28">
        <f>AH$6*$F8</f>
        <v>475.4792085</v>
      </c>
      <c r="AK8" s="28">
        <f>AH$6*$G8</f>
        <v>30.1539969</v>
      </c>
      <c r="AL8" s="28"/>
      <c r="AM8" s="13"/>
      <c r="AN8" s="13">
        <f>D8*3.25486/100</f>
        <v>1688.295882</v>
      </c>
      <c r="AO8" s="13">
        <f>AM8+AN8</f>
        <v>1688.295882</v>
      </c>
      <c r="AP8" s="28">
        <f>AN$6*$F8</f>
        <v>6379.037370999999</v>
      </c>
      <c r="AQ8" s="28">
        <f>AN$6*$G8</f>
        <v>404.54654939999995</v>
      </c>
      <c r="AR8" s="13"/>
      <c r="AS8" s="13"/>
      <c r="AT8" s="13">
        <f>D8*23.78111/100</f>
        <v>12335.261757</v>
      </c>
      <c r="AU8" s="13">
        <f>AS8+AT8</f>
        <v>12335.261757</v>
      </c>
      <c r="AV8" s="28">
        <f>AT$6*$F8</f>
        <v>46607.4084335</v>
      </c>
      <c r="AW8" s="28">
        <f>AT$6*$G8</f>
        <v>2955.7541619</v>
      </c>
      <c r="AX8" s="28"/>
      <c r="AY8" s="13"/>
      <c r="AZ8" s="13">
        <f>D8*0.0004/100</f>
        <v>0.20748</v>
      </c>
      <c r="BA8" s="13">
        <f>AY8+AZ8</f>
        <v>0.20748</v>
      </c>
      <c r="BB8" s="28">
        <f>AZ$6*$F8</f>
        <v>0.78394</v>
      </c>
      <c r="BC8" s="28">
        <f>AZ$6*$G8</f>
        <v>0.049715999999999996</v>
      </c>
      <c r="BD8" s="28"/>
      <c r="BE8" s="13"/>
      <c r="BF8" s="13">
        <f>D8*0.13664/100</f>
        <v>70.875168</v>
      </c>
      <c r="BG8" s="13">
        <f>BE8+BF8</f>
        <v>70.875168</v>
      </c>
      <c r="BH8" s="28">
        <f>BF$6*$F8</f>
        <v>267.793904</v>
      </c>
      <c r="BI8" s="28">
        <f>BF$6*$G8</f>
        <v>16.9829856</v>
      </c>
      <c r="BJ8" s="28"/>
      <c r="BK8" s="13"/>
      <c r="BL8" s="13">
        <f>D8*0.87875/100</f>
        <v>455.80762500000003</v>
      </c>
      <c r="BM8" s="13">
        <f>BK8+BL8</f>
        <v>455.80762500000003</v>
      </c>
      <c r="BN8" s="28">
        <f>BL$6*$F8</f>
        <v>1722.2181875</v>
      </c>
      <c r="BO8" s="28">
        <f>BL$6*$G8</f>
        <v>109.2198375</v>
      </c>
      <c r="BP8" s="28"/>
      <c r="BQ8" s="13"/>
      <c r="BR8" s="13">
        <f>D8*0.56757/100</f>
        <v>294.39855900000003</v>
      </c>
      <c r="BS8" s="13">
        <f>BQ8+BR8</f>
        <v>294.39855900000003</v>
      </c>
      <c r="BT8" s="28">
        <f>BR$6*$F8</f>
        <v>1112.3520644999999</v>
      </c>
      <c r="BU8" s="28">
        <f>BR$6*$G8</f>
        <v>70.54327529999999</v>
      </c>
      <c r="BV8" s="13"/>
      <c r="BW8" s="13"/>
      <c r="BX8" s="13">
        <f>D8*2.18514/100</f>
        <v>1133.432118</v>
      </c>
      <c r="BY8" s="13">
        <f>BW8+BX8</f>
        <v>1133.432118</v>
      </c>
      <c r="BZ8" s="28">
        <f>BX$6*$F8</f>
        <v>4282.546629</v>
      </c>
      <c r="CA8" s="28">
        <f>BX$6*$G8</f>
        <v>271.5910506</v>
      </c>
      <c r="CB8" s="28"/>
      <c r="CC8" s="13"/>
      <c r="CD8" s="13">
        <f>D8*0.13916/100</f>
        <v>72.182292</v>
      </c>
      <c r="CE8" s="13">
        <f>CC8+CD8</f>
        <v>72.182292</v>
      </c>
      <c r="CF8" s="28">
        <f>CD$6*$F8</f>
        <v>272.732726</v>
      </c>
      <c r="CG8" s="28">
        <f>CD$6*$G8</f>
        <v>17.2961964</v>
      </c>
      <c r="CH8" s="28"/>
      <c r="CI8" s="13"/>
      <c r="CJ8" s="13">
        <f>D8*0.37665/100</f>
        <v>195.36835499999998</v>
      </c>
      <c r="CK8" s="13">
        <f>CI8+CJ8</f>
        <v>195.36835499999998</v>
      </c>
      <c r="CL8" s="28">
        <f>CJ$6*$F8</f>
        <v>738.1775025</v>
      </c>
      <c r="CM8" s="28">
        <f>CJ$6*$G8</f>
        <v>46.8138285</v>
      </c>
      <c r="CN8" s="28"/>
      <c r="CO8" s="13"/>
      <c r="CP8" s="13">
        <f>D8*1.58627/100</f>
        <v>822.798249</v>
      </c>
      <c r="CQ8" s="13">
        <f>CO8+CP8</f>
        <v>822.798249</v>
      </c>
      <c r="CR8" s="28">
        <f>CP$6*$F8</f>
        <v>3108.8512595</v>
      </c>
      <c r="CS8" s="28">
        <f>CP$6*$G8</f>
        <v>197.15749830000001</v>
      </c>
      <c r="CT8" s="28"/>
      <c r="CU8" s="13"/>
      <c r="CV8" s="13">
        <f>D8*0.07178/100</f>
        <v>37.232286</v>
      </c>
      <c r="CW8" s="13">
        <f>CU8+CV8</f>
        <v>37.232286</v>
      </c>
      <c r="CX8" s="28">
        <f>CV$6*$F8</f>
        <v>140.678033</v>
      </c>
      <c r="CY8" s="28">
        <f>CV$6*$G8</f>
        <v>8.9215362</v>
      </c>
      <c r="CZ8" s="28"/>
      <c r="DA8" s="13"/>
      <c r="DB8" s="13">
        <f>D8*1.01431/100</f>
        <v>526.122597</v>
      </c>
      <c r="DC8" s="13">
        <f>DA8+DB8</f>
        <v>526.122597</v>
      </c>
      <c r="DD8" s="28">
        <f>DB$6*$F8</f>
        <v>1987.8954535</v>
      </c>
      <c r="DE8" s="28">
        <f>DB$6*$G8</f>
        <v>126.0685899</v>
      </c>
      <c r="DF8" s="28"/>
      <c r="DG8" s="13"/>
      <c r="DH8" s="28">
        <f>D8*0.48536/100</f>
        <v>251.756232</v>
      </c>
      <c r="DI8" s="13">
        <f>DG8+DH8</f>
        <v>251.756232</v>
      </c>
      <c r="DJ8" s="28">
        <f>DH$6*$F8</f>
        <v>951.2327959999999</v>
      </c>
      <c r="DK8" s="28">
        <f>DH$6*$G8</f>
        <v>60.32539439999999</v>
      </c>
      <c r="DL8" s="28"/>
      <c r="DM8" s="13"/>
      <c r="DN8" s="13">
        <f>D8*0.80603/100</f>
        <v>418.087761</v>
      </c>
      <c r="DO8" s="13">
        <f>DM8+DN8</f>
        <v>418.087761</v>
      </c>
      <c r="DP8" s="28">
        <f>DN$6*$F8</f>
        <v>1579.6978955</v>
      </c>
      <c r="DQ8" s="28">
        <f>DN$6*$G8</f>
        <v>100.1814687</v>
      </c>
      <c r="DR8" s="28"/>
      <c r="DS8" s="13"/>
      <c r="DT8" s="13">
        <f>D8*2.45163/100</f>
        <v>1271.6604810000001</v>
      </c>
      <c r="DU8" s="13">
        <f>DS8+DT8</f>
        <v>1271.6604810000001</v>
      </c>
      <c r="DV8" s="28">
        <f>DT$6*$F8</f>
        <v>4804.8270555</v>
      </c>
      <c r="DW8" s="28">
        <f>DT$6*$G8</f>
        <v>304.7130927</v>
      </c>
      <c r="DX8" s="28"/>
      <c r="DY8" s="13"/>
      <c r="DZ8" s="13">
        <f>D8*0.25443/100</f>
        <v>131.972841</v>
      </c>
      <c r="EA8" s="13">
        <f>DY8+DZ8</f>
        <v>131.972841</v>
      </c>
      <c r="EB8" s="28">
        <f>DZ$6*$F8</f>
        <v>498.64463550000005</v>
      </c>
      <c r="EC8" s="28">
        <f>DZ$6*$G8</f>
        <v>31.623104700000003</v>
      </c>
      <c r="ED8" s="28"/>
      <c r="EE8" s="13"/>
      <c r="EF8" s="13">
        <f>D8*0.12856/100</f>
        <v>66.684072</v>
      </c>
      <c r="EG8" s="13">
        <f>EE8+EF8</f>
        <v>66.684072</v>
      </c>
      <c r="EH8" s="28">
        <f>EF$6*$F8</f>
        <v>251.958316</v>
      </c>
      <c r="EI8" s="28">
        <f>EF$6*$G8</f>
        <v>15.9787224</v>
      </c>
      <c r="EJ8" s="28"/>
      <c r="EK8" s="13"/>
      <c r="EL8" s="13">
        <f>D8*0.03415/100</f>
        <v>17.713605</v>
      </c>
      <c r="EM8" s="13">
        <f>EK8+EL8</f>
        <v>17.713605</v>
      </c>
      <c r="EN8" s="28">
        <f>EL$6*$F8</f>
        <v>66.9288775</v>
      </c>
      <c r="EO8" s="28">
        <f>EL$6*$G8</f>
        <v>4.2445035</v>
      </c>
      <c r="EP8" s="28"/>
      <c r="EQ8" s="13"/>
      <c r="ER8" s="13">
        <f>D8*1.11619/100</f>
        <v>578.967753</v>
      </c>
      <c r="ES8" s="13">
        <f>EQ8+ER8</f>
        <v>578.967753</v>
      </c>
      <c r="ET8" s="28">
        <f>ER$6*$F8</f>
        <v>2187.5649715</v>
      </c>
      <c r="EU8" s="28">
        <f>ER$6*$G8</f>
        <v>138.7312551</v>
      </c>
      <c r="EV8" s="28"/>
      <c r="EW8" s="13"/>
      <c r="EX8" s="13">
        <f>D8*4.55599/100</f>
        <v>2363.1920130000003</v>
      </c>
      <c r="EY8" s="13">
        <f>EW8+EX8</f>
        <v>2363.1920130000003</v>
      </c>
      <c r="EZ8" s="28">
        <f>EX$6*$F8</f>
        <v>8929.0570015</v>
      </c>
      <c r="FA8" s="28">
        <f>EX$6*$G8</f>
        <v>566.2639971</v>
      </c>
      <c r="FB8" s="28"/>
      <c r="FC8" s="13"/>
      <c r="FD8" s="13">
        <f>D8*0.07571/100</f>
        <v>39.270776999999995</v>
      </c>
      <c r="FE8" s="13">
        <f>FC8+FD8</f>
        <v>39.270776999999995</v>
      </c>
      <c r="FF8" s="28">
        <f>FD$6*$F8</f>
        <v>148.3802435</v>
      </c>
      <c r="FG8" s="28">
        <f>FD$6*$G8</f>
        <v>9.4099959</v>
      </c>
      <c r="FH8" s="28"/>
      <c r="FI8" s="13"/>
      <c r="FJ8" s="13">
        <f>D8*0.91696/100</f>
        <v>475.62715199999997</v>
      </c>
      <c r="FK8" s="13">
        <f>FI8+FJ8</f>
        <v>475.62715199999997</v>
      </c>
      <c r="FL8" s="28">
        <f>FJ$6*$F8</f>
        <v>1797.104056</v>
      </c>
      <c r="FM8" s="28">
        <f>FJ$6*$G8</f>
        <v>113.9689584</v>
      </c>
      <c r="FN8" s="28"/>
      <c r="FO8" s="13"/>
      <c r="FP8" s="13">
        <f>D8*0.38062/100</f>
        <v>197.427594</v>
      </c>
      <c r="FQ8" s="13">
        <f>FO8+FP8</f>
        <v>197.427594</v>
      </c>
      <c r="FR8" s="28">
        <f>FP$6*$F8</f>
        <v>745.958107</v>
      </c>
      <c r="FS8" s="28">
        <f>FP$6*$G8</f>
        <v>47.3072598</v>
      </c>
      <c r="FT8" s="28"/>
    </row>
    <row r="9" spans="1:176" s="30" customFormat="1" ht="12.75">
      <c r="A9" s="29">
        <v>45017</v>
      </c>
      <c r="C9" s="20">
        <f>'2010C-2021A'!O9</f>
        <v>2074802</v>
      </c>
      <c r="D9" s="20">
        <f>'2010C-2021A'!P9</f>
        <v>51870</v>
      </c>
      <c r="E9" s="14">
        <v>2126672</v>
      </c>
      <c r="F9" s="20">
        <f>'2010C-2021A'!R9</f>
        <v>195985</v>
      </c>
      <c r="G9" s="20">
        <f>'2010C-2021A'!S9</f>
        <v>12429</v>
      </c>
      <c r="H9" s="28"/>
      <c r="I9" s="13">
        <f>C9*7.96069/100</f>
        <v>165168.5553338</v>
      </c>
      <c r="J9" s="13">
        <f>D9*7.96069/100</f>
        <v>4129.209903</v>
      </c>
      <c r="K9" s="28">
        <f>I9+J9</f>
        <v>169297.7652368</v>
      </c>
      <c r="L9" s="28">
        <f>J$6*$F9</f>
        <v>15601.758296499998</v>
      </c>
      <c r="M9" s="28">
        <f>J$6*$G9</f>
        <v>989.4341601</v>
      </c>
      <c r="N9" s="28"/>
      <c r="O9" s="13">
        <f>C9*8.86163/100</f>
        <v>183861.2764726</v>
      </c>
      <c r="P9" s="13">
        <f>D9*8.86163/100</f>
        <v>4596.527481</v>
      </c>
      <c r="Q9" s="13">
        <f>O9+P9</f>
        <v>188457.8039536</v>
      </c>
      <c r="R9" s="28">
        <f>P$6*$F9</f>
        <v>17367.4655555</v>
      </c>
      <c r="S9" s="28">
        <f>P$6*$G9</f>
        <v>1101.4119927</v>
      </c>
      <c r="T9" s="28"/>
      <c r="U9" s="28">
        <f>C9*3.27229/100</f>
        <v>67893.53836579999</v>
      </c>
      <c r="V9" s="13">
        <f>D9*3.27229/100</f>
        <v>1697.3368229999999</v>
      </c>
      <c r="W9" s="13">
        <f>U9+V9</f>
        <v>69590.8751888</v>
      </c>
      <c r="X9" s="28">
        <f>V$6*$F9</f>
        <v>6413.1975565</v>
      </c>
      <c r="Y9" s="28">
        <f>V$6*$G9</f>
        <v>406.7129241</v>
      </c>
      <c r="Z9" s="28"/>
      <c r="AA9" s="13">
        <f>C9*2.44463/100</f>
        <v>50721.23213260001</v>
      </c>
      <c r="AB9" s="13">
        <f>D9*2.44463/100</f>
        <v>1268.029581</v>
      </c>
      <c r="AC9" s="13">
        <f>AA9+AB9</f>
        <v>51989.26171360001</v>
      </c>
      <c r="AD9" s="28">
        <f>AB$6*$F9</f>
        <v>4791.1081055</v>
      </c>
      <c r="AE9" s="28">
        <f>AB$6*$G9</f>
        <v>303.8430627</v>
      </c>
      <c r="AF9" s="13"/>
      <c r="AG9" s="13">
        <f>AH$6*$C9</f>
        <v>5033.6771322</v>
      </c>
      <c r="AH9" s="13">
        <f>AH$6*$D9</f>
        <v>125.841807</v>
      </c>
      <c r="AI9" s="13">
        <f>SUM(AG9:AH9)</f>
        <v>5159.5189392</v>
      </c>
      <c r="AJ9" s="28">
        <f>AH$6*$F9</f>
        <v>475.4792085</v>
      </c>
      <c r="AK9" s="28">
        <f>AH$6*$G9</f>
        <v>30.1539969</v>
      </c>
      <c r="AL9" s="28"/>
      <c r="AM9" s="13">
        <f>C9*3.25486/100</f>
        <v>67531.9003772</v>
      </c>
      <c r="AN9" s="13">
        <f>D9*3.25486/100</f>
        <v>1688.295882</v>
      </c>
      <c r="AO9" s="13">
        <f>AM9+AN9</f>
        <v>69220.1962592</v>
      </c>
      <c r="AP9" s="28">
        <f>AN$6*$F9</f>
        <v>6379.037370999999</v>
      </c>
      <c r="AQ9" s="28">
        <f>AN$6*$G9</f>
        <v>404.54654939999995</v>
      </c>
      <c r="AR9" s="13"/>
      <c r="AS9" s="13">
        <f>C9*23.78111/100</f>
        <v>493410.94590220007</v>
      </c>
      <c r="AT9" s="13">
        <f>D9*23.78111/100</f>
        <v>12335.261757</v>
      </c>
      <c r="AU9" s="13">
        <f>AS9+AT9</f>
        <v>505746.20765920007</v>
      </c>
      <c r="AV9" s="28">
        <f>AT$6*$F9</f>
        <v>46607.4084335</v>
      </c>
      <c r="AW9" s="28">
        <f>AT$6*$G9</f>
        <v>2955.7541619</v>
      </c>
      <c r="AX9" s="28"/>
      <c r="AY9" s="13">
        <f>C9*0.0004/100</f>
        <v>8.299208</v>
      </c>
      <c r="AZ9" s="13">
        <f>D9*0.0004/100</f>
        <v>0.20748</v>
      </c>
      <c r="BA9" s="13">
        <f>AY9+AZ9</f>
        <v>8.506688</v>
      </c>
      <c r="BB9" s="28">
        <f>AZ$6*$F9</f>
        <v>0.78394</v>
      </c>
      <c r="BC9" s="28">
        <f>AZ$6*$G9</f>
        <v>0.049715999999999996</v>
      </c>
      <c r="BD9" s="28"/>
      <c r="BE9" s="13">
        <f>C9*0.13664/100</f>
        <v>2835.0094528000004</v>
      </c>
      <c r="BF9" s="13">
        <f>D9*0.13664/100</f>
        <v>70.875168</v>
      </c>
      <c r="BG9" s="13">
        <f>BE9+BF9</f>
        <v>2905.8846208000004</v>
      </c>
      <c r="BH9" s="28">
        <f>BF$6*$F9</f>
        <v>267.793904</v>
      </c>
      <c r="BI9" s="28">
        <f>BF$6*$G9</f>
        <v>16.9829856</v>
      </c>
      <c r="BJ9" s="28"/>
      <c r="BK9" s="13">
        <f>C9*0.87875/100</f>
        <v>18232.322575000002</v>
      </c>
      <c r="BL9" s="13">
        <f>D9*0.87875/100</f>
        <v>455.80762500000003</v>
      </c>
      <c r="BM9" s="13">
        <f>BK9+BL9</f>
        <v>18688.130200000003</v>
      </c>
      <c r="BN9" s="28">
        <f>BL$6*$F9</f>
        <v>1722.2181875</v>
      </c>
      <c r="BO9" s="28">
        <f>BL$6*$G9</f>
        <v>109.2198375</v>
      </c>
      <c r="BP9" s="28"/>
      <c r="BQ9" s="13">
        <f>C9*0.56757/100</f>
        <v>11775.9537114</v>
      </c>
      <c r="BR9" s="13">
        <f>D9*0.56757/100</f>
        <v>294.39855900000003</v>
      </c>
      <c r="BS9" s="13">
        <f>BQ9+BR9</f>
        <v>12070.352270399999</v>
      </c>
      <c r="BT9" s="28">
        <f>BR$6*$F9</f>
        <v>1112.3520644999999</v>
      </c>
      <c r="BU9" s="28">
        <f>BR$6*$G9</f>
        <v>70.54327529999999</v>
      </c>
      <c r="BV9" s="13"/>
      <c r="BW9" s="13">
        <f>C9*2.18514/100</f>
        <v>45337.328422800005</v>
      </c>
      <c r="BX9" s="13">
        <f>D9*2.18514/100</f>
        <v>1133.432118</v>
      </c>
      <c r="BY9" s="13">
        <f>BW9+BX9</f>
        <v>46470.7605408</v>
      </c>
      <c r="BZ9" s="28">
        <f>BX$6*$F9</f>
        <v>4282.546629</v>
      </c>
      <c r="CA9" s="28">
        <f>BX$6*$G9</f>
        <v>271.5910506</v>
      </c>
      <c r="CB9" s="28"/>
      <c r="CC9" s="13">
        <f>C9*0.13916/100</f>
        <v>2887.2944632</v>
      </c>
      <c r="CD9" s="13">
        <f>D9*0.13916/100</f>
        <v>72.182292</v>
      </c>
      <c r="CE9" s="13">
        <f>CC9+CD9</f>
        <v>2959.4767552</v>
      </c>
      <c r="CF9" s="28">
        <f>CD$6*$F9</f>
        <v>272.732726</v>
      </c>
      <c r="CG9" s="28">
        <f>CD$6*$G9</f>
        <v>17.2961964</v>
      </c>
      <c r="CH9" s="28"/>
      <c r="CI9" s="13">
        <f>C9*0.37665/100</f>
        <v>7814.741733</v>
      </c>
      <c r="CJ9" s="13">
        <f>D9*0.37665/100</f>
        <v>195.36835499999998</v>
      </c>
      <c r="CK9" s="13">
        <f>CI9+CJ9</f>
        <v>8010.110087999999</v>
      </c>
      <c r="CL9" s="28">
        <f>CJ$6*$F9</f>
        <v>738.1775025</v>
      </c>
      <c r="CM9" s="28">
        <f>CJ$6*$G9</f>
        <v>46.8138285</v>
      </c>
      <c r="CN9" s="28"/>
      <c r="CO9" s="13">
        <f>C9*1.58627/100</f>
        <v>32911.9616854</v>
      </c>
      <c r="CP9" s="13">
        <f>D9*1.58627/100</f>
        <v>822.798249</v>
      </c>
      <c r="CQ9" s="13">
        <f>CO9+CP9</f>
        <v>33734.7599344</v>
      </c>
      <c r="CR9" s="28">
        <f>CP$6*$F9</f>
        <v>3108.8512595</v>
      </c>
      <c r="CS9" s="28">
        <f>CP$6*$G9</f>
        <v>197.15749830000001</v>
      </c>
      <c r="CT9" s="28"/>
      <c r="CU9" s="13">
        <f>C9*0.07178/100</f>
        <v>1489.2928756</v>
      </c>
      <c r="CV9" s="13">
        <f>D9*0.07178/100</f>
        <v>37.232286</v>
      </c>
      <c r="CW9" s="13">
        <f>CU9+CV9</f>
        <v>1526.5251615999998</v>
      </c>
      <c r="CX9" s="28">
        <f>CV$6*$F9</f>
        <v>140.678033</v>
      </c>
      <c r="CY9" s="28">
        <f>CV$6*$G9</f>
        <v>8.9215362</v>
      </c>
      <c r="CZ9" s="28"/>
      <c r="DA9" s="13">
        <f>C9*1.01431/100</f>
        <v>21044.924166200002</v>
      </c>
      <c r="DB9" s="13">
        <f>D9*1.01431/100</f>
        <v>526.122597</v>
      </c>
      <c r="DC9" s="13">
        <f>DA9+DB9</f>
        <v>21571.046763200004</v>
      </c>
      <c r="DD9" s="28">
        <f>DB$6*$F9</f>
        <v>1987.8954535</v>
      </c>
      <c r="DE9" s="28">
        <f>DB$6*$G9</f>
        <v>126.0685899</v>
      </c>
      <c r="DF9" s="28"/>
      <c r="DG9" s="13">
        <f>C9*0.48536/100</f>
        <v>10070.2589872</v>
      </c>
      <c r="DH9" s="28">
        <f>D9*0.48536/100</f>
        <v>251.756232</v>
      </c>
      <c r="DI9" s="13">
        <f>DG9+DH9</f>
        <v>10322.0152192</v>
      </c>
      <c r="DJ9" s="28">
        <f>DH$6*$F9</f>
        <v>951.2327959999999</v>
      </c>
      <c r="DK9" s="28">
        <f>DH$6*$G9</f>
        <v>60.32539439999999</v>
      </c>
      <c r="DL9" s="28"/>
      <c r="DM9" s="13">
        <f>C9*0.80603/100</f>
        <v>16723.5265606</v>
      </c>
      <c r="DN9" s="13">
        <f>D9*0.80603/100</f>
        <v>418.087761</v>
      </c>
      <c r="DO9" s="13">
        <f>DM9+DN9</f>
        <v>17141.6143216</v>
      </c>
      <c r="DP9" s="28">
        <f>DN$6*$F9</f>
        <v>1579.6978955</v>
      </c>
      <c r="DQ9" s="28">
        <f>DN$6*$G9</f>
        <v>100.1814687</v>
      </c>
      <c r="DR9" s="28"/>
      <c r="DS9" s="13">
        <f>C9*2.45163/100</f>
        <v>50866.4682726</v>
      </c>
      <c r="DT9" s="13">
        <f>D9*2.45163/100</f>
        <v>1271.6604810000001</v>
      </c>
      <c r="DU9" s="13">
        <f>DS9+DT9</f>
        <v>52138.1287536</v>
      </c>
      <c r="DV9" s="28">
        <f>DT$6*$F9</f>
        <v>4804.8270555</v>
      </c>
      <c r="DW9" s="28">
        <f>DT$6*$G9</f>
        <v>304.7130927</v>
      </c>
      <c r="DX9" s="28"/>
      <c r="DY9" s="13">
        <f>C9*0.25443/100</f>
        <v>5278.9187286</v>
      </c>
      <c r="DZ9" s="13">
        <f>D9*0.25443/100</f>
        <v>131.972841</v>
      </c>
      <c r="EA9" s="13">
        <f>DY9+DZ9</f>
        <v>5410.8915695999995</v>
      </c>
      <c r="EB9" s="28">
        <f>DZ$6*$F9</f>
        <v>498.64463550000005</v>
      </c>
      <c r="EC9" s="28">
        <f>DZ$6*$G9</f>
        <v>31.623104700000003</v>
      </c>
      <c r="ED9" s="28"/>
      <c r="EE9" s="13">
        <f>C9*0.12856/100</f>
        <v>2667.3654512000003</v>
      </c>
      <c r="EF9" s="13">
        <f>D9*0.12856/100</f>
        <v>66.684072</v>
      </c>
      <c r="EG9" s="13">
        <f>EE9+EF9</f>
        <v>2734.0495232000003</v>
      </c>
      <c r="EH9" s="28">
        <f>EF$6*$F9</f>
        <v>251.958316</v>
      </c>
      <c r="EI9" s="28">
        <f>EF$6*$G9</f>
        <v>15.9787224</v>
      </c>
      <c r="EJ9" s="28"/>
      <c r="EK9" s="13">
        <f>C9*0.03415/100</f>
        <v>708.544883</v>
      </c>
      <c r="EL9" s="13">
        <f>D9*0.03415/100</f>
        <v>17.713605</v>
      </c>
      <c r="EM9" s="13">
        <f>EK9+EL9</f>
        <v>726.258488</v>
      </c>
      <c r="EN9" s="28">
        <f>EL$6*$F9</f>
        <v>66.9288775</v>
      </c>
      <c r="EO9" s="28">
        <f>EL$6*$G9</f>
        <v>4.2445035</v>
      </c>
      <c r="EP9" s="28"/>
      <c r="EQ9" s="13">
        <f>C9*1.11619/100</f>
        <v>23158.7324438</v>
      </c>
      <c r="ER9" s="13">
        <f>D9*1.11619/100</f>
        <v>578.967753</v>
      </c>
      <c r="ES9" s="13">
        <f>EQ9+ER9</f>
        <v>23737.7001968</v>
      </c>
      <c r="ET9" s="28">
        <f>ER$6*$F9</f>
        <v>2187.5649715</v>
      </c>
      <c r="EU9" s="28">
        <f>ER$6*$G9</f>
        <v>138.7312551</v>
      </c>
      <c r="EV9" s="28"/>
      <c r="EW9" s="13">
        <f>C9*4.55599/100</f>
        <v>94527.77163980002</v>
      </c>
      <c r="EX9" s="13">
        <f>D9*4.55599/100</f>
        <v>2363.1920130000003</v>
      </c>
      <c r="EY9" s="13">
        <f>EW9+EX9</f>
        <v>96890.96365280003</v>
      </c>
      <c r="EZ9" s="28">
        <f>EX$6*$F9</f>
        <v>8929.0570015</v>
      </c>
      <c r="FA9" s="28">
        <f>EX$6*$G9</f>
        <v>566.2639971</v>
      </c>
      <c r="FB9" s="28"/>
      <c r="FC9" s="13">
        <f>C9*0.07571/100</f>
        <v>1570.8325942</v>
      </c>
      <c r="FD9" s="13">
        <f>D9*0.07571/100</f>
        <v>39.270776999999995</v>
      </c>
      <c r="FE9" s="13">
        <f>FC9+FD9</f>
        <v>1610.1033711999999</v>
      </c>
      <c r="FF9" s="28">
        <f>FD$6*$F9</f>
        <v>148.3802435</v>
      </c>
      <c r="FG9" s="28">
        <f>FD$6*$G9</f>
        <v>9.4099959</v>
      </c>
      <c r="FH9" s="28"/>
      <c r="FI9" s="13">
        <f>C9*0.91696/100</f>
        <v>19025.104419199997</v>
      </c>
      <c r="FJ9" s="13">
        <f>D9*0.91696/100</f>
        <v>475.62715199999997</v>
      </c>
      <c r="FK9" s="13">
        <f>FI9+FJ9</f>
        <v>19500.731571199998</v>
      </c>
      <c r="FL9" s="28">
        <f>FJ$6*$F9</f>
        <v>1797.104056</v>
      </c>
      <c r="FM9" s="28">
        <f>FJ$6*$G9</f>
        <v>113.9689584</v>
      </c>
      <c r="FN9" s="28"/>
      <c r="FO9" s="13">
        <f>C9*0.38062/100</f>
        <v>7897.111372400001</v>
      </c>
      <c r="FP9" s="13">
        <f>D9*0.38062/100</f>
        <v>197.427594</v>
      </c>
      <c r="FQ9" s="13">
        <f>FO9+FP9</f>
        <v>8094.5389664</v>
      </c>
      <c r="FR9" s="28">
        <f>FP$6*$F9</f>
        <v>745.958107</v>
      </c>
      <c r="FS9" s="28">
        <f>FP$6*$G9</f>
        <v>47.3072598</v>
      </c>
      <c r="FT9" s="28"/>
    </row>
    <row r="10" spans="1:176" s="30" customFormat="1" ht="12.75">
      <c r="A10" s="29">
        <v>45200</v>
      </c>
      <c r="C10" s="20">
        <f>'2010C-2021A'!O10</f>
        <v>0</v>
      </c>
      <c r="D10" s="20">
        <f>'2010C-2021A'!P10</f>
        <v>0</v>
      </c>
      <c r="E10" s="14">
        <f>C10+D10</f>
        <v>0</v>
      </c>
      <c r="F10" s="20">
        <f>'2010C-2021A'!R10</f>
        <v>0</v>
      </c>
      <c r="G10" s="20">
        <f>'2010C-2021A'!S10</f>
        <v>0</v>
      </c>
      <c r="H10" s="28"/>
      <c r="I10" s="13"/>
      <c r="J10" s="13">
        <f>D10*7.96069/100</f>
        <v>0</v>
      </c>
      <c r="K10" s="28">
        <f>I10+J10</f>
        <v>0</v>
      </c>
      <c r="L10" s="28">
        <f>J$6*$F10</f>
        <v>0</v>
      </c>
      <c r="M10" s="28">
        <f>J$6*$G10</f>
        <v>0</v>
      </c>
      <c r="N10" s="28"/>
      <c r="O10" s="13"/>
      <c r="P10" s="13">
        <f>D10*8.86163/100</f>
        <v>0</v>
      </c>
      <c r="Q10" s="13">
        <f>O10+P10</f>
        <v>0</v>
      </c>
      <c r="R10" s="28">
        <f>P$6*$F10</f>
        <v>0</v>
      </c>
      <c r="S10" s="28">
        <f>P$6*$G10</f>
        <v>0</v>
      </c>
      <c r="T10" s="28"/>
      <c r="U10" s="28"/>
      <c r="V10" s="13">
        <f>D10*3.27229/100</f>
        <v>0</v>
      </c>
      <c r="W10" s="13">
        <f>U10+V10</f>
        <v>0</v>
      </c>
      <c r="X10" s="28">
        <f>V$6*$F10</f>
        <v>0</v>
      </c>
      <c r="Y10" s="28">
        <f>V$6*$G10</f>
        <v>0</v>
      </c>
      <c r="Z10" s="28"/>
      <c r="AA10" s="13"/>
      <c r="AB10" s="13">
        <f>D10*2.44463/100</f>
        <v>0</v>
      </c>
      <c r="AC10" s="13">
        <f>AA10+AB10</f>
        <v>0</v>
      </c>
      <c r="AD10" s="28">
        <f>AB$6*$F10</f>
        <v>0</v>
      </c>
      <c r="AE10" s="28">
        <f>AB$6*$G10</f>
        <v>0</v>
      </c>
      <c r="AF10" s="13"/>
      <c r="AG10" s="13"/>
      <c r="AH10" s="13">
        <f>AH$6*$D10</f>
        <v>0</v>
      </c>
      <c r="AI10" s="13">
        <f>SUM(AG10:AH10)</f>
        <v>0</v>
      </c>
      <c r="AJ10" s="28">
        <f>AH$6*$F10</f>
        <v>0</v>
      </c>
      <c r="AK10" s="28">
        <f>AH$6*$G10</f>
        <v>0</v>
      </c>
      <c r="AL10" s="28"/>
      <c r="AM10" s="13"/>
      <c r="AN10" s="13">
        <f>D10*3.25486/100</f>
        <v>0</v>
      </c>
      <c r="AO10" s="13">
        <f>AM10+AN10</f>
        <v>0</v>
      </c>
      <c r="AP10" s="28">
        <f>AN$6*$F10</f>
        <v>0</v>
      </c>
      <c r="AQ10" s="28">
        <f>AN$6*$G10</f>
        <v>0</v>
      </c>
      <c r="AR10" s="13"/>
      <c r="AS10" s="13"/>
      <c r="AT10" s="13">
        <f>D10*23.78111/100</f>
        <v>0</v>
      </c>
      <c r="AU10" s="13">
        <f>AS10+AT10</f>
        <v>0</v>
      </c>
      <c r="AV10" s="28">
        <f>AT$6*$F10</f>
        <v>0</v>
      </c>
      <c r="AW10" s="28">
        <f>AT$6*$G10</f>
        <v>0</v>
      </c>
      <c r="AX10" s="28"/>
      <c r="AY10" s="13"/>
      <c r="AZ10" s="13">
        <f>D10*0.0004/100</f>
        <v>0</v>
      </c>
      <c r="BA10" s="13">
        <f>AY10+AZ10</f>
        <v>0</v>
      </c>
      <c r="BB10" s="28">
        <f>AZ$6*$F10</f>
        <v>0</v>
      </c>
      <c r="BC10" s="28">
        <f>AZ$6*$G10</f>
        <v>0</v>
      </c>
      <c r="BD10" s="28"/>
      <c r="BE10" s="13"/>
      <c r="BF10" s="13">
        <f>D10*0.13664/100</f>
        <v>0</v>
      </c>
      <c r="BG10" s="13">
        <f>BE10+BF10</f>
        <v>0</v>
      </c>
      <c r="BH10" s="28">
        <f>BF$6*$F10</f>
        <v>0</v>
      </c>
      <c r="BI10" s="28">
        <f>BF$6*$G10</f>
        <v>0</v>
      </c>
      <c r="BJ10" s="28"/>
      <c r="BK10" s="13"/>
      <c r="BL10" s="13">
        <f>D10*0.87875/100</f>
        <v>0</v>
      </c>
      <c r="BM10" s="13">
        <f>BK10+BL10</f>
        <v>0</v>
      </c>
      <c r="BN10" s="28">
        <f>BL$6*$F10</f>
        <v>0</v>
      </c>
      <c r="BO10" s="28">
        <f>BL$6*$G10</f>
        <v>0</v>
      </c>
      <c r="BP10" s="28"/>
      <c r="BQ10" s="13"/>
      <c r="BR10" s="13">
        <f>D10*0.56757/100</f>
        <v>0</v>
      </c>
      <c r="BS10" s="13">
        <f>BQ10+BR10</f>
        <v>0</v>
      </c>
      <c r="BT10" s="28">
        <f>BR$6*$F10</f>
        <v>0</v>
      </c>
      <c r="BU10" s="28">
        <f>BR$6*$G10</f>
        <v>0</v>
      </c>
      <c r="BV10" s="13"/>
      <c r="BW10" s="13"/>
      <c r="BX10" s="13">
        <f>D10*2.18514/100</f>
        <v>0</v>
      </c>
      <c r="BY10" s="13">
        <f>BW10+BX10</f>
        <v>0</v>
      </c>
      <c r="BZ10" s="28">
        <f>BX$6*$F10</f>
        <v>0</v>
      </c>
      <c r="CA10" s="28">
        <f>BX$6*$G10</f>
        <v>0</v>
      </c>
      <c r="CB10" s="28"/>
      <c r="CC10" s="13"/>
      <c r="CD10" s="13">
        <f>D10*0.13916/100</f>
        <v>0</v>
      </c>
      <c r="CE10" s="13">
        <f>CC10+CD10</f>
        <v>0</v>
      </c>
      <c r="CF10" s="28">
        <f>CD$6*$F10</f>
        <v>0</v>
      </c>
      <c r="CG10" s="28">
        <f>CD$6*$G10</f>
        <v>0</v>
      </c>
      <c r="CH10" s="28"/>
      <c r="CI10" s="13"/>
      <c r="CJ10" s="13">
        <f>D10*0.37665/100</f>
        <v>0</v>
      </c>
      <c r="CK10" s="13">
        <f>CI10+CJ10</f>
        <v>0</v>
      </c>
      <c r="CL10" s="28">
        <f>CJ$6*$F10</f>
        <v>0</v>
      </c>
      <c r="CM10" s="28">
        <f>CJ$6*$G10</f>
        <v>0</v>
      </c>
      <c r="CN10" s="28"/>
      <c r="CO10" s="13"/>
      <c r="CP10" s="13">
        <f>D10*1.58627/100</f>
        <v>0</v>
      </c>
      <c r="CQ10" s="13">
        <f>CO10+CP10</f>
        <v>0</v>
      </c>
      <c r="CR10" s="28">
        <f>CP$6*$F10</f>
        <v>0</v>
      </c>
      <c r="CS10" s="28">
        <f>CP$6*$G10</f>
        <v>0</v>
      </c>
      <c r="CT10" s="28"/>
      <c r="CU10" s="13"/>
      <c r="CV10" s="13">
        <f>D10*0.07178/100</f>
        <v>0</v>
      </c>
      <c r="CW10" s="13">
        <f>CU10+CV10</f>
        <v>0</v>
      </c>
      <c r="CX10" s="28">
        <f>CV$6*$F10</f>
        <v>0</v>
      </c>
      <c r="CY10" s="28">
        <f>CV$6*$G10</f>
        <v>0</v>
      </c>
      <c r="CZ10" s="28"/>
      <c r="DA10" s="13"/>
      <c r="DB10" s="13">
        <f>D10*1.01431/100</f>
        <v>0</v>
      </c>
      <c r="DC10" s="13">
        <f>DA10+DB10</f>
        <v>0</v>
      </c>
      <c r="DD10" s="28">
        <f>DB$6*$F10</f>
        <v>0</v>
      </c>
      <c r="DE10" s="28">
        <f>DB$6*$G10</f>
        <v>0</v>
      </c>
      <c r="DF10" s="28"/>
      <c r="DG10" s="13"/>
      <c r="DH10" s="28">
        <f>D10*0.48536/100</f>
        <v>0</v>
      </c>
      <c r="DI10" s="13">
        <f>DG10+DH10</f>
        <v>0</v>
      </c>
      <c r="DJ10" s="28">
        <f>DH$6*$F10</f>
        <v>0</v>
      </c>
      <c r="DK10" s="28">
        <f>DH$6*$G10</f>
        <v>0</v>
      </c>
      <c r="DL10" s="28"/>
      <c r="DM10" s="13"/>
      <c r="DN10" s="13">
        <f>D10*0.80603/100</f>
        <v>0</v>
      </c>
      <c r="DO10" s="13">
        <f>DM10+DN10</f>
        <v>0</v>
      </c>
      <c r="DP10" s="28">
        <f>DN$6*$F10</f>
        <v>0</v>
      </c>
      <c r="DQ10" s="28">
        <f>DN$6*$G10</f>
        <v>0</v>
      </c>
      <c r="DR10" s="28"/>
      <c r="DS10" s="13"/>
      <c r="DT10" s="13">
        <f>D10*2.45163/100</f>
        <v>0</v>
      </c>
      <c r="DU10" s="13">
        <f>DS10+DT10</f>
        <v>0</v>
      </c>
      <c r="DV10" s="28">
        <f>DT$6*$F10</f>
        <v>0</v>
      </c>
      <c r="DW10" s="28">
        <f>DT$6*$G10</f>
        <v>0</v>
      </c>
      <c r="DX10" s="28"/>
      <c r="DY10" s="13"/>
      <c r="DZ10" s="13">
        <f>D10*0.25443/100</f>
        <v>0</v>
      </c>
      <c r="EA10" s="13">
        <f>DY10+DZ10</f>
        <v>0</v>
      </c>
      <c r="EB10" s="28">
        <f>DZ$6*$F10</f>
        <v>0</v>
      </c>
      <c r="EC10" s="28">
        <f>DZ$6*$G10</f>
        <v>0</v>
      </c>
      <c r="ED10" s="28"/>
      <c r="EE10" s="13"/>
      <c r="EF10" s="13">
        <f>D10*0.12856/100</f>
        <v>0</v>
      </c>
      <c r="EG10" s="13">
        <f>EE10+EF10</f>
        <v>0</v>
      </c>
      <c r="EH10" s="28">
        <f>EF$6*$F10</f>
        <v>0</v>
      </c>
      <c r="EI10" s="28">
        <f>EF$6*$G10</f>
        <v>0</v>
      </c>
      <c r="EJ10" s="28"/>
      <c r="EK10" s="13"/>
      <c r="EL10" s="13">
        <f>D10*0.03415/100</f>
        <v>0</v>
      </c>
      <c r="EM10" s="13">
        <f>EK10+EL10</f>
        <v>0</v>
      </c>
      <c r="EN10" s="28">
        <f>EL$6*$F10</f>
        <v>0</v>
      </c>
      <c r="EO10" s="28">
        <f>EL$6*$G10</f>
        <v>0</v>
      </c>
      <c r="EP10" s="28"/>
      <c r="EQ10" s="13"/>
      <c r="ER10" s="13">
        <f>D10*1.11619/100</f>
        <v>0</v>
      </c>
      <c r="ES10" s="13">
        <f>EQ10+ER10</f>
        <v>0</v>
      </c>
      <c r="ET10" s="28">
        <f>ER$6*$F10</f>
        <v>0</v>
      </c>
      <c r="EU10" s="28">
        <f>ER$6*$G10</f>
        <v>0</v>
      </c>
      <c r="EV10" s="28"/>
      <c r="EW10" s="13"/>
      <c r="EX10" s="13">
        <f>D10*4.55599/100</f>
        <v>0</v>
      </c>
      <c r="EY10" s="13">
        <f>EW10+EX10</f>
        <v>0</v>
      </c>
      <c r="EZ10" s="28">
        <f>EX$6*$F10</f>
        <v>0</v>
      </c>
      <c r="FA10" s="28">
        <f>EX$6*$G10</f>
        <v>0</v>
      </c>
      <c r="FB10" s="28"/>
      <c r="FC10" s="13"/>
      <c r="FD10" s="13">
        <f>D10*0.07571/100</f>
        <v>0</v>
      </c>
      <c r="FE10" s="13">
        <f>FC10+FD10</f>
        <v>0</v>
      </c>
      <c r="FF10" s="28">
        <f>FD$6*$F10</f>
        <v>0</v>
      </c>
      <c r="FG10" s="28">
        <f>FD$6*$G10</f>
        <v>0</v>
      </c>
      <c r="FH10" s="28"/>
      <c r="FI10" s="13"/>
      <c r="FJ10" s="13">
        <f>D10*0.91696/100</f>
        <v>0</v>
      </c>
      <c r="FK10" s="13">
        <f>FI10+FJ10</f>
        <v>0</v>
      </c>
      <c r="FL10" s="28">
        <f>FJ$6*$F10</f>
        <v>0</v>
      </c>
      <c r="FM10" s="28">
        <f>FJ$6*$G10</f>
        <v>0</v>
      </c>
      <c r="FN10" s="28"/>
      <c r="FO10" s="13"/>
      <c r="FP10" s="13">
        <f>D10*0.38062/100</f>
        <v>0</v>
      </c>
      <c r="FQ10" s="13">
        <f>FO10+FP10</f>
        <v>0</v>
      </c>
      <c r="FR10" s="28">
        <f>FP$6*$F10</f>
        <v>0</v>
      </c>
      <c r="FS10" s="28">
        <f>FP$6*$G10</f>
        <v>0</v>
      </c>
      <c r="FT10" s="28"/>
    </row>
    <row r="11" spans="1:176" s="30" customFormat="1" ht="12.75">
      <c r="A11" s="29">
        <v>45383</v>
      </c>
      <c r="C11" s="20">
        <f>'2010C-2021A'!O11</f>
        <v>0</v>
      </c>
      <c r="D11" s="20">
        <f>'2010C-2021A'!P11</f>
        <v>0</v>
      </c>
      <c r="E11" s="14">
        <f>C11+D11</f>
        <v>0</v>
      </c>
      <c r="F11" s="20">
        <f>'2010C-2021A'!R11</f>
        <v>0</v>
      </c>
      <c r="G11" s="20">
        <f>'2010C-2021A'!S11</f>
        <v>0</v>
      </c>
      <c r="H11" s="28"/>
      <c r="I11" s="13">
        <f>C11*7.96069/100</f>
        <v>0</v>
      </c>
      <c r="J11" s="13">
        <f>D11*7.96069/100</f>
        <v>0</v>
      </c>
      <c r="K11" s="28">
        <f>I11+J11</f>
        <v>0</v>
      </c>
      <c r="L11" s="28">
        <f>J$6*$F11</f>
        <v>0</v>
      </c>
      <c r="M11" s="28">
        <f>J$6*$G11</f>
        <v>0</v>
      </c>
      <c r="N11" s="28"/>
      <c r="O11" s="13">
        <f>C11*8.86163/100</f>
        <v>0</v>
      </c>
      <c r="P11" s="13">
        <f>D11*8.86163/100</f>
        <v>0</v>
      </c>
      <c r="Q11" s="13">
        <f>O11+P11</f>
        <v>0</v>
      </c>
      <c r="R11" s="28">
        <f>P$6*$F11</f>
        <v>0</v>
      </c>
      <c r="S11" s="28">
        <f>P$6*$G11</f>
        <v>0</v>
      </c>
      <c r="T11" s="28"/>
      <c r="U11" s="28">
        <f>C11*3.27229/100</f>
        <v>0</v>
      </c>
      <c r="V11" s="13">
        <f>D11*3.27229/100</f>
        <v>0</v>
      </c>
      <c r="W11" s="13">
        <f>U11+V11</f>
        <v>0</v>
      </c>
      <c r="X11" s="28">
        <f>V$6*$F11</f>
        <v>0</v>
      </c>
      <c r="Y11" s="28">
        <f>V$6*$G11</f>
        <v>0</v>
      </c>
      <c r="Z11" s="28"/>
      <c r="AA11" s="13">
        <f>C11*2.44463/100</f>
        <v>0</v>
      </c>
      <c r="AB11" s="13">
        <f>D11*2.44463/100</f>
        <v>0</v>
      </c>
      <c r="AC11" s="13">
        <f>AA11+AB11</f>
        <v>0</v>
      </c>
      <c r="AD11" s="28">
        <f>AB$6*$F11</f>
        <v>0</v>
      </c>
      <c r="AE11" s="28">
        <f>AB$6*$G11</f>
        <v>0</v>
      </c>
      <c r="AF11" s="13"/>
      <c r="AG11" s="13">
        <f>AH$6*$C11</f>
        <v>0</v>
      </c>
      <c r="AH11" s="13">
        <f>AH$6*$D11</f>
        <v>0</v>
      </c>
      <c r="AI11" s="13">
        <f>SUM(AG11:AH11)</f>
        <v>0</v>
      </c>
      <c r="AJ11" s="28">
        <f>AH$6*$F11</f>
        <v>0</v>
      </c>
      <c r="AK11" s="28">
        <f>AH$6*$G11</f>
        <v>0</v>
      </c>
      <c r="AL11" s="28"/>
      <c r="AM11" s="13">
        <f>C11*3.25486/100</f>
        <v>0</v>
      </c>
      <c r="AN11" s="13">
        <f>D11*3.25486/100</f>
        <v>0</v>
      </c>
      <c r="AO11" s="13">
        <f>AM11+AN11</f>
        <v>0</v>
      </c>
      <c r="AP11" s="28">
        <f>AN$6*$F11</f>
        <v>0</v>
      </c>
      <c r="AQ11" s="28">
        <f>AN$6*$G11</f>
        <v>0</v>
      </c>
      <c r="AR11" s="13"/>
      <c r="AS11" s="13">
        <f>C11*23.78111/100</f>
        <v>0</v>
      </c>
      <c r="AT11" s="13">
        <f>D11*23.78111/100</f>
        <v>0</v>
      </c>
      <c r="AU11" s="13">
        <f>AS11+AT11</f>
        <v>0</v>
      </c>
      <c r="AV11" s="28">
        <f>AT$6*$F11</f>
        <v>0</v>
      </c>
      <c r="AW11" s="28">
        <f>AT$6*$G11</f>
        <v>0</v>
      </c>
      <c r="AX11" s="28"/>
      <c r="AY11" s="13">
        <f>C11*0.0004/100</f>
        <v>0</v>
      </c>
      <c r="AZ11" s="13">
        <f>D11*0.0004/100</f>
        <v>0</v>
      </c>
      <c r="BA11" s="13">
        <f>AY11+AZ11</f>
        <v>0</v>
      </c>
      <c r="BB11" s="28">
        <f>AZ$6*$F11</f>
        <v>0</v>
      </c>
      <c r="BC11" s="28">
        <f>AZ$6*$G11</f>
        <v>0</v>
      </c>
      <c r="BD11" s="28"/>
      <c r="BE11" s="13">
        <f>C11*0.13664/100</f>
        <v>0</v>
      </c>
      <c r="BF11" s="13">
        <f>D11*0.13664/100</f>
        <v>0</v>
      </c>
      <c r="BG11" s="13">
        <f>BE11+BF11</f>
        <v>0</v>
      </c>
      <c r="BH11" s="28">
        <f>BF$6*$F11</f>
        <v>0</v>
      </c>
      <c r="BI11" s="28">
        <f>BF$6*$G11</f>
        <v>0</v>
      </c>
      <c r="BJ11" s="28"/>
      <c r="BK11" s="13">
        <f>C11*0.87875/100</f>
        <v>0</v>
      </c>
      <c r="BL11" s="13">
        <f>D11*0.87875/100</f>
        <v>0</v>
      </c>
      <c r="BM11" s="13">
        <f>BK11+BL11</f>
        <v>0</v>
      </c>
      <c r="BN11" s="28">
        <f>BL$6*$F11</f>
        <v>0</v>
      </c>
      <c r="BO11" s="28">
        <f>BL$6*$G11</f>
        <v>0</v>
      </c>
      <c r="BP11" s="28"/>
      <c r="BQ11" s="13">
        <f>C11*0.56757/100</f>
        <v>0</v>
      </c>
      <c r="BR11" s="13">
        <f>D11*0.56757/100</f>
        <v>0</v>
      </c>
      <c r="BS11" s="13">
        <f>BQ11+BR11</f>
        <v>0</v>
      </c>
      <c r="BT11" s="28">
        <f>BR$6*$F11</f>
        <v>0</v>
      </c>
      <c r="BU11" s="28">
        <f>BR$6*$G11</f>
        <v>0</v>
      </c>
      <c r="BV11" s="13"/>
      <c r="BW11" s="13">
        <f>C11*2.18514/100</f>
        <v>0</v>
      </c>
      <c r="BX11" s="13">
        <f>D11*2.18514/100</f>
        <v>0</v>
      </c>
      <c r="BY11" s="13">
        <f>BW11+BX11</f>
        <v>0</v>
      </c>
      <c r="BZ11" s="28">
        <f>BX$6*$F11</f>
        <v>0</v>
      </c>
      <c r="CA11" s="28">
        <f>BX$6*$G11</f>
        <v>0</v>
      </c>
      <c r="CB11" s="28"/>
      <c r="CC11" s="13">
        <f>C11*0.13916/100</f>
        <v>0</v>
      </c>
      <c r="CD11" s="13">
        <f>D11*0.13916/100</f>
        <v>0</v>
      </c>
      <c r="CE11" s="13">
        <f>CC11+CD11</f>
        <v>0</v>
      </c>
      <c r="CF11" s="28">
        <f>CD$6*$F11</f>
        <v>0</v>
      </c>
      <c r="CG11" s="28">
        <f>CD$6*$G11</f>
        <v>0</v>
      </c>
      <c r="CH11" s="28"/>
      <c r="CI11" s="13">
        <f>C11*0.37665/100</f>
        <v>0</v>
      </c>
      <c r="CJ11" s="13">
        <f>D11*0.37665/100</f>
        <v>0</v>
      </c>
      <c r="CK11" s="13">
        <f>CI11+CJ11</f>
        <v>0</v>
      </c>
      <c r="CL11" s="28">
        <f>CJ$6*$F11</f>
        <v>0</v>
      </c>
      <c r="CM11" s="28">
        <f>CJ$6*$G11</f>
        <v>0</v>
      </c>
      <c r="CN11" s="28"/>
      <c r="CO11" s="13">
        <f>C11*1.58627/100</f>
        <v>0</v>
      </c>
      <c r="CP11" s="13">
        <f>D11*1.58627/100</f>
        <v>0</v>
      </c>
      <c r="CQ11" s="13">
        <f>CO11+CP11</f>
        <v>0</v>
      </c>
      <c r="CR11" s="28">
        <f>CP$6*$F11</f>
        <v>0</v>
      </c>
      <c r="CS11" s="28">
        <f>CP$6*$G11</f>
        <v>0</v>
      </c>
      <c r="CT11" s="28"/>
      <c r="CU11" s="13">
        <f>C11*0.07178/100</f>
        <v>0</v>
      </c>
      <c r="CV11" s="13">
        <f>D11*0.07178/100</f>
        <v>0</v>
      </c>
      <c r="CW11" s="13">
        <f>CU11+CV11</f>
        <v>0</v>
      </c>
      <c r="CX11" s="28">
        <f>CV$6*$F11</f>
        <v>0</v>
      </c>
      <c r="CY11" s="28">
        <f>CV$6*$G11</f>
        <v>0</v>
      </c>
      <c r="CZ11" s="28"/>
      <c r="DA11" s="13">
        <f>C11*1.01431/100</f>
        <v>0</v>
      </c>
      <c r="DB11" s="13">
        <f>D11*1.01431/100</f>
        <v>0</v>
      </c>
      <c r="DC11" s="13">
        <f>DA11+DB11</f>
        <v>0</v>
      </c>
      <c r="DD11" s="28">
        <f>DB$6*$F11</f>
        <v>0</v>
      </c>
      <c r="DE11" s="28">
        <f>DB$6*$G11</f>
        <v>0</v>
      </c>
      <c r="DF11" s="28"/>
      <c r="DG11" s="13">
        <f>C11*0.48536/100</f>
        <v>0</v>
      </c>
      <c r="DH11" s="28">
        <f>D11*0.48536/100</f>
        <v>0</v>
      </c>
      <c r="DI11" s="13">
        <f>DG11+DH11</f>
        <v>0</v>
      </c>
      <c r="DJ11" s="28">
        <f>DH$6*$F11</f>
        <v>0</v>
      </c>
      <c r="DK11" s="28">
        <f>DH$6*$G11</f>
        <v>0</v>
      </c>
      <c r="DL11" s="28"/>
      <c r="DM11" s="13">
        <f>C11*0.80603/100</f>
        <v>0</v>
      </c>
      <c r="DN11" s="13">
        <f>D11*0.80603/100</f>
        <v>0</v>
      </c>
      <c r="DO11" s="13">
        <f>DM11+DN11</f>
        <v>0</v>
      </c>
      <c r="DP11" s="28">
        <f>DN$6*$F11</f>
        <v>0</v>
      </c>
      <c r="DQ11" s="28">
        <f>DN$6*$G11</f>
        <v>0</v>
      </c>
      <c r="DR11" s="28"/>
      <c r="DS11" s="13">
        <f>C11*2.45163/100</f>
        <v>0</v>
      </c>
      <c r="DT11" s="13">
        <f>D11*2.45163/100</f>
        <v>0</v>
      </c>
      <c r="DU11" s="13">
        <f>DS11+DT11</f>
        <v>0</v>
      </c>
      <c r="DV11" s="28">
        <f>DT$6*$F11</f>
        <v>0</v>
      </c>
      <c r="DW11" s="28">
        <f>DT$6*$G11</f>
        <v>0</v>
      </c>
      <c r="DX11" s="28"/>
      <c r="DY11" s="13">
        <f>C11*0.25443/100</f>
        <v>0</v>
      </c>
      <c r="DZ11" s="13">
        <f>D11*0.25443/100</f>
        <v>0</v>
      </c>
      <c r="EA11" s="13">
        <f>DY11+DZ11</f>
        <v>0</v>
      </c>
      <c r="EB11" s="28">
        <f>DZ$6*$F11</f>
        <v>0</v>
      </c>
      <c r="EC11" s="28">
        <f>DZ$6*$G11</f>
        <v>0</v>
      </c>
      <c r="ED11" s="28"/>
      <c r="EE11" s="13">
        <f>C11*0.12856/100</f>
        <v>0</v>
      </c>
      <c r="EF11" s="13">
        <f>D11*0.12856/100</f>
        <v>0</v>
      </c>
      <c r="EG11" s="13">
        <f>EE11+EF11</f>
        <v>0</v>
      </c>
      <c r="EH11" s="28">
        <f>EF$6*$F11</f>
        <v>0</v>
      </c>
      <c r="EI11" s="28">
        <f>EF$6*$G11</f>
        <v>0</v>
      </c>
      <c r="EJ11" s="28"/>
      <c r="EK11" s="13">
        <f>C11*0.03415/100</f>
        <v>0</v>
      </c>
      <c r="EL11" s="13">
        <f>D11*0.03415/100</f>
        <v>0</v>
      </c>
      <c r="EM11" s="13">
        <f>EK11+EL11</f>
        <v>0</v>
      </c>
      <c r="EN11" s="28">
        <f>EL$6*$F11</f>
        <v>0</v>
      </c>
      <c r="EO11" s="28">
        <f>EL$6*$G11</f>
        <v>0</v>
      </c>
      <c r="EP11" s="28"/>
      <c r="EQ11" s="13">
        <f>C11*1.11619/100</f>
        <v>0</v>
      </c>
      <c r="ER11" s="13">
        <f>D11*1.11619/100</f>
        <v>0</v>
      </c>
      <c r="ES11" s="13">
        <f>EQ11+ER11</f>
        <v>0</v>
      </c>
      <c r="ET11" s="28">
        <f>ER$6*$F11</f>
        <v>0</v>
      </c>
      <c r="EU11" s="28">
        <f>ER$6*$G11</f>
        <v>0</v>
      </c>
      <c r="EV11" s="28"/>
      <c r="EW11" s="13">
        <f>C11*4.55599/100</f>
        <v>0</v>
      </c>
      <c r="EX11" s="13">
        <f>D11*4.55599/100</f>
        <v>0</v>
      </c>
      <c r="EY11" s="13">
        <f>EW11+EX11</f>
        <v>0</v>
      </c>
      <c r="EZ11" s="28">
        <f>EX$6*$F11</f>
        <v>0</v>
      </c>
      <c r="FA11" s="28">
        <f>EX$6*$G11</f>
        <v>0</v>
      </c>
      <c r="FB11" s="28"/>
      <c r="FC11" s="13">
        <f>C11*0.07571/100</f>
        <v>0</v>
      </c>
      <c r="FD11" s="13">
        <f>D11*0.07571/100</f>
        <v>0</v>
      </c>
      <c r="FE11" s="13">
        <f>FC11+FD11</f>
        <v>0</v>
      </c>
      <c r="FF11" s="28">
        <f>FD$6*$F11</f>
        <v>0</v>
      </c>
      <c r="FG11" s="28">
        <f>FD$6*$G11</f>
        <v>0</v>
      </c>
      <c r="FH11" s="28"/>
      <c r="FI11" s="13">
        <f>C11*0.91696/100</f>
        <v>0</v>
      </c>
      <c r="FJ11" s="13">
        <f>D11*0.91696/100</f>
        <v>0</v>
      </c>
      <c r="FK11" s="13">
        <f>FI11+FJ11</f>
        <v>0</v>
      </c>
      <c r="FL11" s="28">
        <f>FJ$6*$F11</f>
        <v>0</v>
      </c>
      <c r="FM11" s="28">
        <f>FJ$6*$G11</f>
        <v>0</v>
      </c>
      <c r="FN11" s="28"/>
      <c r="FO11" s="13">
        <f>C11*0.38062/100</f>
        <v>0</v>
      </c>
      <c r="FP11" s="13">
        <f>D11*0.38062/100</f>
        <v>0</v>
      </c>
      <c r="FQ11" s="13">
        <f>FO11+FP11</f>
        <v>0</v>
      </c>
      <c r="FR11" s="28">
        <f>FP$6*$F11</f>
        <v>0</v>
      </c>
      <c r="FS11" s="28">
        <f>FP$6*$G11</f>
        <v>0</v>
      </c>
      <c r="FT11" s="28"/>
    </row>
    <row r="12" ht="12.75">
      <c r="U12" s="28"/>
    </row>
    <row r="13" spans="1:175" ht="13.5" thickBot="1">
      <c r="A13" s="11" t="s">
        <v>0</v>
      </c>
      <c r="C13" s="27">
        <f>SUM(C8:C12)</f>
        <v>2074802</v>
      </c>
      <c r="D13" s="27">
        <f>SUM(D8:D12)</f>
        <v>103740</v>
      </c>
      <c r="E13" s="27">
        <f>SUM(E8:E12)</f>
        <v>2178542</v>
      </c>
      <c r="F13" s="27">
        <f>SUM(F8:F12)</f>
        <v>391970</v>
      </c>
      <c r="G13" s="27">
        <f>SUM(G8:G12)</f>
        <v>24858</v>
      </c>
      <c r="I13" s="27">
        <f>SUM(I8:I12)</f>
        <v>165168.5553338</v>
      </c>
      <c r="J13" s="27">
        <f>SUM(J8:J12)</f>
        <v>8258.419806</v>
      </c>
      <c r="K13" s="27">
        <f>SUM(K8:K12)</f>
        <v>173426.97513980002</v>
      </c>
      <c r="L13" s="27">
        <f>SUM(L8:L12)</f>
        <v>31203.516592999997</v>
      </c>
      <c r="M13" s="27">
        <f>SUM(M8:M12)</f>
        <v>1978.8683202</v>
      </c>
      <c r="O13" s="27">
        <f>SUM(O8:O12)</f>
        <v>183861.2764726</v>
      </c>
      <c r="P13" s="27">
        <f>SUM(P8:P12)</f>
        <v>9193.054962</v>
      </c>
      <c r="Q13" s="27">
        <f>SUM(Q8:Q12)</f>
        <v>193054.3314346</v>
      </c>
      <c r="R13" s="27">
        <f>SUM(R8:R12)</f>
        <v>34734.931111</v>
      </c>
      <c r="S13" s="27">
        <f>SUM(S8:S12)</f>
        <v>2202.8239854</v>
      </c>
      <c r="U13" s="27">
        <f>SUM(U8:U12)</f>
        <v>67893.53836579999</v>
      </c>
      <c r="V13" s="27">
        <f>SUM(V8:V12)</f>
        <v>3394.6736459999997</v>
      </c>
      <c r="W13" s="27">
        <f>SUM(W8:W12)</f>
        <v>71288.2120118</v>
      </c>
      <c r="X13" s="27">
        <f>SUM(X8:X12)</f>
        <v>12826.395113</v>
      </c>
      <c r="Y13" s="27">
        <f>SUM(Y8:Y12)</f>
        <v>813.4258482</v>
      </c>
      <c r="AA13" s="27">
        <f>SUM(AA8:AA12)</f>
        <v>50721.23213260001</v>
      </c>
      <c r="AB13" s="27">
        <f>SUM(AB8:AB12)</f>
        <v>2536.059162</v>
      </c>
      <c r="AC13" s="27">
        <f>SUM(AC8:AC12)</f>
        <v>53257.291294600014</v>
      </c>
      <c r="AD13" s="27">
        <f>SUM(AD8:AD12)</f>
        <v>9582.216211</v>
      </c>
      <c r="AE13" s="27">
        <f>SUM(AE8:AE12)</f>
        <v>607.6861254</v>
      </c>
      <c r="AF13" s="20"/>
      <c r="AG13" s="27">
        <f>SUM(AG8:AG12)</f>
        <v>5033.6771322</v>
      </c>
      <c r="AH13" s="27">
        <f>SUM(AH8:AH12)</f>
        <v>251.683614</v>
      </c>
      <c r="AI13" s="27">
        <f>SUM(AI8:AI12)</f>
        <v>5285.3607462</v>
      </c>
      <c r="AJ13" s="27">
        <f>SUM(AJ8:AJ12)</f>
        <v>950.958417</v>
      </c>
      <c r="AK13" s="27">
        <f>SUM(AK8:AK12)</f>
        <v>60.3079938</v>
      </c>
      <c r="AM13" s="27">
        <f>SUM(AM8:AM12)</f>
        <v>67531.9003772</v>
      </c>
      <c r="AN13" s="27">
        <f>SUM(AN8:AN12)</f>
        <v>3376.591764</v>
      </c>
      <c r="AO13" s="27">
        <f>SUM(AO8:AO12)</f>
        <v>70908.49214120001</v>
      </c>
      <c r="AP13" s="27">
        <f>SUM(AP8:AP12)</f>
        <v>12758.074741999999</v>
      </c>
      <c r="AQ13" s="27">
        <f>SUM(AQ8:AQ12)</f>
        <v>809.0930987999999</v>
      </c>
      <c r="AR13" s="27"/>
      <c r="AS13" s="27">
        <f>SUM(AS8:AS12)</f>
        <v>493410.94590220007</v>
      </c>
      <c r="AT13" s="27">
        <f>SUM(AT8:AT12)</f>
        <v>24670.523514</v>
      </c>
      <c r="AU13" s="27">
        <f>SUM(AU8:AU12)</f>
        <v>518081.46941620007</v>
      </c>
      <c r="AV13" s="27">
        <f>SUM(AV8:AV12)</f>
        <v>93214.816867</v>
      </c>
      <c r="AW13" s="27">
        <f>SUM(AW8:AW12)</f>
        <v>5911.5083238</v>
      </c>
      <c r="AY13" s="27">
        <f>SUM(AY8:AY12)</f>
        <v>8.299208</v>
      </c>
      <c r="AZ13" s="27">
        <f>SUM(AZ8:AZ12)</f>
        <v>0.41496</v>
      </c>
      <c r="BA13" s="27">
        <f>SUM(BA8:BA12)</f>
        <v>8.714168</v>
      </c>
      <c r="BB13" s="27">
        <f>SUM(BB8:BB12)</f>
        <v>1.56788</v>
      </c>
      <c r="BC13" s="27">
        <f>SUM(BC8:BC12)</f>
        <v>0.09943199999999999</v>
      </c>
      <c r="BE13" s="27">
        <f>SUM(BE8:BE12)</f>
        <v>2835.0094528000004</v>
      </c>
      <c r="BF13" s="27">
        <f>SUM(BF8:BF12)</f>
        <v>141.750336</v>
      </c>
      <c r="BG13" s="27">
        <f>SUM(BG8:BG12)</f>
        <v>2976.7597888000005</v>
      </c>
      <c r="BH13" s="27">
        <f>SUM(BH8:BH12)</f>
        <v>535.587808</v>
      </c>
      <c r="BI13" s="27">
        <f>SUM(BI8:BI12)</f>
        <v>33.9659712</v>
      </c>
      <c r="BK13" s="27">
        <f>SUM(BK8:BK12)</f>
        <v>18232.322575000002</v>
      </c>
      <c r="BL13" s="27">
        <f>SUM(BL8:BL12)</f>
        <v>911.6152500000001</v>
      </c>
      <c r="BM13" s="27">
        <f>SUM(BM8:BM12)</f>
        <v>19143.937825000005</v>
      </c>
      <c r="BN13" s="27">
        <f>SUM(BN8:BN12)</f>
        <v>3444.436375</v>
      </c>
      <c r="BO13" s="27">
        <f>SUM(BO8:BO12)</f>
        <v>218.439675</v>
      </c>
      <c r="BQ13" s="27">
        <f>SUM(BQ8:BQ12)</f>
        <v>11775.9537114</v>
      </c>
      <c r="BR13" s="27">
        <f>SUM(BR8:BR12)</f>
        <v>588.7971180000001</v>
      </c>
      <c r="BS13" s="27">
        <f>SUM(BS8:BS12)</f>
        <v>12364.750829399998</v>
      </c>
      <c r="BT13" s="27">
        <f>SUM(BT8:BT12)</f>
        <v>2224.7041289999997</v>
      </c>
      <c r="BU13" s="27">
        <f>SUM(BU8:BU12)</f>
        <v>141.08655059999998</v>
      </c>
      <c r="BV13" s="20"/>
      <c r="BW13" s="27">
        <f>SUM(BW8:BW12)</f>
        <v>45337.328422800005</v>
      </c>
      <c r="BX13" s="27">
        <f>SUM(BX8:BX12)</f>
        <v>2266.864236</v>
      </c>
      <c r="BY13" s="27">
        <f>SUM(BY8:BY12)</f>
        <v>47604.1926588</v>
      </c>
      <c r="BZ13" s="27">
        <f>SUM(BZ8:BZ12)</f>
        <v>8565.093258</v>
      </c>
      <c r="CA13" s="27">
        <f>SUM(CA8:CA12)</f>
        <v>543.1821012</v>
      </c>
      <c r="CC13" s="27">
        <f>SUM(CC8:CC12)</f>
        <v>2887.2944632</v>
      </c>
      <c r="CD13" s="27">
        <f>SUM(CD8:CD12)</f>
        <v>144.364584</v>
      </c>
      <c r="CE13" s="27">
        <f>SUM(CE8:CE12)</f>
        <v>3031.6590472</v>
      </c>
      <c r="CF13" s="27">
        <f>SUM(CF8:CF12)</f>
        <v>545.465452</v>
      </c>
      <c r="CG13" s="27">
        <f>SUM(CG8:CG12)</f>
        <v>34.5923928</v>
      </c>
      <c r="CI13" s="27">
        <f>SUM(CI8:CI12)</f>
        <v>7814.741733</v>
      </c>
      <c r="CJ13" s="27">
        <f>SUM(CJ8:CJ12)</f>
        <v>390.73670999999996</v>
      </c>
      <c r="CK13" s="27">
        <f>SUM(CK8:CK12)</f>
        <v>8205.478443</v>
      </c>
      <c r="CL13" s="27">
        <f>SUM(CL8:CL12)</f>
        <v>1476.355005</v>
      </c>
      <c r="CM13" s="27">
        <f>SUM(CM8:CM12)</f>
        <v>93.627657</v>
      </c>
      <c r="CO13" s="27">
        <f>SUM(CO8:CO12)</f>
        <v>32911.9616854</v>
      </c>
      <c r="CP13" s="27">
        <f>SUM(CP8:CP12)</f>
        <v>1645.596498</v>
      </c>
      <c r="CQ13" s="27">
        <f>SUM(CQ8:CQ12)</f>
        <v>34557.5581834</v>
      </c>
      <c r="CR13" s="27">
        <f>SUM(CR8:CR12)</f>
        <v>6217.702519</v>
      </c>
      <c r="CS13" s="27">
        <f>SUM(CS8:CS12)</f>
        <v>394.31499660000003</v>
      </c>
      <c r="CU13" s="27">
        <f>SUM(CU8:CU12)</f>
        <v>1489.2928756</v>
      </c>
      <c r="CV13" s="27">
        <f>SUM(CV8:CV12)</f>
        <v>74.464572</v>
      </c>
      <c r="CW13" s="27">
        <f>SUM(CW8:CW12)</f>
        <v>1563.7574475999998</v>
      </c>
      <c r="CX13" s="27">
        <f>SUM(CX8:CX12)</f>
        <v>281.356066</v>
      </c>
      <c r="CY13" s="27">
        <f>SUM(CY8:CY12)</f>
        <v>17.8430724</v>
      </c>
      <c r="DA13" s="27">
        <f>SUM(DA8:DA12)</f>
        <v>21044.924166200002</v>
      </c>
      <c r="DB13" s="27">
        <f>SUM(DB8:DB12)</f>
        <v>1052.245194</v>
      </c>
      <c r="DC13" s="27">
        <f>SUM(DC8:DC12)</f>
        <v>22097.169360200005</v>
      </c>
      <c r="DD13" s="27">
        <f>SUM(DD8:DD12)</f>
        <v>3975.790907</v>
      </c>
      <c r="DE13" s="27">
        <f>SUM(DE8:DE12)</f>
        <v>252.1371798</v>
      </c>
      <c r="DG13" s="27">
        <f>SUM(DG8:DG12)</f>
        <v>10070.2589872</v>
      </c>
      <c r="DH13" s="27">
        <f>SUM(DH8:DH12)</f>
        <v>503.512464</v>
      </c>
      <c r="DI13" s="27">
        <f>SUM(DI8:DI12)</f>
        <v>10573.7714512</v>
      </c>
      <c r="DJ13" s="27">
        <f>SUM(DJ8:DJ12)</f>
        <v>1902.4655919999998</v>
      </c>
      <c r="DK13" s="27">
        <f>SUM(DK8:DK12)</f>
        <v>120.65078879999999</v>
      </c>
      <c r="DM13" s="27">
        <f>SUM(DM8:DM12)</f>
        <v>16723.5265606</v>
      </c>
      <c r="DN13" s="27">
        <f>SUM(DN8:DN12)</f>
        <v>836.175522</v>
      </c>
      <c r="DO13" s="27">
        <f>SUM(DO8:DO12)</f>
        <v>17559.702082599997</v>
      </c>
      <c r="DP13" s="27">
        <f>SUM(DP8:DP12)</f>
        <v>3159.395791</v>
      </c>
      <c r="DQ13" s="27">
        <f>SUM(DQ8:DQ12)</f>
        <v>200.3629374</v>
      </c>
      <c r="DS13" s="27">
        <f>SUM(DS8:DS12)</f>
        <v>50866.4682726</v>
      </c>
      <c r="DT13" s="27">
        <f>SUM(DT8:DT12)</f>
        <v>2543.3209620000002</v>
      </c>
      <c r="DU13" s="27">
        <f>SUM(DU8:DU12)</f>
        <v>53409.7892346</v>
      </c>
      <c r="DV13" s="27">
        <f>SUM(DV8:DV12)</f>
        <v>9609.654111</v>
      </c>
      <c r="DW13" s="27">
        <f>SUM(DW8:DW12)</f>
        <v>609.4261854</v>
      </c>
      <c r="DY13" s="27">
        <f>SUM(DY8:DY12)</f>
        <v>5278.9187286</v>
      </c>
      <c r="DZ13" s="27">
        <f>SUM(DZ8:DZ12)</f>
        <v>263.945682</v>
      </c>
      <c r="EA13" s="27">
        <f>SUM(EA8:EA12)</f>
        <v>5542.864410599999</v>
      </c>
      <c r="EB13" s="27">
        <f>SUM(EB8:EB12)</f>
        <v>997.2892710000001</v>
      </c>
      <c r="EC13" s="27">
        <f>SUM(EC8:EC12)</f>
        <v>63.246209400000005</v>
      </c>
      <c r="EE13" s="27">
        <f>SUM(EE8:EE12)</f>
        <v>2667.3654512000003</v>
      </c>
      <c r="EF13" s="27">
        <f>SUM(EF8:EF12)</f>
        <v>133.368144</v>
      </c>
      <c r="EG13" s="27">
        <f>SUM(EG8:EG12)</f>
        <v>2800.7335952000003</v>
      </c>
      <c r="EH13" s="27">
        <f>SUM(EH8:EH12)</f>
        <v>503.916632</v>
      </c>
      <c r="EI13" s="27">
        <f>SUM(EI8:EI12)</f>
        <v>31.9574448</v>
      </c>
      <c r="EK13" s="27">
        <f>SUM(EK8:EK12)</f>
        <v>708.544883</v>
      </c>
      <c r="EL13" s="27">
        <f>SUM(EL8:EL12)</f>
        <v>35.42721</v>
      </c>
      <c r="EM13" s="27">
        <f>SUM(EM8:EM12)</f>
        <v>743.9720930000001</v>
      </c>
      <c r="EN13" s="27">
        <f>SUM(EN8:EN12)</f>
        <v>133.857755</v>
      </c>
      <c r="EO13" s="27">
        <f>SUM(EO8:EO12)</f>
        <v>8.489007</v>
      </c>
      <c r="EQ13" s="27">
        <f>SUM(EQ8:EQ12)</f>
        <v>23158.7324438</v>
      </c>
      <c r="ER13" s="27">
        <f>SUM(ER8:ER12)</f>
        <v>1157.935506</v>
      </c>
      <c r="ES13" s="27">
        <f>SUM(ES8:ES12)</f>
        <v>24316.6679498</v>
      </c>
      <c r="ET13" s="27">
        <f>SUM(ET8:ET12)</f>
        <v>4375.129943</v>
      </c>
      <c r="EU13" s="27">
        <f>SUM(EU8:EU12)</f>
        <v>277.4625102</v>
      </c>
      <c r="EW13" s="27">
        <f>SUM(EW8:EW12)</f>
        <v>94527.77163980002</v>
      </c>
      <c r="EX13" s="27">
        <f>SUM(EX8:EX12)</f>
        <v>4726.384026000001</v>
      </c>
      <c r="EY13" s="27">
        <f>SUM(EY8:EY12)</f>
        <v>99254.15566580003</v>
      </c>
      <c r="EZ13" s="27">
        <f>SUM(EZ8:EZ12)</f>
        <v>17858.114003</v>
      </c>
      <c r="FA13" s="27">
        <f>SUM(FA8:FA12)</f>
        <v>1132.5279942</v>
      </c>
      <c r="FC13" s="27">
        <f>SUM(FC8:FC12)</f>
        <v>1570.8325942</v>
      </c>
      <c r="FD13" s="27">
        <f>SUM(FD8:FD12)</f>
        <v>78.54155399999999</v>
      </c>
      <c r="FE13" s="27">
        <f>SUM(FE8:FE12)</f>
        <v>1649.3741481999998</v>
      </c>
      <c r="FF13" s="27">
        <f>SUM(FF8:FF12)</f>
        <v>296.760487</v>
      </c>
      <c r="FG13" s="27">
        <f>SUM(FG8:FG12)</f>
        <v>18.8199918</v>
      </c>
      <c r="FI13" s="27">
        <f>SUM(FI8:FI12)</f>
        <v>19025.104419199997</v>
      </c>
      <c r="FJ13" s="27">
        <f>SUM(FJ8:FJ12)</f>
        <v>951.2543039999999</v>
      </c>
      <c r="FK13" s="27">
        <f>SUM(FK8:FK12)</f>
        <v>19976.3587232</v>
      </c>
      <c r="FL13" s="27">
        <f>SUM(FL8:FL12)</f>
        <v>3594.208112</v>
      </c>
      <c r="FM13" s="27">
        <f>SUM(FM8:FM12)</f>
        <v>227.9379168</v>
      </c>
      <c r="FO13" s="27">
        <f>SUM(FO8:FO12)</f>
        <v>7897.111372400001</v>
      </c>
      <c r="FP13" s="27">
        <f>SUM(FP8:FP12)</f>
        <v>394.855188</v>
      </c>
      <c r="FQ13" s="27">
        <f>SUM(FQ8:FQ12)</f>
        <v>8291.9665604</v>
      </c>
      <c r="FR13" s="27">
        <f>SUM(FR8:FR12)</f>
        <v>1491.916214</v>
      </c>
      <c r="FS13" s="27">
        <f>SUM(FS8:FS12)</f>
        <v>94.6145196</v>
      </c>
    </row>
    <row r="14" ht="13.5" thickTop="1"/>
    <row r="25" spans="1:7" ht="12.75">
      <c r="A25"/>
      <c r="C25"/>
      <c r="D25"/>
      <c r="E25"/>
      <c r="F25"/>
      <c r="G25"/>
    </row>
    <row r="26" spans="1:7" ht="12.75">
      <c r="A26"/>
      <c r="C26"/>
      <c r="D26"/>
      <c r="E26"/>
      <c r="F26"/>
      <c r="G26"/>
    </row>
    <row r="27" spans="1:176" ht="12.75">
      <c r="A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</row>
    <row r="28" spans="1:176" ht="12.75">
      <c r="A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</row>
    <row r="29" spans="1:176" ht="12.75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</row>
    <row r="30" spans="1:176" ht="12.75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</row>
    <row r="31" spans="1:176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</row>
    <row r="32" spans="1:176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176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</row>
    <row r="50" spans="1:176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</row>
    <row r="51" spans="1:176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</row>
    <row r="52" spans="8:176" ht="12.75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</row>
    <row r="53" spans="8:176" ht="12.75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53"/>
  <sheetViews>
    <sheetView zoomScalePageLayoutView="0" workbookViewId="0" topLeftCell="A1">
      <selection activeCell="C8" sqref="C8:C9"/>
    </sheetView>
  </sheetViews>
  <sheetFormatPr defaultColWidth="13.7109375" defaultRowHeight="12.75"/>
  <cols>
    <col min="1" max="1" width="9.7109375" style="2" customWidth="1"/>
    <col min="2" max="2" width="3.7109375" style="13" customWidth="1"/>
    <col min="3" max="6" width="13.7109375" style="13" customWidth="1"/>
    <col min="7" max="7" width="16.7109375" style="13" customWidth="1"/>
    <col min="8" max="8" width="3.7109375" style="13" customWidth="1"/>
    <col min="9" max="12" width="13.7109375" style="13" customWidth="1"/>
    <col min="13" max="13" width="15.7109375" style="13" customWidth="1"/>
    <col min="14" max="14" width="3.7109375" style="13" customWidth="1"/>
    <col min="15" max="18" width="13.7109375" style="0" customWidth="1"/>
    <col min="19" max="19" width="16.28125" style="0" customWidth="1"/>
    <col min="20" max="20" width="3.7109375" style="13" customWidth="1"/>
    <col min="21" max="24" width="13.7109375" style="0" customWidth="1"/>
    <col min="25" max="25" width="15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0" width="13.7109375" style="3" customWidth="1"/>
    <col min="121" max="121" width="3.7109375" style="0" customWidth="1"/>
  </cols>
  <sheetData>
    <row r="1" spans="1:122" ht="12.75">
      <c r="A1" s="22"/>
      <c r="C1" s="23"/>
      <c r="O1" s="23" t="s">
        <v>6</v>
      </c>
      <c r="U1" s="23"/>
      <c r="AG1" s="23" t="s">
        <v>6</v>
      </c>
      <c r="AM1" s="23"/>
      <c r="AY1" s="23" t="s">
        <v>6</v>
      </c>
      <c r="BE1" s="23"/>
      <c r="BQ1" s="23" t="s">
        <v>6</v>
      </c>
      <c r="BW1" s="23"/>
      <c r="CI1" s="23" t="s">
        <v>6</v>
      </c>
      <c r="CO1" s="23"/>
      <c r="DA1" s="23" t="s">
        <v>6</v>
      </c>
      <c r="DG1" s="23"/>
      <c r="DR1" s="23" t="s">
        <v>6</v>
      </c>
    </row>
    <row r="2" spans="1:122" ht="12.75">
      <c r="A2" s="22"/>
      <c r="C2" s="23"/>
      <c r="O2" s="23" t="s">
        <v>5</v>
      </c>
      <c r="U2" s="23"/>
      <c r="AG2" s="23" t="s">
        <v>5</v>
      </c>
      <c r="AM2" s="23"/>
      <c r="AY2" s="23" t="s">
        <v>5</v>
      </c>
      <c r="BE2" s="23"/>
      <c r="BQ2" s="23" t="s">
        <v>5</v>
      </c>
      <c r="BW2" s="23"/>
      <c r="CI2" s="23" t="s">
        <v>5</v>
      </c>
      <c r="CO2" s="23"/>
      <c r="DA2" s="23" t="s">
        <v>5</v>
      </c>
      <c r="DG2" s="23"/>
      <c r="DR2" s="23" t="s">
        <v>5</v>
      </c>
    </row>
    <row r="3" spans="1:122" ht="12.75">
      <c r="A3" s="22"/>
      <c r="C3" s="23"/>
      <c r="O3" s="56" t="s">
        <v>64</v>
      </c>
      <c r="P3" s="1"/>
      <c r="U3" s="23"/>
      <c r="AG3" s="23" t="str">
        <f>O3</f>
        <v>2004 Series A Bond Funded Projects After 11B/2021A</v>
      </c>
      <c r="AM3" s="23"/>
      <c r="AY3" s="23" t="str">
        <f>AG3</f>
        <v>2004 Series A Bond Funded Projects After 11B/2021A</v>
      </c>
      <c r="BE3" s="23"/>
      <c r="BQ3" s="23" t="str">
        <f>AY3</f>
        <v>2004 Series A Bond Funded Projects After 11B/2021A</v>
      </c>
      <c r="BW3" s="23"/>
      <c r="CI3" s="23" t="str">
        <f>BQ3</f>
        <v>2004 Series A Bond Funded Projects After 11B/2021A</v>
      </c>
      <c r="CO3" s="23"/>
      <c r="DA3" s="23" t="str">
        <f>CI3</f>
        <v>2004 Series A Bond Funded Projects After 11B/2021A</v>
      </c>
      <c r="DG3" s="23"/>
      <c r="DR3" s="23" t="str">
        <f>DA3</f>
        <v>2004 Series A Bond Funded Projects After 11B/2021A</v>
      </c>
    </row>
    <row r="4" ht="12.75">
      <c r="A4" s="22"/>
    </row>
    <row r="5" spans="1:120" ht="12.75">
      <c r="A5" s="4" t="s">
        <v>1</v>
      </c>
      <c r="C5" s="57" t="s">
        <v>65</v>
      </c>
      <c r="D5" s="42"/>
      <c r="E5" s="43"/>
      <c r="F5" s="19"/>
      <c r="G5" s="19"/>
      <c r="I5" s="15" t="s">
        <v>31</v>
      </c>
      <c r="J5" s="16"/>
      <c r="K5" s="17"/>
      <c r="L5" s="19"/>
      <c r="M5" s="19"/>
      <c r="O5" s="15" t="s">
        <v>37</v>
      </c>
      <c r="P5" s="16"/>
      <c r="Q5" s="17"/>
      <c r="R5" s="19"/>
      <c r="S5" s="19"/>
      <c r="U5" s="5" t="s">
        <v>19</v>
      </c>
      <c r="V5" s="6"/>
      <c r="W5" s="7"/>
      <c r="X5" s="19"/>
      <c r="Y5" s="19"/>
      <c r="AA5" s="5" t="s">
        <v>29</v>
      </c>
      <c r="AB5" s="6"/>
      <c r="AC5" s="7"/>
      <c r="AD5" s="19"/>
      <c r="AE5" s="19"/>
      <c r="AG5" s="5" t="s">
        <v>20</v>
      </c>
      <c r="AH5" s="6"/>
      <c r="AI5" s="7"/>
      <c r="AJ5" s="19"/>
      <c r="AK5" s="19"/>
      <c r="AM5" s="5" t="s">
        <v>21</v>
      </c>
      <c r="AN5" s="6"/>
      <c r="AO5" s="7"/>
      <c r="AP5" s="19"/>
      <c r="AQ5" s="19"/>
      <c r="AS5" s="5" t="s">
        <v>22</v>
      </c>
      <c r="AT5" s="6"/>
      <c r="AU5" s="7"/>
      <c r="AV5" s="19"/>
      <c r="AW5" s="19"/>
      <c r="AY5" s="5" t="s">
        <v>23</v>
      </c>
      <c r="AZ5" s="6"/>
      <c r="BA5" s="7"/>
      <c r="BB5" s="19"/>
      <c r="BC5" s="19"/>
      <c r="BE5" s="5" t="s">
        <v>48</v>
      </c>
      <c r="BF5" s="6"/>
      <c r="BG5" s="7"/>
      <c r="BH5" s="19"/>
      <c r="BI5" s="19"/>
      <c r="BK5" s="5" t="s">
        <v>24</v>
      </c>
      <c r="BL5" s="6"/>
      <c r="BM5" s="7"/>
      <c r="BN5" s="19"/>
      <c r="BO5" s="19"/>
      <c r="BQ5" s="5" t="s">
        <v>49</v>
      </c>
      <c r="BR5" s="6"/>
      <c r="BS5" s="7"/>
      <c r="BT5" s="19"/>
      <c r="BU5" s="19"/>
      <c r="BW5" s="5" t="s">
        <v>25</v>
      </c>
      <c r="BX5" s="6"/>
      <c r="BY5" s="7"/>
      <c r="BZ5" s="19"/>
      <c r="CA5" s="19"/>
      <c r="CC5" s="32" t="s">
        <v>27</v>
      </c>
      <c r="CD5" s="6"/>
      <c r="CE5" s="7"/>
      <c r="CF5" s="19"/>
      <c r="CG5" s="19"/>
      <c r="CI5" s="5" t="s">
        <v>50</v>
      </c>
      <c r="CJ5" s="6"/>
      <c r="CK5" s="7"/>
      <c r="CL5" s="19"/>
      <c r="CM5" s="19"/>
      <c r="CO5" s="5" t="s">
        <v>51</v>
      </c>
      <c r="CP5" s="6"/>
      <c r="CQ5" s="7"/>
      <c r="CR5" s="19"/>
      <c r="CS5" s="19"/>
      <c r="CU5" s="5" t="s">
        <v>52</v>
      </c>
      <c r="CV5" s="6"/>
      <c r="CW5" s="7"/>
      <c r="CX5" s="19"/>
      <c r="CY5" s="19"/>
      <c r="DA5" s="5" t="s">
        <v>53</v>
      </c>
      <c r="DB5" s="6"/>
      <c r="DC5" s="7"/>
      <c r="DD5" s="19"/>
      <c r="DE5" s="19"/>
      <c r="DG5" s="5" t="s">
        <v>54</v>
      </c>
      <c r="DH5" s="6"/>
      <c r="DI5" s="7"/>
      <c r="DJ5" s="19"/>
      <c r="DK5" s="19"/>
      <c r="DM5" s="32" t="s">
        <v>7</v>
      </c>
      <c r="DN5" s="6"/>
      <c r="DO5" s="7"/>
      <c r="DP5" s="19"/>
    </row>
    <row r="6" spans="1:120" s="1" customFormat="1" ht="12.75">
      <c r="A6" s="24" t="s">
        <v>2</v>
      </c>
      <c r="B6" s="13"/>
      <c r="C6" s="46" t="s">
        <v>63</v>
      </c>
      <c r="D6" s="44"/>
      <c r="E6" s="45"/>
      <c r="F6" s="19" t="s">
        <v>55</v>
      </c>
      <c r="G6" s="19" t="s">
        <v>55</v>
      </c>
      <c r="H6" s="13"/>
      <c r="I6" s="18"/>
      <c r="J6" s="37">
        <v>0.6798012</v>
      </c>
      <c r="K6" s="17"/>
      <c r="L6" s="19" t="s">
        <v>55</v>
      </c>
      <c r="M6" s="19" t="s">
        <v>55</v>
      </c>
      <c r="N6" s="13"/>
      <c r="O6" s="18"/>
      <c r="P6" s="31">
        <f>V6+AB6+AH6+AN6+AT6+AZ6+BF6+BL6+BR6+BX6+CD6+CJ6+CP6+CV6+DB6+DH6+DN6</f>
        <v>0.3201988</v>
      </c>
      <c r="Q6" s="17"/>
      <c r="R6" s="19" t="s">
        <v>55</v>
      </c>
      <c r="S6" s="19" t="s">
        <v>55</v>
      </c>
      <c r="T6" s="13"/>
      <c r="U6" s="25"/>
      <c r="V6" s="12">
        <v>0.0028849</v>
      </c>
      <c r="W6" s="26"/>
      <c r="X6" s="19" t="s">
        <v>55</v>
      </c>
      <c r="Y6" s="19" t="s">
        <v>55</v>
      </c>
      <c r="AA6" s="25"/>
      <c r="AB6" s="12">
        <v>0.0121511</v>
      </c>
      <c r="AC6" s="26"/>
      <c r="AD6" s="19" t="s">
        <v>55</v>
      </c>
      <c r="AE6" s="19" t="s">
        <v>55</v>
      </c>
      <c r="AG6" s="25"/>
      <c r="AH6" s="12">
        <v>0.0051763</v>
      </c>
      <c r="AI6" s="26"/>
      <c r="AJ6" s="19" t="s">
        <v>55</v>
      </c>
      <c r="AK6" s="19" t="s">
        <v>55</v>
      </c>
      <c r="AM6" s="25"/>
      <c r="AN6" s="12">
        <v>0.001659</v>
      </c>
      <c r="AO6" s="26"/>
      <c r="AP6" s="19" t="s">
        <v>55</v>
      </c>
      <c r="AQ6" s="19" t="s">
        <v>55</v>
      </c>
      <c r="AS6" s="25"/>
      <c r="AT6" s="12">
        <v>0.0005119</v>
      </c>
      <c r="AU6" s="26"/>
      <c r="AV6" s="19" t="s">
        <v>55</v>
      </c>
      <c r="AW6" s="19" t="s">
        <v>55</v>
      </c>
      <c r="AY6" s="25"/>
      <c r="AZ6" s="12">
        <v>0.0109472</v>
      </c>
      <c r="BA6" s="26"/>
      <c r="BB6" s="19" t="s">
        <v>55</v>
      </c>
      <c r="BC6" s="19" t="s">
        <v>55</v>
      </c>
      <c r="BE6" s="25"/>
      <c r="BF6" s="12">
        <v>0.0001911</v>
      </c>
      <c r="BG6" s="26"/>
      <c r="BH6" s="19" t="s">
        <v>55</v>
      </c>
      <c r="BI6" s="19" t="s">
        <v>55</v>
      </c>
      <c r="BK6" s="25"/>
      <c r="BL6" s="12">
        <v>0.0424642</v>
      </c>
      <c r="BM6" s="26"/>
      <c r="BN6" s="19" t="s">
        <v>55</v>
      </c>
      <c r="BO6" s="19" t="s">
        <v>55</v>
      </c>
      <c r="BQ6" s="25"/>
      <c r="BR6" s="12">
        <v>0.0015092</v>
      </c>
      <c r="BS6" s="26"/>
      <c r="BT6" s="19" t="s">
        <v>55</v>
      </c>
      <c r="BU6" s="19" t="s">
        <v>55</v>
      </c>
      <c r="BW6" s="25"/>
      <c r="BX6" s="12">
        <v>0.0450865</v>
      </c>
      <c r="BY6" s="26"/>
      <c r="BZ6" s="19" t="s">
        <v>55</v>
      </c>
      <c r="CA6" s="19" t="s">
        <v>55</v>
      </c>
      <c r="CC6" s="25"/>
      <c r="CD6" s="12">
        <v>0.0134749</v>
      </c>
      <c r="CE6" s="26"/>
      <c r="CF6" s="19" t="s">
        <v>55</v>
      </c>
      <c r="CG6" s="19" t="s">
        <v>55</v>
      </c>
      <c r="CI6" s="25"/>
      <c r="CJ6" s="12">
        <v>0.0011948</v>
      </c>
      <c r="CK6" s="26"/>
      <c r="CL6" s="19" t="s">
        <v>55</v>
      </c>
      <c r="CM6" s="19" t="s">
        <v>55</v>
      </c>
      <c r="CO6" s="25"/>
      <c r="CP6" s="12">
        <v>0.0003698</v>
      </c>
      <c r="CQ6" s="26"/>
      <c r="CR6" s="19" t="s">
        <v>55</v>
      </c>
      <c r="CS6" s="19" t="s">
        <v>55</v>
      </c>
      <c r="CU6" s="25"/>
      <c r="CV6" s="12">
        <v>0.0013432</v>
      </c>
      <c r="CW6" s="26"/>
      <c r="CX6" s="19" t="s">
        <v>55</v>
      </c>
      <c r="CY6" s="19" t="s">
        <v>55</v>
      </c>
      <c r="DA6" s="25"/>
      <c r="DB6" s="12">
        <v>0.0026052</v>
      </c>
      <c r="DC6" s="26"/>
      <c r="DD6" s="19" t="s">
        <v>55</v>
      </c>
      <c r="DE6" s="19" t="s">
        <v>55</v>
      </c>
      <c r="DG6" s="25"/>
      <c r="DH6" s="12">
        <v>0.1786295</v>
      </c>
      <c r="DI6" s="26"/>
      <c r="DJ6" s="19" t="s">
        <v>55</v>
      </c>
      <c r="DK6" s="19" t="s">
        <v>55</v>
      </c>
      <c r="DM6" s="25"/>
      <c r="DN6" s="12"/>
      <c r="DO6" s="26"/>
      <c r="DP6" s="19" t="s">
        <v>55</v>
      </c>
    </row>
    <row r="7" spans="1:120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59</v>
      </c>
      <c r="I7" s="19" t="s">
        <v>3</v>
      </c>
      <c r="J7" s="19" t="s">
        <v>4</v>
      </c>
      <c r="K7" s="19" t="s">
        <v>0</v>
      </c>
      <c r="L7" s="19" t="s">
        <v>56</v>
      </c>
      <c r="M7" s="48" t="s">
        <v>59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59</v>
      </c>
      <c r="U7" s="9" t="s">
        <v>3</v>
      </c>
      <c r="V7" s="9" t="s">
        <v>4</v>
      </c>
      <c r="W7" s="9" t="s">
        <v>0</v>
      </c>
      <c r="X7" s="19" t="s">
        <v>56</v>
      </c>
      <c r="Y7" s="48" t="s">
        <v>59</v>
      </c>
      <c r="AA7" s="9" t="s">
        <v>3</v>
      </c>
      <c r="AB7" s="9" t="s">
        <v>4</v>
      </c>
      <c r="AC7" s="9" t="s">
        <v>0</v>
      </c>
      <c r="AD7" s="19" t="s">
        <v>56</v>
      </c>
      <c r="AE7" s="48" t="s">
        <v>59</v>
      </c>
      <c r="AG7" s="9" t="s">
        <v>3</v>
      </c>
      <c r="AH7" s="9" t="s">
        <v>4</v>
      </c>
      <c r="AI7" s="9" t="s">
        <v>0</v>
      </c>
      <c r="AJ7" s="19" t="s">
        <v>56</v>
      </c>
      <c r="AK7" s="48" t="s">
        <v>59</v>
      </c>
      <c r="AM7" s="9" t="s">
        <v>3</v>
      </c>
      <c r="AN7" s="9" t="s">
        <v>4</v>
      </c>
      <c r="AO7" s="9" t="s">
        <v>0</v>
      </c>
      <c r="AP7" s="19" t="s">
        <v>56</v>
      </c>
      <c r="AQ7" s="48" t="s">
        <v>59</v>
      </c>
      <c r="AS7" s="9" t="s">
        <v>3</v>
      </c>
      <c r="AT7" s="9" t="s">
        <v>4</v>
      </c>
      <c r="AU7" s="9" t="s">
        <v>0</v>
      </c>
      <c r="AV7" s="19" t="s">
        <v>56</v>
      </c>
      <c r="AW7" s="48" t="s">
        <v>59</v>
      </c>
      <c r="AY7" s="9" t="s">
        <v>3</v>
      </c>
      <c r="AZ7" s="9" t="s">
        <v>4</v>
      </c>
      <c r="BA7" s="9" t="s">
        <v>0</v>
      </c>
      <c r="BB7" s="19" t="s">
        <v>56</v>
      </c>
      <c r="BC7" s="48" t="s">
        <v>59</v>
      </c>
      <c r="BE7" s="9" t="s">
        <v>3</v>
      </c>
      <c r="BF7" s="9" t="s">
        <v>4</v>
      </c>
      <c r="BG7" s="9" t="s">
        <v>0</v>
      </c>
      <c r="BH7" s="19" t="s">
        <v>56</v>
      </c>
      <c r="BI7" s="48" t="s">
        <v>59</v>
      </c>
      <c r="BK7" s="9" t="s">
        <v>3</v>
      </c>
      <c r="BL7" s="9" t="s">
        <v>4</v>
      </c>
      <c r="BM7" s="9" t="s">
        <v>0</v>
      </c>
      <c r="BN7" s="19" t="s">
        <v>56</v>
      </c>
      <c r="BO7" s="48" t="s">
        <v>59</v>
      </c>
      <c r="BQ7" s="9" t="s">
        <v>3</v>
      </c>
      <c r="BR7" s="9" t="s">
        <v>4</v>
      </c>
      <c r="BS7" s="9" t="s">
        <v>0</v>
      </c>
      <c r="BT7" s="19" t="s">
        <v>56</v>
      </c>
      <c r="BU7" s="48" t="s">
        <v>59</v>
      </c>
      <c r="BW7" s="9" t="s">
        <v>3</v>
      </c>
      <c r="BX7" s="9" t="s">
        <v>4</v>
      </c>
      <c r="BY7" s="9" t="s">
        <v>0</v>
      </c>
      <c r="BZ7" s="19" t="s">
        <v>56</v>
      </c>
      <c r="CA7" s="48" t="s">
        <v>59</v>
      </c>
      <c r="CC7" s="9" t="s">
        <v>3</v>
      </c>
      <c r="CD7" s="9" t="s">
        <v>4</v>
      </c>
      <c r="CE7" s="9" t="s">
        <v>0</v>
      </c>
      <c r="CF7" s="19" t="s">
        <v>56</v>
      </c>
      <c r="CG7" s="48" t="s">
        <v>59</v>
      </c>
      <c r="CI7" s="9" t="s">
        <v>3</v>
      </c>
      <c r="CJ7" s="9" t="s">
        <v>4</v>
      </c>
      <c r="CK7" s="9" t="s">
        <v>0</v>
      </c>
      <c r="CL7" s="19" t="s">
        <v>56</v>
      </c>
      <c r="CM7" s="48" t="s">
        <v>59</v>
      </c>
      <c r="CO7" s="9" t="s">
        <v>3</v>
      </c>
      <c r="CP7" s="9" t="s">
        <v>4</v>
      </c>
      <c r="CQ7" s="9" t="s">
        <v>0</v>
      </c>
      <c r="CR7" s="19" t="s">
        <v>56</v>
      </c>
      <c r="CS7" s="48" t="s">
        <v>59</v>
      </c>
      <c r="CU7" s="9" t="s">
        <v>3</v>
      </c>
      <c r="CV7" s="9" t="s">
        <v>4</v>
      </c>
      <c r="CW7" s="9" t="s">
        <v>0</v>
      </c>
      <c r="CX7" s="19" t="s">
        <v>56</v>
      </c>
      <c r="CY7" s="48" t="s">
        <v>59</v>
      </c>
      <c r="DA7" s="9" t="s">
        <v>3</v>
      </c>
      <c r="DB7" s="9" t="s">
        <v>4</v>
      </c>
      <c r="DC7" s="9" t="s">
        <v>0</v>
      </c>
      <c r="DD7" s="19" t="s">
        <v>56</v>
      </c>
      <c r="DE7" s="48" t="s">
        <v>59</v>
      </c>
      <c r="DG7" s="9" t="s">
        <v>3</v>
      </c>
      <c r="DH7" s="9" t="s">
        <v>4</v>
      </c>
      <c r="DI7" s="9" t="s">
        <v>0</v>
      </c>
      <c r="DJ7" s="19" t="s">
        <v>56</v>
      </c>
      <c r="DK7" s="48" t="s">
        <v>59</v>
      </c>
      <c r="DM7" s="9" t="s">
        <v>3</v>
      </c>
      <c r="DN7" s="9" t="s">
        <v>4</v>
      </c>
      <c r="DO7" s="9" t="s">
        <v>0</v>
      </c>
      <c r="DP7" s="19" t="s">
        <v>56</v>
      </c>
    </row>
    <row r="8" spans="1:120" s="30" customFormat="1" ht="12.75">
      <c r="A8" s="29">
        <v>44835</v>
      </c>
      <c r="B8" s="28"/>
      <c r="C8" s="14"/>
      <c r="D8" s="14">
        <v>62500</v>
      </c>
      <c r="E8" s="14">
        <f>C8+D8</f>
        <v>62500</v>
      </c>
      <c r="F8" s="14">
        <v>80524</v>
      </c>
      <c r="G8" s="14">
        <v>44405</v>
      </c>
      <c r="H8" s="28"/>
      <c r="I8" s="28">
        <f>'2011B-2021A Academic'!I8</f>
        <v>0</v>
      </c>
      <c r="J8" s="28">
        <f>'2011B-2021A Academic'!J8</f>
        <v>42487.575000000004</v>
      </c>
      <c r="K8" s="28">
        <f>I8+J8</f>
        <v>42487.575000000004</v>
      </c>
      <c r="L8" s="28">
        <f>'2011B-2021A Academic'!L8</f>
        <v>54740.311828799975</v>
      </c>
      <c r="M8" s="28">
        <f>'2011B-2021A Academic'!M8</f>
        <v>30186.572286000006</v>
      </c>
      <c r="N8" s="28"/>
      <c r="O8" s="13"/>
      <c r="P8" s="20">
        <f>V8+AB8+AH8+AN8+AT8+AZ8+BF8+BL8+BR8+BX8+CD8+CJ8+CP8+CV8+DB8+DH8+DN8</f>
        <v>20012.425</v>
      </c>
      <c r="Q8" s="13">
        <f>O8+P8</f>
        <v>20012.425</v>
      </c>
      <c r="R8" s="13">
        <f aca="true" t="shared" si="0" ref="R8:S11">X8+AD8+AJ8+AP8+AV8+BB8+BH8+BN8+BT8+BZ8+CF8+CL8+CR8+CX8+DD8+DJ8+DP8</f>
        <v>25783.688171200003</v>
      </c>
      <c r="S8" s="20">
        <f t="shared" si="0"/>
        <v>14218.427714</v>
      </c>
      <c r="T8" s="28"/>
      <c r="U8" s="28"/>
      <c r="V8" s="20">
        <f>D8*0.28849/100</f>
        <v>180.30625</v>
      </c>
      <c r="W8" s="28">
        <f>U8+V8</f>
        <v>180.30625</v>
      </c>
      <c r="X8" s="28">
        <f>V$6*$F8</f>
        <v>232.30368760000002</v>
      </c>
      <c r="Y8" s="28">
        <f>V$6*$G8</f>
        <v>128.1039845</v>
      </c>
      <c r="AA8" s="28"/>
      <c r="AB8" s="28">
        <f>D8*1.21511/100</f>
        <v>759.44375</v>
      </c>
      <c r="AC8" s="13">
        <f>AA8+AB8</f>
        <v>759.44375</v>
      </c>
      <c r="AD8" s="28">
        <f>AB$6*$F8</f>
        <v>978.4551764</v>
      </c>
      <c r="AE8" s="28">
        <f>AB$6*$G8</f>
        <v>539.5695955</v>
      </c>
      <c r="AG8" s="28"/>
      <c r="AH8" s="28">
        <f>D8*0.51763/100</f>
        <v>323.51875</v>
      </c>
      <c r="AI8" s="13">
        <f>AG8+AH8</f>
        <v>323.51875</v>
      </c>
      <c r="AJ8" s="28">
        <f>AH$6*$F8</f>
        <v>416.8163812</v>
      </c>
      <c r="AK8" s="28">
        <f>AH$6*$G8</f>
        <v>229.8536015</v>
      </c>
      <c r="AM8" s="38"/>
      <c r="AN8" s="38">
        <f>D8*0.1659/100</f>
        <v>103.6875</v>
      </c>
      <c r="AO8" s="3">
        <f>AM8+AN8</f>
        <v>103.6875</v>
      </c>
      <c r="AP8" s="28">
        <f>AN$6*$F8</f>
        <v>133.589316</v>
      </c>
      <c r="AQ8" s="28">
        <f>AN$6*$G8</f>
        <v>73.667895</v>
      </c>
      <c r="AR8" s="28"/>
      <c r="AS8" s="28"/>
      <c r="AT8" s="28">
        <f>D8*0.05119/100</f>
        <v>31.99375</v>
      </c>
      <c r="AU8" s="13">
        <f>AS8+AT8</f>
        <v>31.99375</v>
      </c>
      <c r="AV8" s="28">
        <f>AT$6*$F8</f>
        <v>41.2202356</v>
      </c>
      <c r="AW8" s="28">
        <f>AT$6*$G8</f>
        <v>22.730919500000002</v>
      </c>
      <c r="AX8" s="28"/>
      <c r="AY8" s="28"/>
      <c r="AZ8" s="28">
        <f>D8*1.09472/100</f>
        <v>684.2</v>
      </c>
      <c r="BA8" s="13">
        <f>AY8+AZ8</f>
        <v>684.2</v>
      </c>
      <c r="BB8" s="28">
        <f>AZ$6*$F8</f>
        <v>881.5123328000001</v>
      </c>
      <c r="BC8" s="28">
        <f>AZ$6*$G8</f>
        <v>486.11041600000004</v>
      </c>
      <c r="BD8" s="28"/>
      <c r="BE8" s="28"/>
      <c r="BF8" s="28">
        <f>D8*0.01911/100</f>
        <v>11.94375</v>
      </c>
      <c r="BG8" s="13">
        <f>BE8+BF8</f>
        <v>11.94375</v>
      </c>
      <c r="BH8" s="28">
        <f>BF$6*$F8</f>
        <v>15.3881364</v>
      </c>
      <c r="BI8" s="28">
        <f>BF$6*$G8</f>
        <v>8.4857955</v>
      </c>
      <c r="BJ8" s="28"/>
      <c r="BK8" s="28"/>
      <c r="BL8" s="28">
        <f>D8*4.24642/100</f>
        <v>2654.0125</v>
      </c>
      <c r="BM8" s="13">
        <f>BK8+BL8</f>
        <v>2654.0125</v>
      </c>
      <c r="BN8" s="28">
        <f>BL$6*$F8</f>
        <v>3419.3872408</v>
      </c>
      <c r="BO8" s="28">
        <f>BL$6*$G8</f>
        <v>1885.622801</v>
      </c>
      <c r="BP8" s="28"/>
      <c r="BQ8" s="28"/>
      <c r="BR8" s="28">
        <f>D8*0.15092/100</f>
        <v>94.325</v>
      </c>
      <c r="BS8" s="13">
        <f>BQ8+BR8</f>
        <v>94.325</v>
      </c>
      <c r="BT8" s="28">
        <f>BR$6*$F8</f>
        <v>121.52682080000001</v>
      </c>
      <c r="BU8" s="28">
        <f>BR$6*$G8</f>
        <v>67.016026</v>
      </c>
      <c r="BV8" s="28"/>
      <c r="BW8" s="28"/>
      <c r="BX8" s="28">
        <f>D8*4.50865/100</f>
        <v>2817.90625</v>
      </c>
      <c r="BY8" s="13">
        <f>BW8+BX8</f>
        <v>2817.90625</v>
      </c>
      <c r="BZ8" s="28">
        <f>BX$6*$F8</f>
        <v>3630.545326</v>
      </c>
      <c r="CA8" s="28">
        <f>BX$6*$G8</f>
        <v>2002.0660325000001</v>
      </c>
      <c r="CB8" s="28"/>
      <c r="CC8" s="28"/>
      <c r="CD8" s="28">
        <f>D8*1.34749/100</f>
        <v>842.18125</v>
      </c>
      <c r="CE8" s="13">
        <f>CC8+CD8</f>
        <v>842.18125</v>
      </c>
      <c r="CF8" s="28">
        <f>CD$6*$F8</f>
        <v>1085.0528476</v>
      </c>
      <c r="CG8" s="28">
        <f>CD$6*$G8</f>
        <v>598.3529345</v>
      </c>
      <c r="CH8" s="28"/>
      <c r="CI8" s="28"/>
      <c r="CJ8" s="28">
        <f>D8*0.11948/100</f>
        <v>74.675</v>
      </c>
      <c r="CK8" s="13">
        <f>CI8+CJ8</f>
        <v>74.675</v>
      </c>
      <c r="CL8" s="28">
        <f>CJ$6*$F8</f>
        <v>96.2100752</v>
      </c>
      <c r="CM8" s="28">
        <f>CJ$6*$G8</f>
        <v>53.055094</v>
      </c>
      <c r="CN8" s="28"/>
      <c r="CO8" s="28"/>
      <c r="CP8" s="28">
        <f>D8*0.03698/100</f>
        <v>23.1125</v>
      </c>
      <c r="CQ8" s="13">
        <f>CO8+CP8</f>
        <v>23.1125</v>
      </c>
      <c r="CR8" s="28">
        <f>CP$6*$F8</f>
        <v>29.7777752</v>
      </c>
      <c r="CS8" s="28">
        <f>CP$6*$G8</f>
        <v>16.420969</v>
      </c>
      <c r="CT8" s="28"/>
      <c r="CU8" s="28"/>
      <c r="CV8" s="28">
        <f>D8*0.13432/100</f>
        <v>83.95</v>
      </c>
      <c r="CW8" s="13">
        <f>CU8+CV8</f>
        <v>83.95</v>
      </c>
      <c r="CX8" s="28">
        <f>CV$6*$F8</f>
        <v>108.1598368</v>
      </c>
      <c r="CY8" s="28">
        <f>CV$6*$G8</f>
        <v>59.64479599999999</v>
      </c>
      <c r="CZ8" s="28"/>
      <c r="DA8" s="28"/>
      <c r="DB8" s="28">
        <f>D8*0.26052/100</f>
        <v>162.825</v>
      </c>
      <c r="DC8" s="13">
        <f>DA8+DB8</f>
        <v>162.825</v>
      </c>
      <c r="DD8" s="28">
        <f>DB$6*$F8</f>
        <v>209.7811248</v>
      </c>
      <c r="DE8" s="28">
        <f>DB$6*$G8</f>
        <v>115.683906</v>
      </c>
      <c r="DF8" s="28"/>
      <c r="DG8" s="28"/>
      <c r="DH8" s="28">
        <f>D8*17.86295/100</f>
        <v>11164.34375</v>
      </c>
      <c r="DI8" s="13">
        <f>DG8+DH8</f>
        <v>11164.34375</v>
      </c>
      <c r="DJ8" s="28">
        <f>DH$6*$F8</f>
        <v>14383.961858</v>
      </c>
      <c r="DK8" s="28">
        <f>DH$6*$G8</f>
        <v>7932.0429475</v>
      </c>
      <c r="DL8" s="28"/>
      <c r="DM8" s="13"/>
      <c r="DN8" s="13"/>
      <c r="DO8" s="13">
        <f>DM8+DN8</f>
        <v>0</v>
      </c>
      <c r="DP8" s="13"/>
    </row>
    <row r="9" spans="1:120" s="30" customFormat="1" ht="12.75">
      <c r="A9" s="29">
        <v>45017</v>
      </c>
      <c r="B9" s="28"/>
      <c r="C9" s="14"/>
      <c r="D9" s="14">
        <v>62500</v>
      </c>
      <c r="E9" s="14">
        <f>C9+D9</f>
        <v>62500</v>
      </c>
      <c r="F9" s="14">
        <v>80524</v>
      </c>
      <c r="G9" s="14">
        <v>44405</v>
      </c>
      <c r="H9" s="28"/>
      <c r="I9" s="28">
        <f>'2011B-2021A Academic'!I9</f>
        <v>0</v>
      </c>
      <c r="J9" s="28">
        <f>'2011B-2021A Academic'!J9</f>
        <v>42487.575000000004</v>
      </c>
      <c r="K9" s="28">
        <f>I9+J9</f>
        <v>42487.575000000004</v>
      </c>
      <c r="L9" s="28">
        <f>'2011B-2021A Academic'!L9</f>
        <v>54740.311828799975</v>
      </c>
      <c r="M9" s="28">
        <f>'2011B-2021A Academic'!M9</f>
        <v>30186.572286000006</v>
      </c>
      <c r="N9" s="28"/>
      <c r="O9" s="13">
        <f>U9+AA9+AG9+AM9+AS9+AY9+BE9+BK9+BQ9+BW9+CC9+CI9+CO9+CU9+DA9+DG9+DM9</f>
        <v>0</v>
      </c>
      <c r="P9" s="20">
        <f>V9+AB9+AH9+AN9+AT9+AZ9+BF9+BL9+BR9+BX9+CD9+CJ9+CP9+CV9+DB9+DH9+DN9</f>
        <v>20012.425</v>
      </c>
      <c r="Q9" s="13">
        <f>O9+P9</f>
        <v>20012.425</v>
      </c>
      <c r="R9" s="13">
        <f t="shared" si="0"/>
        <v>25783.688171200003</v>
      </c>
      <c r="S9" s="20">
        <f t="shared" si="0"/>
        <v>14218.427714</v>
      </c>
      <c r="T9" s="28"/>
      <c r="U9" s="28">
        <f>C9*0.28849/100</f>
        <v>0</v>
      </c>
      <c r="V9" s="20">
        <f>D9*0.28849/100</f>
        <v>180.30625</v>
      </c>
      <c r="W9" s="28">
        <f>U9+V9</f>
        <v>180.30625</v>
      </c>
      <c r="X9" s="28">
        <f>V$6*$F9</f>
        <v>232.30368760000002</v>
      </c>
      <c r="Y9" s="28">
        <f>V$6*$G9</f>
        <v>128.1039845</v>
      </c>
      <c r="AA9" s="28">
        <f>C9*1.21511/100</f>
        <v>0</v>
      </c>
      <c r="AB9" s="28">
        <f>D9*1.21511/100</f>
        <v>759.44375</v>
      </c>
      <c r="AC9" s="13">
        <f>AA9+AB9</f>
        <v>759.44375</v>
      </c>
      <c r="AD9" s="28">
        <f>AB$6*$F9</f>
        <v>978.4551764</v>
      </c>
      <c r="AE9" s="28">
        <f>AB$6*$G9</f>
        <v>539.5695955</v>
      </c>
      <c r="AG9" s="28">
        <f>C9*0.51763/100</f>
        <v>0</v>
      </c>
      <c r="AH9" s="28">
        <f>D9*0.51763/100</f>
        <v>323.51875</v>
      </c>
      <c r="AI9" s="13">
        <f>AG9+AH9</f>
        <v>323.51875</v>
      </c>
      <c r="AJ9" s="28">
        <f>AH$6*$F9</f>
        <v>416.8163812</v>
      </c>
      <c r="AK9" s="28">
        <f>AH$6*$G9</f>
        <v>229.8536015</v>
      </c>
      <c r="AM9" s="38">
        <f>C9*0.1659/100</f>
        <v>0</v>
      </c>
      <c r="AN9" s="38">
        <f>D9*0.1659/100</f>
        <v>103.6875</v>
      </c>
      <c r="AO9" s="3">
        <f>AM9+AN9</f>
        <v>103.6875</v>
      </c>
      <c r="AP9" s="28">
        <f>AN$6*$F9</f>
        <v>133.589316</v>
      </c>
      <c r="AQ9" s="28">
        <f>AN$6*$G9</f>
        <v>73.667895</v>
      </c>
      <c r="AR9" s="28"/>
      <c r="AS9" s="28">
        <f>C9*0.05119/100</f>
        <v>0</v>
      </c>
      <c r="AT9" s="28">
        <f>D9*0.05119/100</f>
        <v>31.99375</v>
      </c>
      <c r="AU9" s="13">
        <f>AS9+AT9</f>
        <v>31.99375</v>
      </c>
      <c r="AV9" s="28">
        <f>AT$6*$F9</f>
        <v>41.2202356</v>
      </c>
      <c r="AW9" s="28">
        <f>AT$6*$G9</f>
        <v>22.730919500000002</v>
      </c>
      <c r="AX9" s="28"/>
      <c r="AY9" s="28">
        <f>C9*1.09472/100</f>
        <v>0</v>
      </c>
      <c r="AZ9" s="28">
        <f>D9*1.09472/100</f>
        <v>684.2</v>
      </c>
      <c r="BA9" s="13">
        <f>AY9+AZ9</f>
        <v>684.2</v>
      </c>
      <c r="BB9" s="28">
        <f>AZ$6*$F9</f>
        <v>881.5123328000001</v>
      </c>
      <c r="BC9" s="28">
        <f>AZ$6*$G9</f>
        <v>486.11041600000004</v>
      </c>
      <c r="BD9" s="28"/>
      <c r="BE9" s="28">
        <f>C9*0.01911/100</f>
        <v>0</v>
      </c>
      <c r="BF9" s="28">
        <f>D9*0.01911/100</f>
        <v>11.94375</v>
      </c>
      <c r="BG9" s="13">
        <f>BE9+BF9</f>
        <v>11.94375</v>
      </c>
      <c r="BH9" s="28">
        <f>BF$6*$F9</f>
        <v>15.3881364</v>
      </c>
      <c r="BI9" s="28">
        <f>BF$6*$G9</f>
        <v>8.4857955</v>
      </c>
      <c r="BJ9" s="28"/>
      <c r="BK9" s="28">
        <f>C9*4.24642/100</f>
        <v>0</v>
      </c>
      <c r="BL9" s="28">
        <f>D9*4.24642/100</f>
        <v>2654.0125</v>
      </c>
      <c r="BM9" s="13">
        <f>BK9+BL9</f>
        <v>2654.0125</v>
      </c>
      <c r="BN9" s="28">
        <f>BL$6*$F9</f>
        <v>3419.3872408</v>
      </c>
      <c r="BO9" s="28">
        <f>BL$6*$G9</f>
        <v>1885.622801</v>
      </c>
      <c r="BP9" s="28"/>
      <c r="BQ9" s="28">
        <f>C9*0.15092/100</f>
        <v>0</v>
      </c>
      <c r="BR9" s="28">
        <f>D9*0.15092/100</f>
        <v>94.325</v>
      </c>
      <c r="BS9" s="13">
        <f>BQ9+BR9</f>
        <v>94.325</v>
      </c>
      <c r="BT9" s="28">
        <f>BR$6*$F9</f>
        <v>121.52682080000001</v>
      </c>
      <c r="BU9" s="28">
        <f>BR$6*$G9</f>
        <v>67.016026</v>
      </c>
      <c r="BV9" s="28"/>
      <c r="BW9" s="28">
        <f>C9*4.50865/100</f>
        <v>0</v>
      </c>
      <c r="BX9" s="28">
        <f>D9*4.50865/100</f>
        <v>2817.90625</v>
      </c>
      <c r="BY9" s="13">
        <f>BW9+BX9</f>
        <v>2817.90625</v>
      </c>
      <c r="BZ9" s="28">
        <f>BX$6*$F9</f>
        <v>3630.545326</v>
      </c>
      <c r="CA9" s="28">
        <f>BX$6*$G9</f>
        <v>2002.0660325000001</v>
      </c>
      <c r="CB9" s="28"/>
      <c r="CC9" s="28">
        <f>C9*1.34749/100</f>
        <v>0</v>
      </c>
      <c r="CD9" s="28">
        <f>D9*1.34749/100</f>
        <v>842.18125</v>
      </c>
      <c r="CE9" s="13">
        <f>CC9+CD9</f>
        <v>842.18125</v>
      </c>
      <c r="CF9" s="28">
        <f>CD$6*$F9</f>
        <v>1085.0528476</v>
      </c>
      <c r="CG9" s="28">
        <f>CD$6*$G9</f>
        <v>598.3529345</v>
      </c>
      <c r="CH9" s="28"/>
      <c r="CI9" s="28">
        <f>C9*0.11948/100</f>
        <v>0</v>
      </c>
      <c r="CJ9" s="28">
        <f>D9*0.11948/100</f>
        <v>74.675</v>
      </c>
      <c r="CK9" s="13">
        <f>CI9+CJ9</f>
        <v>74.675</v>
      </c>
      <c r="CL9" s="28">
        <f>CJ$6*$F9</f>
        <v>96.2100752</v>
      </c>
      <c r="CM9" s="28">
        <f>CJ$6*$G9</f>
        <v>53.055094</v>
      </c>
      <c r="CN9" s="28"/>
      <c r="CO9" s="28">
        <f>C9*0.03698/100</f>
        <v>0</v>
      </c>
      <c r="CP9" s="28">
        <f>D9*0.03698/100</f>
        <v>23.1125</v>
      </c>
      <c r="CQ9" s="13">
        <f>CO9+CP9</f>
        <v>23.1125</v>
      </c>
      <c r="CR9" s="28">
        <f>CP$6*$F9</f>
        <v>29.7777752</v>
      </c>
      <c r="CS9" s="28">
        <f>CP$6*$G9</f>
        <v>16.420969</v>
      </c>
      <c r="CT9" s="28"/>
      <c r="CU9" s="28">
        <f>C9*0.13432/100</f>
        <v>0</v>
      </c>
      <c r="CV9" s="28">
        <f>D9*0.13432/100</f>
        <v>83.95</v>
      </c>
      <c r="CW9" s="13">
        <f>CU9+CV9</f>
        <v>83.95</v>
      </c>
      <c r="CX9" s="28">
        <f>CV$6*$F9</f>
        <v>108.1598368</v>
      </c>
      <c r="CY9" s="28">
        <f>CV$6*$G9</f>
        <v>59.64479599999999</v>
      </c>
      <c r="CZ9" s="28"/>
      <c r="DA9" s="28">
        <f>C9*0.26052/100</f>
        <v>0</v>
      </c>
      <c r="DB9" s="28">
        <f>D9*0.26052/100</f>
        <v>162.825</v>
      </c>
      <c r="DC9" s="13">
        <f>DA9+DB9</f>
        <v>162.825</v>
      </c>
      <c r="DD9" s="28">
        <f>DB$6*$F9</f>
        <v>209.7811248</v>
      </c>
      <c r="DE9" s="28">
        <f>DB$6*$G9</f>
        <v>115.683906</v>
      </c>
      <c r="DF9" s="28"/>
      <c r="DG9" s="28">
        <f>C9*17.86295/100</f>
        <v>0</v>
      </c>
      <c r="DH9" s="28">
        <f>D9*17.86295/100</f>
        <v>11164.34375</v>
      </c>
      <c r="DI9" s="13">
        <f>DG9+DH9</f>
        <v>11164.34375</v>
      </c>
      <c r="DJ9" s="28">
        <f>DH$6*$F9</f>
        <v>14383.961858</v>
      </c>
      <c r="DK9" s="28">
        <f>DH$6*$G9</f>
        <v>7932.0429475</v>
      </c>
      <c r="DL9" s="28"/>
      <c r="DM9" s="13"/>
      <c r="DN9" s="13"/>
      <c r="DO9" s="13">
        <f>DM9+DN9</f>
        <v>0</v>
      </c>
      <c r="DP9" s="13"/>
    </row>
    <row r="10" spans="1:120" s="30" customFormat="1" ht="12.75">
      <c r="A10" s="29">
        <v>45200</v>
      </c>
      <c r="B10" s="28"/>
      <c r="C10" s="14"/>
      <c r="D10" s="14">
        <v>62500</v>
      </c>
      <c r="E10" s="14">
        <f>C10+D10</f>
        <v>62500</v>
      </c>
      <c r="F10" s="14">
        <v>80524</v>
      </c>
      <c r="G10" s="14">
        <v>44405</v>
      </c>
      <c r="H10" s="28"/>
      <c r="I10" s="28">
        <f>'2011B-2021A Academic'!I10</f>
        <v>0</v>
      </c>
      <c r="J10" s="28">
        <f>'2011B-2021A Academic'!J10</f>
        <v>42487.575000000004</v>
      </c>
      <c r="K10" s="28">
        <f>I10+J10</f>
        <v>42487.575000000004</v>
      </c>
      <c r="L10" s="28">
        <f>'2011B-2021A Academic'!L10</f>
        <v>54740.311828799975</v>
      </c>
      <c r="M10" s="28">
        <f>'2011B-2021A Academic'!M10</f>
        <v>30186.572286000006</v>
      </c>
      <c r="N10" s="28"/>
      <c r="O10" s="13"/>
      <c r="P10" s="20">
        <f>V10+AB10+AH10+AN10+AT10+AZ10+BF10+BL10+BR10+BX10+CD10+CJ10+CP10+CV10+DB10+DH10+DN10</f>
        <v>20012.425</v>
      </c>
      <c r="Q10" s="13">
        <f>O10+P10</f>
        <v>20012.425</v>
      </c>
      <c r="R10" s="13">
        <f t="shared" si="0"/>
        <v>25783.688171200003</v>
      </c>
      <c r="S10" s="20">
        <f t="shared" si="0"/>
        <v>14218.427714</v>
      </c>
      <c r="T10" s="28"/>
      <c r="U10" s="28"/>
      <c r="V10" s="20">
        <f>D10*0.28849/100</f>
        <v>180.30625</v>
      </c>
      <c r="W10" s="28">
        <f>U10+V10</f>
        <v>180.30625</v>
      </c>
      <c r="X10" s="28">
        <f>V$6*$F10</f>
        <v>232.30368760000002</v>
      </c>
      <c r="Y10" s="28">
        <f>V$6*$G10</f>
        <v>128.1039845</v>
      </c>
      <c r="AA10" s="28"/>
      <c r="AB10" s="28">
        <f>D10*1.21511/100</f>
        <v>759.44375</v>
      </c>
      <c r="AC10" s="13">
        <f>AA10+AB10</f>
        <v>759.44375</v>
      </c>
      <c r="AD10" s="28">
        <f>AB$6*$F10</f>
        <v>978.4551764</v>
      </c>
      <c r="AE10" s="28">
        <f>AB$6*$G10</f>
        <v>539.5695955</v>
      </c>
      <c r="AG10" s="28"/>
      <c r="AH10" s="28">
        <f>D10*0.51763/100</f>
        <v>323.51875</v>
      </c>
      <c r="AI10" s="13">
        <f>AG10+AH10</f>
        <v>323.51875</v>
      </c>
      <c r="AJ10" s="28">
        <f>AH$6*$F10</f>
        <v>416.8163812</v>
      </c>
      <c r="AK10" s="28">
        <f>AH$6*$G10</f>
        <v>229.8536015</v>
      </c>
      <c r="AM10" s="38"/>
      <c r="AN10" s="38">
        <f>D10*0.1659/100</f>
        <v>103.6875</v>
      </c>
      <c r="AO10" s="3">
        <f>AM10+AN10</f>
        <v>103.6875</v>
      </c>
      <c r="AP10" s="28">
        <f>AN$6*$F10</f>
        <v>133.589316</v>
      </c>
      <c r="AQ10" s="28">
        <f>AN$6*$G10</f>
        <v>73.667895</v>
      </c>
      <c r="AR10" s="28"/>
      <c r="AS10" s="28"/>
      <c r="AT10" s="28">
        <f>D10*0.05119/100</f>
        <v>31.99375</v>
      </c>
      <c r="AU10" s="13">
        <f>AS10+AT10</f>
        <v>31.99375</v>
      </c>
      <c r="AV10" s="28">
        <f>AT$6*$F10</f>
        <v>41.2202356</v>
      </c>
      <c r="AW10" s="28">
        <f>AT$6*$G10</f>
        <v>22.730919500000002</v>
      </c>
      <c r="AX10" s="28"/>
      <c r="AY10" s="28"/>
      <c r="AZ10" s="28">
        <f>D10*1.09472/100</f>
        <v>684.2</v>
      </c>
      <c r="BA10" s="13">
        <f>AY10+AZ10</f>
        <v>684.2</v>
      </c>
      <c r="BB10" s="28">
        <f>AZ$6*$F10</f>
        <v>881.5123328000001</v>
      </c>
      <c r="BC10" s="28">
        <f>AZ$6*$G10</f>
        <v>486.11041600000004</v>
      </c>
      <c r="BD10" s="28"/>
      <c r="BE10" s="28"/>
      <c r="BF10" s="28">
        <f>D10*0.01911/100</f>
        <v>11.94375</v>
      </c>
      <c r="BG10" s="13">
        <f>BE10+BF10</f>
        <v>11.94375</v>
      </c>
      <c r="BH10" s="28">
        <f>BF$6*$F10</f>
        <v>15.3881364</v>
      </c>
      <c r="BI10" s="28">
        <f>BF$6*$G10</f>
        <v>8.4857955</v>
      </c>
      <c r="BJ10" s="28"/>
      <c r="BK10" s="28"/>
      <c r="BL10" s="28">
        <f>D10*4.24642/100</f>
        <v>2654.0125</v>
      </c>
      <c r="BM10" s="13">
        <f>BK10+BL10</f>
        <v>2654.0125</v>
      </c>
      <c r="BN10" s="28">
        <f>BL$6*$F10</f>
        <v>3419.3872408</v>
      </c>
      <c r="BO10" s="28">
        <f>BL$6*$G10</f>
        <v>1885.622801</v>
      </c>
      <c r="BP10" s="28"/>
      <c r="BQ10" s="28"/>
      <c r="BR10" s="28">
        <f>D10*0.15092/100</f>
        <v>94.325</v>
      </c>
      <c r="BS10" s="13">
        <f>BQ10+BR10</f>
        <v>94.325</v>
      </c>
      <c r="BT10" s="28">
        <f>BR$6*$F10</f>
        <v>121.52682080000001</v>
      </c>
      <c r="BU10" s="28">
        <f>BR$6*$G10</f>
        <v>67.016026</v>
      </c>
      <c r="BV10" s="28"/>
      <c r="BW10" s="28"/>
      <c r="BX10" s="28">
        <f>D10*4.50865/100</f>
        <v>2817.90625</v>
      </c>
      <c r="BY10" s="13">
        <f>BW10+BX10</f>
        <v>2817.90625</v>
      </c>
      <c r="BZ10" s="28">
        <f>BX$6*$F10</f>
        <v>3630.545326</v>
      </c>
      <c r="CA10" s="28">
        <f>BX$6*$G10</f>
        <v>2002.0660325000001</v>
      </c>
      <c r="CB10" s="28"/>
      <c r="CC10" s="28"/>
      <c r="CD10" s="28">
        <f>D10*1.34749/100</f>
        <v>842.18125</v>
      </c>
      <c r="CE10" s="13">
        <f>CC10+CD10</f>
        <v>842.18125</v>
      </c>
      <c r="CF10" s="28">
        <f>CD$6*$F10</f>
        <v>1085.0528476</v>
      </c>
      <c r="CG10" s="28">
        <f>CD$6*$G10</f>
        <v>598.3529345</v>
      </c>
      <c r="CH10" s="28"/>
      <c r="CI10" s="28"/>
      <c r="CJ10" s="28">
        <f>D10*0.11948/100</f>
        <v>74.675</v>
      </c>
      <c r="CK10" s="13">
        <f>CI10+CJ10</f>
        <v>74.675</v>
      </c>
      <c r="CL10" s="28">
        <f>CJ$6*$F10</f>
        <v>96.2100752</v>
      </c>
      <c r="CM10" s="28">
        <f>CJ$6*$G10</f>
        <v>53.055094</v>
      </c>
      <c r="CN10" s="28"/>
      <c r="CO10" s="28"/>
      <c r="CP10" s="28">
        <f>D10*0.03698/100</f>
        <v>23.1125</v>
      </c>
      <c r="CQ10" s="13">
        <f>CO10+CP10</f>
        <v>23.1125</v>
      </c>
      <c r="CR10" s="28">
        <f>CP$6*$F10</f>
        <v>29.7777752</v>
      </c>
      <c r="CS10" s="28">
        <f>CP$6*$G10</f>
        <v>16.420969</v>
      </c>
      <c r="CT10" s="28"/>
      <c r="CU10" s="28"/>
      <c r="CV10" s="28">
        <f>D10*0.13432/100</f>
        <v>83.95</v>
      </c>
      <c r="CW10" s="13">
        <f>CU10+CV10</f>
        <v>83.95</v>
      </c>
      <c r="CX10" s="28">
        <f>CV$6*$F10</f>
        <v>108.1598368</v>
      </c>
      <c r="CY10" s="28">
        <f>CV$6*$G10</f>
        <v>59.64479599999999</v>
      </c>
      <c r="CZ10" s="28"/>
      <c r="DA10" s="28"/>
      <c r="DB10" s="28">
        <f>D10*0.26052/100</f>
        <v>162.825</v>
      </c>
      <c r="DC10" s="13">
        <f>DA10+DB10</f>
        <v>162.825</v>
      </c>
      <c r="DD10" s="28">
        <f>DB$6*$F10</f>
        <v>209.7811248</v>
      </c>
      <c r="DE10" s="28">
        <f>DB$6*$G10</f>
        <v>115.683906</v>
      </c>
      <c r="DF10" s="28"/>
      <c r="DG10" s="28"/>
      <c r="DH10" s="28">
        <f>D10*17.86295/100</f>
        <v>11164.34375</v>
      </c>
      <c r="DI10" s="13">
        <f>DG10+DH10</f>
        <v>11164.34375</v>
      </c>
      <c r="DJ10" s="28">
        <f>DH$6*$F10</f>
        <v>14383.961858</v>
      </c>
      <c r="DK10" s="28">
        <f>DH$6*$G10</f>
        <v>7932.0429475</v>
      </c>
      <c r="DL10" s="28"/>
      <c r="DM10" s="13"/>
      <c r="DN10" s="13"/>
      <c r="DO10" s="13">
        <f>DM10+DN10</f>
        <v>0</v>
      </c>
      <c r="DP10" s="13"/>
    </row>
    <row r="11" spans="1:120" s="30" customFormat="1" ht="12.75">
      <c r="A11" s="29">
        <v>45383</v>
      </c>
      <c r="B11" s="28"/>
      <c r="C11" s="14">
        <v>2500000</v>
      </c>
      <c r="D11" s="14">
        <v>62500</v>
      </c>
      <c r="E11" s="14">
        <f>C11+D11</f>
        <v>2562500</v>
      </c>
      <c r="F11" s="14">
        <v>80524</v>
      </c>
      <c r="G11" s="14">
        <v>44405</v>
      </c>
      <c r="H11" s="28"/>
      <c r="I11" s="28">
        <f>'2011B-2021A Academic'!I11</f>
        <v>1699503</v>
      </c>
      <c r="J11" s="28">
        <f>'2011B-2021A Academic'!J11</f>
        <v>42487.575000000004</v>
      </c>
      <c r="K11" s="28">
        <f>I11+J11</f>
        <v>1741990.575</v>
      </c>
      <c r="L11" s="28">
        <f>'2011B-2021A Academic'!L11</f>
        <v>54740.311828799975</v>
      </c>
      <c r="M11" s="28">
        <f>'2011B-2021A Academic'!M11</f>
        <v>30186.572286000006</v>
      </c>
      <c r="N11" s="28"/>
      <c r="O11" s="13">
        <f>U11+AA11+AG11+AM11+AS11+AY11+BE11+BK11+BQ11+BW11+CC11+CI11+CO11+CU11+DA11+DG11+DM11</f>
        <v>800497</v>
      </c>
      <c r="P11" s="20">
        <f>V11+AB11+AH11+AN11+AT11+AZ11+BF11+BL11+BR11+BX11+CD11+CJ11+CP11+CV11+DB11+DH11+DN11</f>
        <v>20012.425</v>
      </c>
      <c r="Q11" s="13">
        <f>O11+P11</f>
        <v>820509.425</v>
      </c>
      <c r="R11" s="13">
        <f t="shared" si="0"/>
        <v>25783.688171200003</v>
      </c>
      <c r="S11" s="20">
        <f t="shared" si="0"/>
        <v>14218.427714</v>
      </c>
      <c r="T11" s="28"/>
      <c r="U11" s="28">
        <f>C11*0.28849/100</f>
        <v>7212.250000000001</v>
      </c>
      <c r="V11" s="20">
        <f>D11*0.28849/100</f>
        <v>180.30625</v>
      </c>
      <c r="W11" s="28">
        <f>U11+V11</f>
        <v>7392.556250000001</v>
      </c>
      <c r="X11" s="28">
        <f>V$6*$F11</f>
        <v>232.30368760000002</v>
      </c>
      <c r="Y11" s="28">
        <f>V$6*$G11</f>
        <v>128.1039845</v>
      </c>
      <c r="AA11" s="28">
        <f>C11*1.21511/100</f>
        <v>30377.75</v>
      </c>
      <c r="AB11" s="28">
        <f>D11*1.21511/100</f>
        <v>759.44375</v>
      </c>
      <c r="AC11" s="13">
        <f>AA11+AB11</f>
        <v>31137.19375</v>
      </c>
      <c r="AD11" s="28">
        <f>AB$6*$F11</f>
        <v>978.4551764</v>
      </c>
      <c r="AE11" s="28">
        <f>AB$6*$G11</f>
        <v>539.5695955</v>
      </c>
      <c r="AG11" s="28">
        <f>C11*0.51763/100</f>
        <v>12940.75</v>
      </c>
      <c r="AH11" s="28">
        <f>D11*0.51763/100</f>
        <v>323.51875</v>
      </c>
      <c r="AI11" s="13">
        <f>AG11+AH11</f>
        <v>13264.26875</v>
      </c>
      <c r="AJ11" s="28">
        <f>AH$6*$F11</f>
        <v>416.8163812</v>
      </c>
      <c r="AK11" s="28">
        <f>AH$6*$G11</f>
        <v>229.8536015</v>
      </c>
      <c r="AM11" s="38">
        <f>C11*0.1659/100</f>
        <v>4147.5</v>
      </c>
      <c r="AN11" s="38">
        <f>D11*0.1659/100</f>
        <v>103.6875</v>
      </c>
      <c r="AO11" s="3">
        <f>AM11+AN11</f>
        <v>4251.1875</v>
      </c>
      <c r="AP11" s="28">
        <f>AN$6*$F11</f>
        <v>133.589316</v>
      </c>
      <c r="AQ11" s="28">
        <f>AN$6*$G11</f>
        <v>73.667895</v>
      </c>
      <c r="AR11" s="28"/>
      <c r="AS11" s="28">
        <f>C11*0.05119/100</f>
        <v>1279.75</v>
      </c>
      <c r="AT11" s="28">
        <f>D11*0.05119/100</f>
        <v>31.99375</v>
      </c>
      <c r="AU11" s="13">
        <f>AS11+AT11</f>
        <v>1311.74375</v>
      </c>
      <c r="AV11" s="28">
        <f>AT$6*$F11</f>
        <v>41.2202356</v>
      </c>
      <c r="AW11" s="28">
        <f>AT$6*$G11</f>
        <v>22.730919500000002</v>
      </c>
      <c r="AX11" s="28"/>
      <c r="AY11" s="28">
        <f>C11*1.09472/100</f>
        <v>27368</v>
      </c>
      <c r="AZ11" s="28">
        <f>D11*1.09472/100</f>
        <v>684.2</v>
      </c>
      <c r="BA11" s="13">
        <f>AY11+AZ11</f>
        <v>28052.2</v>
      </c>
      <c r="BB11" s="28">
        <f>AZ$6*$F11</f>
        <v>881.5123328000001</v>
      </c>
      <c r="BC11" s="28">
        <f>AZ$6*$G11</f>
        <v>486.11041600000004</v>
      </c>
      <c r="BD11" s="28"/>
      <c r="BE11" s="28">
        <f>C11*0.01911/100</f>
        <v>477.74999999999994</v>
      </c>
      <c r="BF11" s="28">
        <f>D11*0.01911/100</f>
        <v>11.94375</v>
      </c>
      <c r="BG11" s="13">
        <f>BE11+BF11</f>
        <v>489.69374999999997</v>
      </c>
      <c r="BH11" s="28">
        <f>BF$6*$F11</f>
        <v>15.3881364</v>
      </c>
      <c r="BI11" s="28">
        <f>BF$6*$G11</f>
        <v>8.4857955</v>
      </c>
      <c r="BJ11" s="28"/>
      <c r="BK11" s="28">
        <f>C11*4.24642/100</f>
        <v>106160.5</v>
      </c>
      <c r="BL11" s="28">
        <f>D11*4.24642/100</f>
        <v>2654.0125</v>
      </c>
      <c r="BM11" s="13">
        <f>BK11+BL11</f>
        <v>108814.5125</v>
      </c>
      <c r="BN11" s="28">
        <f>BL$6*$F11</f>
        <v>3419.3872408</v>
      </c>
      <c r="BO11" s="28">
        <f>BL$6*$G11</f>
        <v>1885.622801</v>
      </c>
      <c r="BP11" s="28"/>
      <c r="BQ11" s="28">
        <f>C11*0.15092/100</f>
        <v>3773</v>
      </c>
      <c r="BR11" s="28">
        <f>D11*0.15092/100</f>
        <v>94.325</v>
      </c>
      <c r="BS11" s="13">
        <f>BQ11+BR11</f>
        <v>3867.325</v>
      </c>
      <c r="BT11" s="28">
        <f>BR$6*$F11</f>
        <v>121.52682080000001</v>
      </c>
      <c r="BU11" s="28">
        <f>BR$6*$G11</f>
        <v>67.016026</v>
      </c>
      <c r="BV11" s="28"/>
      <c r="BW11" s="28">
        <f>C11*4.50865/100</f>
        <v>112716.25</v>
      </c>
      <c r="BX11" s="28">
        <f>D11*4.50865/100</f>
        <v>2817.90625</v>
      </c>
      <c r="BY11" s="13">
        <f>BW11+BX11</f>
        <v>115534.15625</v>
      </c>
      <c r="BZ11" s="28">
        <f>BX$6*$F11</f>
        <v>3630.545326</v>
      </c>
      <c r="CA11" s="28">
        <f>BX$6*$G11</f>
        <v>2002.0660325000001</v>
      </c>
      <c r="CB11" s="28"/>
      <c r="CC11" s="28">
        <f>C11*1.34749/100</f>
        <v>33687.25</v>
      </c>
      <c r="CD11" s="28">
        <f>D11*1.34749/100</f>
        <v>842.18125</v>
      </c>
      <c r="CE11" s="13">
        <f>CC11+CD11</f>
        <v>34529.43125</v>
      </c>
      <c r="CF11" s="28">
        <f>CD$6*$F11</f>
        <v>1085.0528476</v>
      </c>
      <c r="CG11" s="28">
        <f>CD$6*$G11</f>
        <v>598.3529345</v>
      </c>
      <c r="CH11" s="28"/>
      <c r="CI11" s="28">
        <f>C11*0.11948/100</f>
        <v>2987</v>
      </c>
      <c r="CJ11" s="28">
        <f>D11*0.11948/100</f>
        <v>74.675</v>
      </c>
      <c r="CK11" s="13">
        <f>CI11+CJ11</f>
        <v>3061.675</v>
      </c>
      <c r="CL11" s="28">
        <f>CJ$6*$F11</f>
        <v>96.2100752</v>
      </c>
      <c r="CM11" s="28">
        <f>CJ$6*$G11</f>
        <v>53.055094</v>
      </c>
      <c r="CN11" s="28"/>
      <c r="CO11" s="28">
        <f>C11*0.03698/100</f>
        <v>924.5</v>
      </c>
      <c r="CP11" s="28">
        <f>D11*0.03698/100</f>
        <v>23.1125</v>
      </c>
      <c r="CQ11" s="13">
        <f>CO11+CP11</f>
        <v>947.6125</v>
      </c>
      <c r="CR11" s="28">
        <f>CP$6*$F11</f>
        <v>29.7777752</v>
      </c>
      <c r="CS11" s="28">
        <f>CP$6*$G11</f>
        <v>16.420969</v>
      </c>
      <c r="CT11" s="28"/>
      <c r="CU11" s="28">
        <f>C11*0.13432/100</f>
        <v>3358</v>
      </c>
      <c r="CV11" s="28">
        <f>D11*0.13432/100</f>
        <v>83.95</v>
      </c>
      <c r="CW11" s="13">
        <f>CU11+CV11</f>
        <v>3441.95</v>
      </c>
      <c r="CX11" s="28">
        <f>CV$6*$F11</f>
        <v>108.1598368</v>
      </c>
      <c r="CY11" s="28">
        <f>CV$6*$G11</f>
        <v>59.64479599999999</v>
      </c>
      <c r="CZ11" s="28"/>
      <c r="DA11" s="28">
        <f>C11*0.26052/100</f>
        <v>6512.999999999999</v>
      </c>
      <c r="DB11" s="28">
        <f>D11*0.26052/100</f>
        <v>162.825</v>
      </c>
      <c r="DC11" s="13">
        <f>DA11+DB11</f>
        <v>6675.824999999999</v>
      </c>
      <c r="DD11" s="28">
        <f>DB$6*$F11</f>
        <v>209.7811248</v>
      </c>
      <c r="DE11" s="28">
        <f>DB$6*$G11</f>
        <v>115.683906</v>
      </c>
      <c r="DF11" s="28"/>
      <c r="DG11" s="28">
        <f>C11*17.86295/100</f>
        <v>446573.75</v>
      </c>
      <c r="DH11" s="28">
        <f>D11*17.86295/100</f>
        <v>11164.34375</v>
      </c>
      <c r="DI11" s="13">
        <f>DG11+DH11</f>
        <v>457738.09375</v>
      </c>
      <c r="DJ11" s="28">
        <f>DH$6*$F11</f>
        <v>14383.961858</v>
      </c>
      <c r="DK11" s="28">
        <f>DH$6*$G11</f>
        <v>7932.0429475</v>
      </c>
      <c r="DL11" s="28"/>
      <c r="DM11" s="13"/>
      <c r="DN11" s="13"/>
      <c r="DO11" s="13">
        <f>DM11+DN11</f>
        <v>0</v>
      </c>
      <c r="DP11" s="13"/>
    </row>
    <row r="12" spans="3:120" ht="12.75">
      <c r="C12" s="20"/>
      <c r="D12" s="20"/>
      <c r="E12" s="20"/>
      <c r="F12" s="20"/>
      <c r="G12" s="20"/>
      <c r="J12" s="28"/>
      <c r="S12" s="13"/>
      <c r="Y12" s="13"/>
      <c r="AA12" s="13"/>
      <c r="AB12" s="13"/>
      <c r="AE12" s="13"/>
      <c r="AG12" s="13"/>
      <c r="AH12" s="13"/>
      <c r="AI12" s="13"/>
      <c r="AK12" s="13"/>
      <c r="AM12" s="3"/>
      <c r="AN12" s="3"/>
      <c r="AO12" s="3"/>
      <c r="AQ12" s="13"/>
      <c r="AR12" s="13"/>
      <c r="AS12" s="13"/>
      <c r="AT12" s="13"/>
      <c r="AU12" s="13"/>
      <c r="AV12"/>
      <c r="AW12" s="13"/>
      <c r="AX12" s="13"/>
      <c r="AY12" s="13"/>
      <c r="AZ12" s="13"/>
      <c r="BA12" s="13"/>
      <c r="BB12"/>
      <c r="BC12" s="13"/>
      <c r="BD12" s="13"/>
      <c r="BE12" s="13"/>
      <c r="BF12" s="13"/>
      <c r="BG12" s="13"/>
      <c r="BH12"/>
      <c r="BI12" s="13"/>
      <c r="BJ12" s="13"/>
      <c r="BK12" s="13"/>
      <c r="BL12" s="13"/>
      <c r="BM12" s="13"/>
      <c r="BN12"/>
      <c r="BO12" s="13"/>
      <c r="BP12" s="13"/>
      <c r="BQ12" s="13"/>
      <c r="BR12" s="13"/>
      <c r="BS12" s="13"/>
      <c r="BT12"/>
      <c r="BU12" s="13"/>
      <c r="BV12" s="13"/>
      <c r="BW12" s="13"/>
      <c r="BX12" s="13"/>
      <c r="BY12" s="13"/>
      <c r="BZ12"/>
      <c r="CA12" s="13"/>
      <c r="CB12" s="13"/>
      <c r="CC12" s="13"/>
      <c r="CD12" s="13"/>
      <c r="CE12" s="13"/>
      <c r="CF12"/>
      <c r="CG12" s="13"/>
      <c r="CH12" s="13"/>
      <c r="CI12" s="13"/>
      <c r="CJ12" s="13"/>
      <c r="CK12" s="13"/>
      <c r="CL12"/>
      <c r="CM12" s="13"/>
      <c r="CN12" s="13"/>
      <c r="CO12" s="13"/>
      <c r="CP12" s="13"/>
      <c r="CQ12" s="13"/>
      <c r="CR12"/>
      <c r="CS12" s="13"/>
      <c r="CT12" s="13"/>
      <c r="CU12" s="13"/>
      <c r="CV12" s="13"/>
      <c r="CW12" s="13"/>
      <c r="CX12"/>
      <c r="CY12" s="13"/>
      <c r="CZ12" s="13"/>
      <c r="DA12" s="13"/>
      <c r="DB12" s="13"/>
      <c r="DC12" s="13"/>
      <c r="DD12"/>
      <c r="DE12" s="13"/>
      <c r="DF12" s="13"/>
      <c r="DG12" s="13"/>
      <c r="DH12" s="13"/>
      <c r="DI12" s="13"/>
      <c r="DJ12"/>
      <c r="DK12" s="13"/>
      <c r="DL12" s="13"/>
      <c r="DM12" s="13"/>
      <c r="DN12" s="13"/>
      <c r="DO12" s="13"/>
      <c r="DP12" s="13"/>
    </row>
    <row r="13" spans="1:120" ht="13.5" thickBot="1">
      <c r="A13" s="11" t="s">
        <v>0</v>
      </c>
      <c r="C13" s="27">
        <f>SUM(C8:C12)</f>
        <v>2500000</v>
      </c>
      <c r="D13" s="27">
        <f>SUM(D8:D12)</f>
        <v>250000</v>
      </c>
      <c r="E13" s="27">
        <f>SUM(E8:E12)</f>
        <v>2750000</v>
      </c>
      <c r="F13" s="27">
        <f>SUM(F8:F12)</f>
        <v>322096</v>
      </c>
      <c r="G13" s="27">
        <f>SUM(G8:G12)</f>
        <v>177620</v>
      </c>
      <c r="I13" s="27">
        <f>SUM(I8:I12)</f>
        <v>1699503</v>
      </c>
      <c r="J13" s="27">
        <f>SUM(J8:J12)</f>
        <v>169950.30000000002</v>
      </c>
      <c r="K13" s="27">
        <f>SUM(K8:K12)</f>
        <v>1869453.3</v>
      </c>
      <c r="L13" s="27">
        <f>SUM(L8:L12)</f>
        <v>218961.2473151999</v>
      </c>
      <c r="M13" s="27">
        <f>SUM(M8:M12)</f>
        <v>120746.28914400002</v>
      </c>
      <c r="O13" s="27">
        <f>SUM(O8:O12)</f>
        <v>800497</v>
      </c>
      <c r="P13" s="27">
        <f>SUM(P8:P12)</f>
        <v>80049.7</v>
      </c>
      <c r="Q13" s="27">
        <f>SUM(Q8:Q12)</f>
        <v>880546.7000000001</v>
      </c>
      <c r="R13" s="27">
        <f>SUM(R8:R12)</f>
        <v>103134.75268480001</v>
      </c>
      <c r="S13" s="27">
        <f>SUM(S8:S12)</f>
        <v>56873.710856</v>
      </c>
      <c r="U13" s="27">
        <f>SUM(U8:U12)</f>
        <v>7212.250000000001</v>
      </c>
      <c r="V13" s="27">
        <f>SUM(V8:V12)</f>
        <v>721.225</v>
      </c>
      <c r="W13" s="27">
        <f>SUM(W8:W12)</f>
        <v>7933.475</v>
      </c>
      <c r="X13" s="27">
        <f>SUM(X8:X12)</f>
        <v>929.2147504000001</v>
      </c>
      <c r="Y13" s="27">
        <f>SUM(Y8:Y12)</f>
        <v>512.415938</v>
      </c>
      <c r="AA13" s="27">
        <f>SUM(AA8:AA12)</f>
        <v>30377.75</v>
      </c>
      <c r="AB13" s="27">
        <f>SUM(AB8:AB12)</f>
        <v>3037.775</v>
      </c>
      <c r="AC13" s="27">
        <f>SUM(AC8:AC12)</f>
        <v>33415.525</v>
      </c>
      <c r="AD13" s="27">
        <f>SUM(AD8:AD12)</f>
        <v>3913.8207056</v>
      </c>
      <c r="AE13" s="27">
        <f>SUM(AE8:AE12)</f>
        <v>2158.278382</v>
      </c>
      <c r="AG13" s="27">
        <f>SUM(AG8:AG12)</f>
        <v>12940.75</v>
      </c>
      <c r="AH13" s="27">
        <f>SUM(AH8:AH12)</f>
        <v>1294.075</v>
      </c>
      <c r="AI13" s="27">
        <f>SUM(AI8:AI12)</f>
        <v>14234.824999999999</v>
      </c>
      <c r="AJ13" s="27">
        <f>SUM(AJ8:AJ12)</f>
        <v>1667.2655248</v>
      </c>
      <c r="AK13" s="27">
        <f>SUM(AK8:AK12)</f>
        <v>919.414406</v>
      </c>
      <c r="AM13" s="27">
        <f>SUM(AM8:AM12)</f>
        <v>4147.5</v>
      </c>
      <c r="AN13" s="27">
        <f>SUM(AN8:AN12)</f>
        <v>414.75</v>
      </c>
      <c r="AO13" s="27">
        <f>SUM(AO8:AO12)</f>
        <v>4562.25</v>
      </c>
      <c r="AP13" s="27">
        <f>SUM(AP8:AP12)</f>
        <v>534.357264</v>
      </c>
      <c r="AQ13" s="27">
        <f>SUM(AQ8:AQ12)</f>
        <v>294.67158</v>
      </c>
      <c r="AR13" s="13"/>
      <c r="AS13" s="27">
        <f>SUM(AS8:AS12)</f>
        <v>1279.75</v>
      </c>
      <c r="AT13" s="27">
        <f>SUM(AT8:AT12)</f>
        <v>127.975</v>
      </c>
      <c r="AU13" s="27">
        <f>SUM(AU8:AU12)</f>
        <v>1407.7250000000001</v>
      </c>
      <c r="AV13" s="27">
        <f>SUM(AV8:AV12)</f>
        <v>164.8809424</v>
      </c>
      <c r="AW13" s="27">
        <f>SUM(AW8:AW12)</f>
        <v>90.92367800000001</v>
      </c>
      <c r="AX13" s="13"/>
      <c r="AY13" s="27">
        <f>SUM(AY8:AY12)</f>
        <v>27368</v>
      </c>
      <c r="AZ13" s="27">
        <f>SUM(AZ8:AZ12)</f>
        <v>2736.8</v>
      </c>
      <c r="BA13" s="27">
        <f>SUM(BA8:BA12)</f>
        <v>30104.800000000003</v>
      </c>
      <c r="BB13" s="27">
        <f>SUM(BB8:BB12)</f>
        <v>3526.0493312000003</v>
      </c>
      <c r="BC13" s="27">
        <f>SUM(BC8:BC12)</f>
        <v>1944.4416640000002</v>
      </c>
      <c r="BD13" s="13"/>
      <c r="BE13" s="27">
        <f>SUM(BE8:BE12)</f>
        <v>477.74999999999994</v>
      </c>
      <c r="BF13" s="27">
        <f>SUM(BF8:BF12)</f>
        <v>47.775</v>
      </c>
      <c r="BG13" s="27">
        <f>SUM(BG8:BG12)</f>
        <v>525.525</v>
      </c>
      <c r="BH13" s="27">
        <f>SUM(BH8:BH12)</f>
        <v>61.5525456</v>
      </c>
      <c r="BI13" s="27">
        <f>SUM(BI8:BI12)</f>
        <v>33.943182</v>
      </c>
      <c r="BJ13" s="13"/>
      <c r="BK13" s="27">
        <f>SUM(BK8:BK12)</f>
        <v>106160.5</v>
      </c>
      <c r="BL13" s="27">
        <f>SUM(BL8:BL12)</f>
        <v>10616.05</v>
      </c>
      <c r="BM13" s="27">
        <f>SUM(BM8:BM12)</f>
        <v>116776.55</v>
      </c>
      <c r="BN13" s="27">
        <f>SUM(BN8:BN12)</f>
        <v>13677.5489632</v>
      </c>
      <c r="BO13" s="27">
        <f>SUM(BO8:BO12)</f>
        <v>7542.491204</v>
      </c>
      <c r="BP13" s="13"/>
      <c r="BQ13" s="27">
        <f>SUM(BQ8:BQ12)</f>
        <v>3773</v>
      </c>
      <c r="BR13" s="27">
        <f>SUM(BR8:BR12)</f>
        <v>377.3</v>
      </c>
      <c r="BS13" s="27">
        <f>SUM(BS8:BS12)</f>
        <v>4150.3</v>
      </c>
      <c r="BT13" s="27">
        <f>SUM(BT8:BT12)</f>
        <v>486.10728320000004</v>
      </c>
      <c r="BU13" s="27">
        <f>SUM(BU8:BU12)</f>
        <v>268.064104</v>
      </c>
      <c r="BV13" s="13"/>
      <c r="BW13" s="27">
        <f>SUM(BW8:BW12)</f>
        <v>112716.25</v>
      </c>
      <c r="BX13" s="27">
        <f>SUM(BX8:BX12)</f>
        <v>11271.625</v>
      </c>
      <c r="BY13" s="27">
        <f>SUM(BY8:BY12)</f>
        <v>123987.875</v>
      </c>
      <c r="BZ13" s="27">
        <f>SUM(BZ8:BZ12)</f>
        <v>14522.181304</v>
      </c>
      <c r="CA13" s="27">
        <f>SUM(CA8:CA12)</f>
        <v>8008.2641300000005</v>
      </c>
      <c r="CB13" s="13"/>
      <c r="CC13" s="27">
        <f>SUM(CC8:CC12)</f>
        <v>33687.25</v>
      </c>
      <c r="CD13" s="27">
        <f>SUM(CD8:CD12)</f>
        <v>3368.725</v>
      </c>
      <c r="CE13" s="27">
        <f>SUM(CE8:CE12)</f>
        <v>37055.975</v>
      </c>
      <c r="CF13" s="27">
        <f>SUM(CF8:CF12)</f>
        <v>4340.2113904</v>
      </c>
      <c r="CG13" s="27">
        <f>SUM(CG8:CG12)</f>
        <v>2393.411738</v>
      </c>
      <c r="CH13" s="13"/>
      <c r="CI13" s="27">
        <f>SUM(CI8:CI12)</f>
        <v>2987</v>
      </c>
      <c r="CJ13" s="27">
        <f>SUM(CJ8:CJ12)</f>
        <v>298.7</v>
      </c>
      <c r="CK13" s="27">
        <f>SUM(CK8:CK12)</f>
        <v>3285.7000000000003</v>
      </c>
      <c r="CL13" s="27">
        <f>SUM(CL8:CL12)</f>
        <v>384.8403008</v>
      </c>
      <c r="CM13" s="27">
        <f>SUM(CM8:CM12)</f>
        <v>212.220376</v>
      </c>
      <c r="CN13" s="13"/>
      <c r="CO13" s="27">
        <f>SUM(CO8:CO12)</f>
        <v>924.5</v>
      </c>
      <c r="CP13" s="27">
        <f>SUM(CP8:CP12)</f>
        <v>92.45</v>
      </c>
      <c r="CQ13" s="27">
        <f>SUM(CQ8:CQ12)</f>
        <v>1016.9499999999999</v>
      </c>
      <c r="CR13" s="27">
        <f>SUM(CR8:CR12)</f>
        <v>119.1111008</v>
      </c>
      <c r="CS13" s="27">
        <f>SUM(CS8:CS12)</f>
        <v>65.683876</v>
      </c>
      <c r="CT13" s="13"/>
      <c r="CU13" s="27">
        <f>SUM(CU8:CU12)</f>
        <v>3358</v>
      </c>
      <c r="CV13" s="27">
        <f>SUM(CV8:CV12)</f>
        <v>335.8</v>
      </c>
      <c r="CW13" s="27">
        <f>SUM(CW8:CW12)</f>
        <v>3693.7999999999997</v>
      </c>
      <c r="CX13" s="27">
        <f>SUM(CX8:CX12)</f>
        <v>432.6393472</v>
      </c>
      <c r="CY13" s="27">
        <f>SUM(CY8:CY12)</f>
        <v>238.57918399999997</v>
      </c>
      <c r="CZ13" s="13"/>
      <c r="DA13" s="27">
        <f>SUM(DA8:DA12)</f>
        <v>6512.999999999999</v>
      </c>
      <c r="DB13" s="27">
        <f>SUM(DB8:DB12)</f>
        <v>651.3</v>
      </c>
      <c r="DC13" s="27">
        <f>SUM(DC8:DC12)</f>
        <v>7164.299999999999</v>
      </c>
      <c r="DD13" s="27">
        <f>SUM(DD8:DD12)</f>
        <v>839.1244992</v>
      </c>
      <c r="DE13" s="27">
        <f>SUM(DE8:DE12)</f>
        <v>462.735624</v>
      </c>
      <c r="DF13" s="13"/>
      <c r="DG13" s="27">
        <f>SUM(DG8:DG12)</f>
        <v>446573.75</v>
      </c>
      <c r="DH13" s="27">
        <f>SUM(DH8:DH12)</f>
        <v>44657.375</v>
      </c>
      <c r="DI13" s="27">
        <f>SUM(DI8:DI12)</f>
        <v>491231.125</v>
      </c>
      <c r="DJ13" s="27">
        <f>SUM(DJ8:DJ12)</f>
        <v>57535.847432</v>
      </c>
      <c r="DK13" s="27">
        <f>SUM(DK8:DK12)</f>
        <v>31728.17179</v>
      </c>
      <c r="DL13" s="13"/>
      <c r="DM13" s="27">
        <f>SUM(DM8:DM12)</f>
        <v>0</v>
      </c>
      <c r="DN13" s="27">
        <f>SUM(DN8:DN12)</f>
        <v>0</v>
      </c>
      <c r="DO13" s="27">
        <f>SUM(DO8:DO12)</f>
        <v>0</v>
      </c>
      <c r="DP13" s="20"/>
    </row>
    <row r="14" spans="33:43" ht="13.5" thickTop="1">
      <c r="AG14" s="13"/>
      <c r="AH14" s="13"/>
      <c r="AI14" s="13"/>
      <c r="AJ14" s="13"/>
      <c r="AK14" s="13"/>
      <c r="AM14" s="3"/>
      <c r="AN14" s="3"/>
      <c r="AO14" s="3"/>
      <c r="AP14" s="3"/>
      <c r="AQ14" s="3"/>
    </row>
    <row r="15" spans="3:43" ht="12.75">
      <c r="C15" s="13">
        <f>I13+O13</f>
        <v>2500000</v>
      </c>
      <c r="D15" s="13">
        <f>J13+P13</f>
        <v>250000</v>
      </c>
      <c r="E15" s="13">
        <f>K13+Q13</f>
        <v>2750000</v>
      </c>
      <c r="F15" s="13">
        <f>L13+R13</f>
        <v>322095.9999999999</v>
      </c>
      <c r="G15" s="13">
        <f>M13+S13</f>
        <v>177620.00000000003</v>
      </c>
      <c r="P15" s="13"/>
      <c r="AG15" s="13"/>
      <c r="AH15" s="13"/>
      <c r="AI15" s="13"/>
      <c r="AJ15" s="13"/>
      <c r="AK15" s="13"/>
      <c r="AM15" s="3"/>
      <c r="AN15" s="3"/>
      <c r="AO15" s="3"/>
      <c r="AP15" s="3"/>
      <c r="AQ15" s="3"/>
    </row>
    <row r="16" spans="33:43" ht="12.75">
      <c r="AG16" s="13"/>
      <c r="AH16" s="13"/>
      <c r="AI16" s="13"/>
      <c r="AJ16" s="13"/>
      <c r="AK16" s="13"/>
      <c r="AM16" s="3"/>
      <c r="AN16" s="3"/>
      <c r="AO16" s="3"/>
      <c r="AP16" s="3"/>
      <c r="AQ16" s="3"/>
    </row>
    <row r="17" spans="33:43" ht="12.75">
      <c r="AG17" s="13"/>
      <c r="AH17" s="13"/>
      <c r="AI17" s="13"/>
      <c r="AJ17" s="13"/>
      <c r="AK17" s="13"/>
      <c r="AM17" s="3"/>
      <c r="AN17" s="3"/>
      <c r="AO17" s="3"/>
      <c r="AP17" s="3"/>
      <c r="AQ17" s="3"/>
    </row>
    <row r="18" spans="33:43" ht="12.75">
      <c r="AG18" s="13"/>
      <c r="AH18" s="13"/>
      <c r="AI18" s="13"/>
      <c r="AJ18" s="13"/>
      <c r="AK18" s="13"/>
      <c r="AM18" s="3"/>
      <c r="AN18" s="3"/>
      <c r="AO18" s="3"/>
      <c r="AP18" s="3"/>
      <c r="AQ18" s="3"/>
    </row>
    <row r="19" spans="33:43" ht="12.75">
      <c r="AG19" s="13"/>
      <c r="AH19" s="13"/>
      <c r="AI19" s="13"/>
      <c r="AJ19" s="13"/>
      <c r="AK19" s="13"/>
      <c r="AM19" s="3"/>
      <c r="AN19" s="3"/>
      <c r="AO19" s="3"/>
      <c r="AP19" s="3"/>
      <c r="AQ19" s="3"/>
    </row>
    <row r="20" spans="33:43" ht="12.75">
      <c r="AG20" s="13"/>
      <c r="AH20" s="13"/>
      <c r="AI20" s="13"/>
      <c r="AJ20" s="13"/>
      <c r="AK20" s="13"/>
      <c r="AM20" s="3"/>
      <c r="AN20" s="3"/>
      <c r="AO20" s="3"/>
      <c r="AP20" s="3"/>
      <c r="AQ20" s="3"/>
    </row>
    <row r="21" spans="33:43" ht="12.75">
      <c r="AG21" s="13"/>
      <c r="AH21" s="13"/>
      <c r="AI21" s="13"/>
      <c r="AJ21" s="13"/>
      <c r="AK21" s="13"/>
      <c r="AM21" s="3"/>
      <c r="AN21" s="3"/>
      <c r="AO21" s="3"/>
      <c r="AP21" s="3"/>
      <c r="AQ21" s="3"/>
    </row>
    <row r="22" spans="33:43" ht="12.75">
      <c r="AG22" s="13"/>
      <c r="AH22" s="13"/>
      <c r="AI22" s="13"/>
      <c r="AJ22" s="13"/>
      <c r="AK22" s="13"/>
      <c r="AM22" s="3"/>
      <c r="AN22" s="3"/>
      <c r="AO22" s="3"/>
      <c r="AP22" s="3"/>
      <c r="AQ22" s="3"/>
    </row>
    <row r="23" spans="33:43" ht="12.75">
      <c r="AG23" s="13"/>
      <c r="AH23" s="13"/>
      <c r="AI23" s="13"/>
      <c r="AJ23" s="13"/>
      <c r="AK23" s="13"/>
      <c r="AM23" s="3"/>
      <c r="AN23" s="3"/>
      <c r="AO23" s="3"/>
      <c r="AP23" s="3"/>
      <c r="AQ23" s="3"/>
    </row>
    <row r="24" spans="33:43" ht="12.75">
      <c r="AG24" s="13"/>
      <c r="AH24" s="13"/>
      <c r="AI24" s="13"/>
      <c r="AJ24" s="13"/>
      <c r="AK24" s="13"/>
      <c r="AM24" s="3"/>
      <c r="AN24" s="3"/>
      <c r="AO24" s="3"/>
      <c r="AP24" s="3"/>
      <c r="AQ24" s="3"/>
    </row>
    <row r="25" spans="33:43" ht="12.75">
      <c r="AG25" s="13"/>
      <c r="AH25" s="13"/>
      <c r="AI25" s="13"/>
      <c r="AJ25" s="13"/>
      <c r="AK25" s="13"/>
      <c r="AM25" s="3"/>
      <c r="AN25" s="3"/>
      <c r="AO25" s="3"/>
      <c r="AP25" s="3"/>
      <c r="AQ25" s="3"/>
    </row>
    <row r="26" spans="33:43" ht="12.75">
      <c r="AG26" s="13"/>
      <c r="AH26" s="13"/>
      <c r="AI26" s="13"/>
      <c r="AJ26" s="13"/>
      <c r="AK26" s="13"/>
      <c r="AM26" s="3"/>
      <c r="AN26" s="3"/>
      <c r="AO26" s="3"/>
      <c r="AP26" s="3"/>
      <c r="AQ26" s="3"/>
    </row>
    <row r="27" spans="1:120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T27"/>
      <c r="AG27" s="13"/>
      <c r="AH27" s="13"/>
      <c r="AI27" s="13"/>
      <c r="AJ27" s="13"/>
      <c r="AK27" s="13"/>
      <c r="AM27" s="3"/>
      <c r="AN27" s="3"/>
      <c r="AO27" s="3"/>
      <c r="AP27" s="3"/>
      <c r="AQ27" s="3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</row>
    <row r="28" spans="1:120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T28"/>
      <c r="AG28" s="13"/>
      <c r="AH28" s="13"/>
      <c r="AI28" s="13"/>
      <c r="AJ28" s="13"/>
      <c r="AK28" s="13"/>
      <c r="AM28" s="3"/>
      <c r="AN28" s="3"/>
      <c r="AO28" s="3"/>
      <c r="AP28" s="3"/>
      <c r="AQ28" s="3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</row>
    <row r="29" spans="1:120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T29"/>
      <c r="AG29" s="13"/>
      <c r="AH29" s="13"/>
      <c r="AI29" s="13"/>
      <c r="AJ29" s="13"/>
      <c r="AK29" s="13"/>
      <c r="AM29" s="3"/>
      <c r="AN29" s="3"/>
      <c r="AO29" s="3"/>
      <c r="AP29" s="3"/>
      <c r="AQ29" s="3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</row>
    <row r="30" spans="1:12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T30"/>
      <c r="AG30" s="13"/>
      <c r="AH30" s="13"/>
      <c r="AI30" s="13"/>
      <c r="AJ30" s="13"/>
      <c r="AK30" s="13"/>
      <c r="AM30" s="3"/>
      <c r="AN30" s="3"/>
      <c r="AO30" s="3"/>
      <c r="AP30" s="3"/>
      <c r="AQ30" s="3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</row>
    <row r="31" spans="1:120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T31"/>
      <c r="AG31" s="13"/>
      <c r="AH31" s="13"/>
      <c r="AI31" s="13"/>
      <c r="AJ31" s="13"/>
      <c r="AK31" s="13"/>
      <c r="AM31" s="3"/>
      <c r="AN31" s="3"/>
      <c r="AO31" s="3"/>
      <c r="AP31" s="3"/>
      <c r="AQ31" s="3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</row>
    <row r="32" spans="1:120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T32"/>
      <c r="AG32" s="13"/>
      <c r="AH32" s="13"/>
      <c r="AI32" s="13"/>
      <c r="AJ32" s="13"/>
      <c r="AK32" s="13"/>
      <c r="AM32" s="3"/>
      <c r="AN32" s="3"/>
      <c r="AO32" s="3"/>
      <c r="AP32" s="3"/>
      <c r="AQ32" s="3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</row>
    <row r="33" spans="1:120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T33"/>
      <c r="AG33" s="13"/>
      <c r="AH33" s="13"/>
      <c r="AI33" s="13"/>
      <c r="AJ33" s="13"/>
      <c r="AK33" s="13"/>
      <c r="AM33" s="3"/>
      <c r="AN33" s="3"/>
      <c r="AO33" s="3"/>
      <c r="AP33" s="3"/>
      <c r="AQ33" s="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</row>
    <row r="34" spans="1:120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T34"/>
      <c r="AG34" s="13"/>
      <c r="AH34" s="13"/>
      <c r="AI34" s="13"/>
      <c r="AJ34" s="13"/>
      <c r="AK34" s="13"/>
      <c r="AM34" s="3"/>
      <c r="AN34" s="3"/>
      <c r="AO34" s="3"/>
      <c r="AP34" s="3"/>
      <c r="AQ34" s="3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</row>
    <row r="35" spans="1:12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T35"/>
      <c r="AG35" s="13"/>
      <c r="AH35" s="13"/>
      <c r="AI35" s="13"/>
      <c r="AJ35" s="13"/>
      <c r="AK35" s="13"/>
      <c r="AM35" s="3"/>
      <c r="AN35" s="3"/>
      <c r="AO35" s="3"/>
      <c r="AP35" s="3"/>
      <c r="AQ35" s="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</row>
    <row r="36" spans="1:12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T36"/>
      <c r="AG36" s="13"/>
      <c r="AH36" s="13"/>
      <c r="AI36" s="13"/>
      <c r="AJ36" s="13"/>
      <c r="AK36" s="13"/>
      <c r="AM36" s="3"/>
      <c r="AN36" s="3"/>
      <c r="AO36" s="3"/>
      <c r="AP36" s="3"/>
      <c r="AQ36" s="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</row>
    <row r="37" spans="1:12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T37"/>
      <c r="AG37" s="13"/>
      <c r="AH37" s="13"/>
      <c r="AI37" s="13"/>
      <c r="AJ37" s="13"/>
      <c r="AK37" s="13"/>
      <c r="AM37" s="3"/>
      <c r="AN37" s="3"/>
      <c r="AO37" s="3"/>
      <c r="AP37" s="3"/>
      <c r="AQ37" s="3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</row>
    <row r="38" spans="1:12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T38"/>
      <c r="AG38" s="13"/>
      <c r="AH38" s="13"/>
      <c r="AI38" s="13"/>
      <c r="AJ38" s="13"/>
      <c r="AK38" s="13"/>
      <c r="AM38" s="3"/>
      <c r="AN38" s="3"/>
      <c r="AO38" s="3"/>
      <c r="AP38" s="3"/>
      <c r="AQ38" s="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</row>
    <row r="39" spans="1:120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T39"/>
      <c r="AG39" s="13"/>
      <c r="AH39" s="13"/>
      <c r="AI39" s="13"/>
      <c r="AJ39" s="13"/>
      <c r="AK39" s="13"/>
      <c r="AM39" s="3"/>
      <c r="AN39" s="3"/>
      <c r="AO39" s="3"/>
      <c r="AP39" s="3"/>
      <c r="AQ39" s="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</row>
    <row r="40" spans="1:120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T40"/>
      <c r="AG40" s="13"/>
      <c r="AH40" s="13"/>
      <c r="AI40" s="13"/>
      <c r="AJ40" s="13"/>
      <c r="AK40" s="13"/>
      <c r="AM40" s="3"/>
      <c r="AN40" s="3"/>
      <c r="AO40" s="3"/>
      <c r="AP40" s="3"/>
      <c r="AQ40" s="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</row>
    <row r="41" spans="1:12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T41"/>
      <c r="AG41" s="13"/>
      <c r="AH41" s="13"/>
      <c r="AI41" s="13"/>
      <c r="AJ41" s="13"/>
      <c r="AK41" s="13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</row>
    <row r="42" spans="1:12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T42"/>
      <c r="AG42" s="13"/>
      <c r="AH42" s="13"/>
      <c r="AI42" s="13"/>
      <c r="AJ42" s="13"/>
      <c r="AK42" s="13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</row>
    <row r="43" spans="1:120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T43"/>
      <c r="AG43" s="13"/>
      <c r="AH43" s="13"/>
      <c r="AI43" s="13"/>
      <c r="AJ43" s="13"/>
      <c r="AK43" s="1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</row>
    <row r="44" spans="1:12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T44"/>
      <c r="AG44" s="13"/>
      <c r="AH44" s="13"/>
      <c r="AI44" s="13"/>
      <c r="AJ44" s="13"/>
      <c r="AK44" s="13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</row>
    <row r="45" spans="1:12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T45"/>
      <c r="AG45" s="13"/>
      <c r="AH45" s="13"/>
      <c r="AI45" s="13"/>
      <c r="AJ45" s="13"/>
      <c r="AK45" s="13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</row>
    <row r="46" spans="1:12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T46"/>
      <c r="AG46" s="13"/>
      <c r="AH46" s="13"/>
      <c r="AI46" s="13"/>
      <c r="AJ46" s="13"/>
      <c r="AK46" s="13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</row>
    <row r="47" spans="1:12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T47"/>
      <c r="AG47" s="13"/>
      <c r="AH47" s="13"/>
      <c r="AI47" s="13"/>
      <c r="AJ47" s="13"/>
      <c r="AK47" s="1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</row>
    <row r="48" spans="1:120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T48"/>
      <c r="AG48" s="13"/>
      <c r="AH48" s="13"/>
      <c r="AI48" s="13"/>
      <c r="AJ48" s="13"/>
      <c r="AK48" s="1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</row>
    <row r="49" spans="1:120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T49"/>
      <c r="AG49" s="13"/>
      <c r="AH49" s="13"/>
      <c r="AI49" s="13"/>
      <c r="AJ49" s="13"/>
      <c r="AK49" s="1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</row>
    <row r="50" spans="1:120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T50"/>
      <c r="AG50" s="13"/>
      <c r="AH50" s="13"/>
      <c r="AI50" s="13"/>
      <c r="AJ50" s="13"/>
      <c r="AK50" s="1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</row>
    <row r="51" spans="1:120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T51"/>
      <c r="AG51" s="13"/>
      <c r="AH51" s="13"/>
      <c r="AI51" s="13"/>
      <c r="AJ51" s="13"/>
      <c r="AK51" s="1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T52"/>
      <c r="AG52" s="13"/>
      <c r="AH52" s="13"/>
      <c r="AI52" s="13"/>
      <c r="AJ52" s="13"/>
      <c r="AK52" s="1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3" spans="1:120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T53"/>
      <c r="AG53" s="13"/>
      <c r="AH53" s="13"/>
      <c r="AI53" s="13"/>
      <c r="AJ53" s="13"/>
      <c r="AK53" s="1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Z53"/>
  <sheetViews>
    <sheetView tabSelected="1" zoomScalePageLayoutView="0" workbookViewId="0" topLeftCell="A1">
      <selection activeCell="C13" sqref="C13"/>
    </sheetView>
  </sheetViews>
  <sheetFormatPr defaultColWidth="8.7109375" defaultRowHeight="12.75"/>
  <cols>
    <col min="1" max="1" width="9.7109375" style="2" customWidth="1"/>
    <col min="2" max="2" width="3.7109375" style="0" customWidth="1"/>
    <col min="3" max="6" width="13.7109375" style="13" customWidth="1"/>
    <col min="7" max="7" width="15.7109375" style="13" customWidth="1"/>
    <col min="8" max="8" width="3.7109375" style="13" customWidth="1"/>
    <col min="9" max="9" width="15.140625" style="13" customWidth="1"/>
    <col min="10" max="10" width="16.140625" style="13" customWidth="1"/>
    <col min="11" max="12" width="15.140625" style="13" customWidth="1"/>
    <col min="13" max="13" width="16.140625" style="13" customWidth="1"/>
    <col min="14" max="14" width="3.7109375" style="13" customWidth="1"/>
    <col min="15" max="18" width="13.7109375" style="13" customWidth="1"/>
    <col min="19" max="19" width="17.00390625" style="13" customWidth="1"/>
    <col min="20" max="20" width="3.7109375" style="13" customWidth="1"/>
    <col min="21" max="25" width="13.7109375" style="13" customWidth="1"/>
    <col min="26" max="26" width="3.7109375" style="13" customWidth="1"/>
    <col min="27" max="31" width="13.7109375" style="13" customWidth="1"/>
    <col min="32" max="32" width="3.7109375" style="13" customWidth="1"/>
    <col min="33" max="37" width="13.7109375" style="13" customWidth="1"/>
    <col min="38" max="38" width="3.7109375" style="13" customWidth="1"/>
    <col min="39" max="43" width="13.7109375" style="13" customWidth="1"/>
    <col min="44" max="44" width="3.7109375" style="13" customWidth="1"/>
    <col min="45" max="49" width="13.7109375" style="13" customWidth="1"/>
    <col min="50" max="50" width="3.7109375" style="13" customWidth="1"/>
    <col min="51" max="55" width="13.7109375" style="13" customWidth="1"/>
    <col min="56" max="56" width="3.7109375" style="13" customWidth="1"/>
    <col min="57" max="61" width="13.7109375" style="13" customWidth="1"/>
    <col min="62" max="62" width="3.7109375" style="13" customWidth="1"/>
    <col min="63" max="67" width="13.7109375" style="13" customWidth="1"/>
    <col min="68" max="68" width="3.7109375" style="13" customWidth="1"/>
    <col min="69" max="73" width="13.7109375" style="13" customWidth="1"/>
    <col min="74" max="74" width="3.7109375" style="13" customWidth="1"/>
    <col min="75" max="79" width="13.7109375" style="13" customWidth="1"/>
    <col min="80" max="80" width="3.7109375" style="13" customWidth="1"/>
    <col min="81" max="85" width="13.7109375" style="13" customWidth="1"/>
    <col min="86" max="86" width="3.7109375" style="13" customWidth="1"/>
    <col min="87" max="91" width="13.7109375" style="13" customWidth="1"/>
    <col min="92" max="92" width="3.7109375" style="13" customWidth="1"/>
    <col min="93" max="97" width="13.7109375" style="13" customWidth="1"/>
    <col min="98" max="98" width="3.7109375" style="13" customWidth="1"/>
    <col min="99" max="103" width="13.7109375" style="13" customWidth="1"/>
    <col min="104" max="104" width="3.7109375" style="13" customWidth="1"/>
    <col min="105" max="109" width="13.7109375" style="13" customWidth="1"/>
    <col min="110" max="110" width="3.7109375" style="13" customWidth="1"/>
    <col min="111" max="115" width="13.7109375" style="13" customWidth="1"/>
    <col min="116" max="116" width="3.7109375" style="13" customWidth="1"/>
    <col min="117" max="121" width="13.7109375" style="13" customWidth="1"/>
    <col min="122" max="122" width="3.7109375" style="13" customWidth="1"/>
    <col min="123" max="127" width="13.7109375" style="13" customWidth="1"/>
    <col min="128" max="128" width="3.7109375" style="13" customWidth="1"/>
    <col min="129" max="133" width="13.7109375" style="13" customWidth="1"/>
    <col min="134" max="134" width="3.7109375" style="13" customWidth="1"/>
    <col min="135" max="139" width="13.7109375" style="13" customWidth="1"/>
    <col min="140" max="140" width="3.7109375" style="13" customWidth="1"/>
    <col min="141" max="145" width="13.7109375" style="13" customWidth="1"/>
    <col min="146" max="146" width="3.7109375" style="13" customWidth="1"/>
    <col min="147" max="151" width="13.7109375" style="13" customWidth="1"/>
    <col min="152" max="152" width="3.7109375" style="13" customWidth="1"/>
    <col min="153" max="157" width="13.7109375" style="13" customWidth="1"/>
    <col min="158" max="158" width="3.7109375" style="13" customWidth="1"/>
    <col min="159" max="163" width="13.7109375" style="13" customWidth="1"/>
    <col min="164" max="164" width="3.7109375" style="13" customWidth="1"/>
    <col min="165" max="169" width="13.7109375" style="13" customWidth="1"/>
    <col min="170" max="170" width="3.7109375" style="13" customWidth="1"/>
    <col min="171" max="175" width="13.7109375" style="13" customWidth="1"/>
    <col min="176" max="176" width="3.7109375" style="13" customWidth="1"/>
    <col min="177" max="181" width="13.7109375" style="13" customWidth="1"/>
    <col min="182" max="182" width="3.7109375" style="13" customWidth="1"/>
  </cols>
  <sheetData>
    <row r="1" spans="1:182" ht="12.75">
      <c r="A1" s="22"/>
      <c r="B1" s="10"/>
      <c r="H1" s="23"/>
      <c r="I1" s="23"/>
      <c r="J1" s="23"/>
      <c r="K1" s="23"/>
      <c r="L1" s="23"/>
      <c r="M1" s="23"/>
      <c r="N1" s="23"/>
      <c r="Z1" s="23" t="s">
        <v>6</v>
      </c>
      <c r="AA1"/>
      <c r="AB1"/>
      <c r="AC1"/>
      <c r="AF1" s="23"/>
      <c r="AG1"/>
      <c r="AH1"/>
      <c r="AI1"/>
      <c r="AJ1"/>
      <c r="AK1"/>
      <c r="AL1"/>
      <c r="AM1"/>
      <c r="AN1"/>
      <c r="AO1"/>
      <c r="AP1"/>
      <c r="AQ1"/>
      <c r="AR1" s="23" t="s">
        <v>6</v>
      </c>
      <c r="AS1"/>
      <c r="AT1"/>
      <c r="AU1"/>
      <c r="AV1"/>
      <c r="AW1"/>
      <c r="AX1" s="23"/>
      <c r="AY1"/>
      <c r="AZ1"/>
      <c r="BA1"/>
      <c r="BB1" s="3"/>
      <c r="BC1" s="3"/>
      <c r="BD1" s="3"/>
      <c r="BE1" s="3"/>
      <c r="BF1" s="3"/>
      <c r="BG1" s="3"/>
      <c r="BH1" s="3"/>
      <c r="BI1" s="3"/>
      <c r="BJ1" s="23" t="s">
        <v>6</v>
      </c>
      <c r="BK1" s="3"/>
      <c r="BL1" s="3"/>
      <c r="BM1" s="3"/>
      <c r="BN1" s="3"/>
      <c r="BO1" s="3"/>
      <c r="BP1" s="2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23" t="s">
        <v>6</v>
      </c>
      <c r="CC1" s="3"/>
      <c r="CD1" s="3"/>
      <c r="CE1" s="3"/>
      <c r="CF1" s="3"/>
      <c r="CG1" s="3"/>
      <c r="CH1" s="2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23" t="s">
        <v>6</v>
      </c>
      <c r="CU1" s="3"/>
      <c r="CV1" s="3"/>
      <c r="CW1" s="3"/>
      <c r="CX1" s="3"/>
      <c r="CY1" s="3"/>
      <c r="CZ1" s="2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23" t="s">
        <v>6</v>
      </c>
      <c r="DM1" s="3"/>
      <c r="DN1" s="3"/>
      <c r="DO1" s="3"/>
      <c r="DP1" s="3"/>
      <c r="DQ1" s="3"/>
      <c r="DR1" s="23"/>
      <c r="DS1" s="3"/>
      <c r="DT1" s="3"/>
      <c r="DU1" s="3"/>
      <c r="DV1" s="3"/>
      <c r="DW1" s="3"/>
      <c r="DX1" s="3"/>
      <c r="DY1" s="3"/>
      <c r="DZ1" s="3"/>
      <c r="EA1" s="3"/>
      <c r="EB1"/>
      <c r="EC1"/>
      <c r="ED1" s="23" t="s">
        <v>6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</row>
    <row r="2" spans="1:182" ht="12.75">
      <c r="A2" s="22"/>
      <c r="B2" s="10"/>
      <c r="H2" s="23"/>
      <c r="I2" s="23"/>
      <c r="J2" s="23"/>
      <c r="K2" s="23"/>
      <c r="L2" s="23"/>
      <c r="M2" s="23"/>
      <c r="N2" s="23"/>
      <c r="Z2" s="23" t="s">
        <v>5</v>
      </c>
      <c r="AA2"/>
      <c r="AB2"/>
      <c r="AC2"/>
      <c r="AF2" s="23"/>
      <c r="AG2"/>
      <c r="AH2"/>
      <c r="AI2"/>
      <c r="AJ2"/>
      <c r="AK2"/>
      <c r="AL2"/>
      <c r="AM2"/>
      <c r="AN2"/>
      <c r="AO2"/>
      <c r="AP2"/>
      <c r="AQ2"/>
      <c r="AR2" s="23" t="s">
        <v>5</v>
      </c>
      <c r="AS2"/>
      <c r="AT2"/>
      <c r="AU2"/>
      <c r="AV2"/>
      <c r="AW2"/>
      <c r="AX2" s="23"/>
      <c r="AY2"/>
      <c r="AZ2"/>
      <c r="BA2"/>
      <c r="BB2" s="3"/>
      <c r="BC2" s="3"/>
      <c r="BD2" s="3"/>
      <c r="BE2" s="3"/>
      <c r="BF2" s="3"/>
      <c r="BG2" s="3"/>
      <c r="BH2" s="3"/>
      <c r="BI2" s="3"/>
      <c r="BJ2" s="23" t="s">
        <v>5</v>
      </c>
      <c r="BK2" s="3"/>
      <c r="BL2" s="3"/>
      <c r="BM2" s="3"/>
      <c r="BN2" s="3"/>
      <c r="BO2" s="3"/>
      <c r="BP2" s="2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23" t="s">
        <v>5</v>
      </c>
      <c r="CC2" s="3"/>
      <c r="CD2" s="3"/>
      <c r="CE2" s="3"/>
      <c r="CF2" s="3"/>
      <c r="CG2" s="3"/>
      <c r="CH2" s="2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23" t="s">
        <v>5</v>
      </c>
      <c r="CU2" s="3"/>
      <c r="CV2" s="3"/>
      <c r="CW2" s="3"/>
      <c r="CX2" s="3"/>
      <c r="CY2" s="3"/>
      <c r="CZ2" s="2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23" t="s">
        <v>5</v>
      </c>
      <c r="DM2" s="3"/>
      <c r="DN2" s="3"/>
      <c r="DO2" s="3"/>
      <c r="DP2" s="3"/>
      <c r="DQ2" s="3"/>
      <c r="DR2" s="23"/>
      <c r="DS2" s="3"/>
      <c r="DT2" s="3"/>
      <c r="DU2" s="3"/>
      <c r="DV2" s="3"/>
      <c r="DW2" s="3"/>
      <c r="DX2" s="3"/>
      <c r="DY2" s="3"/>
      <c r="DZ2" s="3"/>
      <c r="EA2" s="3"/>
      <c r="EB2"/>
      <c r="EC2"/>
      <c r="ED2" s="23" t="s">
        <v>5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</row>
    <row r="3" spans="1:182" ht="12.75">
      <c r="A3" s="22"/>
      <c r="B3" s="10"/>
      <c r="H3" s="23"/>
      <c r="I3" s="23"/>
      <c r="J3" s="23"/>
      <c r="K3" s="23"/>
      <c r="L3" s="23"/>
      <c r="M3" s="23"/>
      <c r="N3" s="23"/>
      <c r="Z3" s="23"/>
      <c r="AA3" s="1"/>
      <c r="AB3"/>
      <c r="AC3"/>
      <c r="AF3" s="23"/>
      <c r="AG3"/>
      <c r="AH3"/>
      <c r="AI3"/>
      <c r="AJ3"/>
      <c r="AK3"/>
      <c r="AL3"/>
      <c r="AM3"/>
      <c r="AN3"/>
      <c r="AO3"/>
      <c r="AP3"/>
      <c r="AQ3"/>
      <c r="AR3" s="23"/>
      <c r="AS3"/>
      <c r="AT3"/>
      <c r="AU3"/>
      <c r="AV3"/>
      <c r="AW3"/>
      <c r="AX3" s="23"/>
      <c r="AY3"/>
      <c r="AZ3"/>
      <c r="BA3"/>
      <c r="BB3" s="3"/>
      <c r="BC3" s="3"/>
      <c r="BD3" s="3"/>
      <c r="BE3" s="3"/>
      <c r="BF3" s="3"/>
      <c r="BG3" s="3"/>
      <c r="BH3" s="3"/>
      <c r="BI3" s="3"/>
      <c r="BJ3" s="23"/>
      <c r="BK3" s="3"/>
      <c r="BL3" s="3"/>
      <c r="BM3" s="3"/>
      <c r="BN3" s="3"/>
      <c r="BO3" s="3"/>
      <c r="BP3" s="2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23"/>
      <c r="CC3" s="3"/>
      <c r="CD3" s="3"/>
      <c r="CE3" s="3"/>
      <c r="CF3" s="3"/>
      <c r="CG3" s="3"/>
      <c r="CH3" s="2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23"/>
      <c r="CU3" s="3"/>
      <c r="CV3" s="3"/>
      <c r="CW3" s="3"/>
      <c r="CX3" s="3"/>
      <c r="CY3" s="3"/>
      <c r="CZ3" s="2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23"/>
      <c r="DM3" s="3"/>
      <c r="DN3" s="3"/>
      <c r="DO3" s="3"/>
      <c r="DP3" s="3"/>
      <c r="DQ3" s="3"/>
      <c r="DR3" s="23"/>
      <c r="DS3" s="3"/>
      <c r="DT3" s="3"/>
      <c r="DU3" s="3"/>
      <c r="DV3" s="3"/>
      <c r="DW3" s="3"/>
      <c r="DX3" s="3"/>
      <c r="DY3" s="3"/>
      <c r="DZ3" s="3"/>
      <c r="EA3" s="3"/>
      <c r="EB3"/>
      <c r="EC3"/>
      <c r="ED3" s="2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</row>
    <row r="4" spans="1:2" ht="12.75">
      <c r="A4" s="22"/>
      <c r="B4" s="10"/>
    </row>
    <row r="5" spans="1:181" ht="12.75">
      <c r="A5" s="4" t="s">
        <v>1</v>
      </c>
      <c r="C5" s="41" t="s">
        <v>61</v>
      </c>
      <c r="D5" s="42"/>
      <c r="E5" s="43"/>
      <c r="F5" s="19"/>
      <c r="G5" s="19"/>
      <c r="I5" s="34" t="s">
        <v>31</v>
      </c>
      <c r="J5" s="50"/>
      <c r="K5" s="51"/>
      <c r="L5" s="52"/>
      <c r="M5" s="52"/>
      <c r="O5" s="15" t="s">
        <v>8</v>
      </c>
      <c r="P5" s="16"/>
      <c r="Q5" s="17"/>
      <c r="R5" s="19"/>
      <c r="S5" s="19"/>
      <c r="U5" s="15" t="s">
        <v>28</v>
      </c>
      <c r="V5" s="16"/>
      <c r="W5" s="17"/>
      <c r="X5" s="19"/>
      <c r="Y5" s="19"/>
      <c r="AA5" s="34" t="s">
        <v>9</v>
      </c>
      <c r="AB5" s="16"/>
      <c r="AC5" s="17"/>
      <c r="AD5" s="19"/>
      <c r="AE5" s="19"/>
      <c r="AG5" s="34" t="s">
        <v>26</v>
      </c>
      <c r="AH5" s="16"/>
      <c r="AI5" s="17"/>
      <c r="AJ5" s="19"/>
      <c r="AK5" s="19"/>
      <c r="AL5" s="39"/>
      <c r="AM5" s="40" t="s">
        <v>57</v>
      </c>
      <c r="AN5" s="16"/>
      <c r="AO5" s="17"/>
      <c r="AP5" s="19"/>
      <c r="AQ5" s="19"/>
      <c r="AS5" s="15" t="s">
        <v>10</v>
      </c>
      <c r="AT5" s="16"/>
      <c r="AU5" s="17"/>
      <c r="AV5" s="19"/>
      <c r="AW5" s="19"/>
      <c r="AX5" s="35"/>
      <c r="AY5" s="15" t="s">
        <v>11</v>
      </c>
      <c r="AZ5" s="16"/>
      <c r="BA5" s="17"/>
      <c r="BB5" s="19"/>
      <c r="BC5" s="19"/>
      <c r="BE5" s="15" t="s">
        <v>32</v>
      </c>
      <c r="BF5" s="16"/>
      <c r="BG5" s="17"/>
      <c r="BH5" s="19"/>
      <c r="BI5" s="19"/>
      <c r="BK5" s="15" t="s">
        <v>34</v>
      </c>
      <c r="BL5" s="16"/>
      <c r="BM5" s="17"/>
      <c r="BN5" s="19"/>
      <c r="BO5" s="19"/>
      <c r="BQ5" s="15" t="s">
        <v>12</v>
      </c>
      <c r="BR5" s="16"/>
      <c r="BS5" s="17"/>
      <c r="BT5" s="19"/>
      <c r="BU5" s="19"/>
      <c r="BW5" s="15" t="s">
        <v>13</v>
      </c>
      <c r="BX5" s="16"/>
      <c r="BY5" s="17"/>
      <c r="BZ5" s="19"/>
      <c r="CA5" s="19"/>
      <c r="CB5" s="35"/>
      <c r="CC5" s="15" t="s">
        <v>14</v>
      </c>
      <c r="CD5" s="16"/>
      <c r="CE5" s="17"/>
      <c r="CF5" s="19"/>
      <c r="CG5" s="19"/>
      <c r="CI5" s="15" t="s">
        <v>15</v>
      </c>
      <c r="CJ5" s="16"/>
      <c r="CK5" s="17"/>
      <c r="CL5" s="19"/>
      <c r="CM5" s="19"/>
      <c r="CO5" s="15" t="s">
        <v>35</v>
      </c>
      <c r="CP5" s="16"/>
      <c r="CQ5" s="17"/>
      <c r="CR5" s="19"/>
      <c r="CS5" s="19"/>
      <c r="CU5" s="15" t="s">
        <v>16</v>
      </c>
      <c r="CV5" s="16"/>
      <c r="CW5" s="17"/>
      <c r="CX5" s="19"/>
      <c r="CY5" s="19"/>
      <c r="DA5" s="15" t="s">
        <v>36</v>
      </c>
      <c r="DB5" s="16"/>
      <c r="DC5" s="17"/>
      <c r="DD5" s="19"/>
      <c r="DE5" s="19"/>
      <c r="DG5" s="15" t="s">
        <v>38</v>
      </c>
      <c r="DH5" s="16"/>
      <c r="DI5" s="17"/>
      <c r="DJ5" s="19"/>
      <c r="DK5" s="19"/>
      <c r="DM5" s="15" t="s">
        <v>39</v>
      </c>
      <c r="DN5" s="16"/>
      <c r="DO5" s="17"/>
      <c r="DP5" s="19"/>
      <c r="DQ5" s="19"/>
      <c r="DS5" s="15" t="s">
        <v>40</v>
      </c>
      <c r="DT5" s="16"/>
      <c r="DU5" s="17"/>
      <c r="DV5" s="19"/>
      <c r="DW5" s="19"/>
      <c r="DY5" s="15" t="s">
        <v>41</v>
      </c>
      <c r="DZ5" s="16"/>
      <c r="EA5" s="17"/>
      <c r="EB5" s="19"/>
      <c r="EC5" s="19"/>
      <c r="EE5" s="15" t="s">
        <v>42</v>
      </c>
      <c r="EF5" s="16"/>
      <c r="EG5" s="17"/>
      <c r="EH5" s="19"/>
      <c r="EI5" s="19"/>
      <c r="EK5" s="15" t="s">
        <v>43</v>
      </c>
      <c r="EL5" s="16"/>
      <c r="EM5" s="17"/>
      <c r="EN5" s="19"/>
      <c r="EO5" s="19"/>
      <c r="EQ5" s="15" t="s">
        <v>44</v>
      </c>
      <c r="ER5" s="16"/>
      <c r="ES5" s="17"/>
      <c r="ET5" s="19"/>
      <c r="EU5" s="19"/>
      <c r="EW5" s="15" t="s">
        <v>17</v>
      </c>
      <c r="EX5" s="16"/>
      <c r="EY5" s="17"/>
      <c r="EZ5" s="19"/>
      <c r="FA5" s="19"/>
      <c r="FC5" s="15" t="s">
        <v>45</v>
      </c>
      <c r="FD5" s="16"/>
      <c r="FE5" s="17"/>
      <c r="FF5" s="19"/>
      <c r="FG5" s="19"/>
      <c r="FI5" s="15" t="s">
        <v>46</v>
      </c>
      <c r="FJ5" s="16"/>
      <c r="FK5" s="17"/>
      <c r="FL5" s="19"/>
      <c r="FM5" s="19"/>
      <c r="FO5" s="15" t="s">
        <v>18</v>
      </c>
      <c r="FP5" s="16"/>
      <c r="FQ5" s="17"/>
      <c r="FR5" s="19"/>
      <c r="FS5" s="19"/>
      <c r="FU5" s="34" t="s">
        <v>47</v>
      </c>
      <c r="FV5" s="16"/>
      <c r="FW5" s="17"/>
      <c r="FX5" s="19"/>
      <c r="FY5" s="19"/>
    </row>
    <row r="6" spans="1:182" s="1" customFormat="1" ht="12.75">
      <c r="A6" s="24" t="s">
        <v>2</v>
      </c>
      <c r="C6" s="49" t="s">
        <v>62</v>
      </c>
      <c r="D6" s="44"/>
      <c r="E6" s="45"/>
      <c r="F6" s="19" t="s">
        <v>55</v>
      </c>
      <c r="G6" s="19" t="s">
        <v>55</v>
      </c>
      <c r="H6" s="13"/>
      <c r="I6" s="53"/>
      <c r="J6" s="37">
        <v>0.6798012</v>
      </c>
      <c r="K6" s="17"/>
      <c r="L6" s="54" t="s">
        <v>55</v>
      </c>
      <c r="M6" s="54" t="s">
        <v>55</v>
      </c>
      <c r="N6" s="13"/>
      <c r="O6" s="18"/>
      <c r="P6" s="31">
        <v>0.0796069</v>
      </c>
      <c r="Q6" s="17"/>
      <c r="R6" s="19" t="s">
        <v>55</v>
      </c>
      <c r="S6" s="19" t="s">
        <v>55</v>
      </c>
      <c r="T6" s="13"/>
      <c r="U6" s="18"/>
      <c r="V6" s="31">
        <v>0.0886163</v>
      </c>
      <c r="W6" s="17"/>
      <c r="X6" s="19" t="s">
        <v>55</v>
      </c>
      <c r="Y6" s="19" t="s">
        <v>55</v>
      </c>
      <c r="Z6" s="13"/>
      <c r="AA6" s="18"/>
      <c r="AB6" s="31">
        <v>0.0327229</v>
      </c>
      <c r="AC6" s="17"/>
      <c r="AD6" s="19" t="s">
        <v>55</v>
      </c>
      <c r="AE6" s="19" t="s">
        <v>55</v>
      </c>
      <c r="AF6" s="13"/>
      <c r="AG6" s="18"/>
      <c r="AH6" s="31">
        <v>0.0244463</v>
      </c>
      <c r="AI6" s="17"/>
      <c r="AJ6" s="19" t="s">
        <v>55</v>
      </c>
      <c r="AK6" s="19" t="s">
        <v>55</v>
      </c>
      <c r="AL6" s="39"/>
      <c r="AM6" s="18"/>
      <c r="AN6" s="31">
        <v>0.0024261</v>
      </c>
      <c r="AO6" s="17"/>
      <c r="AP6" s="19" t="s">
        <v>55</v>
      </c>
      <c r="AQ6" s="19" t="s">
        <v>55</v>
      </c>
      <c r="AR6" s="13"/>
      <c r="AS6" s="18"/>
      <c r="AT6" s="31">
        <v>0.0325486</v>
      </c>
      <c r="AU6" s="17"/>
      <c r="AV6" s="19" t="s">
        <v>55</v>
      </c>
      <c r="AW6" s="19" t="s">
        <v>55</v>
      </c>
      <c r="AX6" s="35"/>
      <c r="AY6" s="18"/>
      <c r="AZ6" s="31">
        <v>0.2378111</v>
      </c>
      <c r="BA6" s="17"/>
      <c r="BB6" s="19" t="s">
        <v>55</v>
      </c>
      <c r="BC6" s="19" t="s">
        <v>55</v>
      </c>
      <c r="BD6" s="13"/>
      <c r="BE6" s="18"/>
      <c r="BF6" s="31">
        <v>4E-06</v>
      </c>
      <c r="BG6" s="17"/>
      <c r="BH6" s="19" t="s">
        <v>55</v>
      </c>
      <c r="BI6" s="19" t="s">
        <v>55</v>
      </c>
      <c r="BJ6" s="13"/>
      <c r="BK6" s="18"/>
      <c r="BL6" s="31">
        <v>0.0013664</v>
      </c>
      <c r="BM6" s="17"/>
      <c r="BN6" s="19" t="s">
        <v>55</v>
      </c>
      <c r="BO6" s="19" t="s">
        <v>55</v>
      </c>
      <c r="BP6" s="13"/>
      <c r="BQ6" s="18"/>
      <c r="BR6" s="31">
        <v>0.0087875</v>
      </c>
      <c r="BS6" s="17"/>
      <c r="BT6" s="19" t="s">
        <v>55</v>
      </c>
      <c r="BU6" s="19" t="s">
        <v>55</v>
      </c>
      <c r="BV6" s="13"/>
      <c r="BW6" s="18"/>
      <c r="BX6" s="31">
        <v>0.0056757</v>
      </c>
      <c r="BY6" s="17"/>
      <c r="BZ6" s="19" t="s">
        <v>55</v>
      </c>
      <c r="CA6" s="19" t="s">
        <v>55</v>
      </c>
      <c r="CB6" s="35"/>
      <c r="CC6" s="18"/>
      <c r="CD6" s="31">
        <v>0.0218514</v>
      </c>
      <c r="CE6" s="17"/>
      <c r="CF6" s="19" t="s">
        <v>55</v>
      </c>
      <c r="CG6" s="19" t="s">
        <v>55</v>
      </c>
      <c r="CH6" s="13"/>
      <c r="CI6" s="18"/>
      <c r="CJ6" s="31">
        <v>0.0013916</v>
      </c>
      <c r="CK6" s="17"/>
      <c r="CL6" s="19" t="s">
        <v>55</v>
      </c>
      <c r="CM6" s="19" t="s">
        <v>55</v>
      </c>
      <c r="CN6" s="13"/>
      <c r="CO6" s="18"/>
      <c r="CP6" s="31">
        <v>0.0037665</v>
      </c>
      <c r="CQ6" s="17"/>
      <c r="CR6" s="19" t="s">
        <v>55</v>
      </c>
      <c r="CS6" s="19" t="s">
        <v>55</v>
      </c>
      <c r="CT6" s="13"/>
      <c r="CU6" s="18"/>
      <c r="CV6" s="31">
        <v>0.0158627</v>
      </c>
      <c r="CW6" s="17"/>
      <c r="CX6" s="19" t="s">
        <v>55</v>
      </c>
      <c r="CY6" s="19" t="s">
        <v>55</v>
      </c>
      <c r="CZ6" s="13"/>
      <c r="DA6" s="18"/>
      <c r="DB6" s="31">
        <v>0.0007178</v>
      </c>
      <c r="DC6" s="17"/>
      <c r="DD6" s="19" t="s">
        <v>55</v>
      </c>
      <c r="DE6" s="19" t="s">
        <v>55</v>
      </c>
      <c r="DF6" s="13"/>
      <c r="DG6" s="18"/>
      <c r="DH6" s="31">
        <v>0.0101431</v>
      </c>
      <c r="DI6" s="17"/>
      <c r="DJ6" s="19" t="s">
        <v>55</v>
      </c>
      <c r="DK6" s="19" t="s">
        <v>55</v>
      </c>
      <c r="DL6" s="13"/>
      <c r="DM6" s="18"/>
      <c r="DN6" s="31">
        <v>0.0048536</v>
      </c>
      <c r="DO6" s="17"/>
      <c r="DP6" s="19" t="s">
        <v>55</v>
      </c>
      <c r="DQ6" s="19" t="s">
        <v>55</v>
      </c>
      <c r="DR6" s="13"/>
      <c r="DS6" s="18"/>
      <c r="DT6" s="31">
        <v>0.0080603</v>
      </c>
      <c r="DU6" s="17"/>
      <c r="DV6" s="19" t="s">
        <v>55</v>
      </c>
      <c r="DW6" s="19" t="s">
        <v>55</v>
      </c>
      <c r="DX6" s="13"/>
      <c r="DY6" s="18"/>
      <c r="DZ6" s="31">
        <v>0.0245163</v>
      </c>
      <c r="EA6" s="17"/>
      <c r="EB6" s="19" t="s">
        <v>55</v>
      </c>
      <c r="EC6" s="19" t="s">
        <v>55</v>
      </c>
      <c r="ED6" s="13"/>
      <c r="EE6" s="18"/>
      <c r="EF6" s="31">
        <v>0.0025443</v>
      </c>
      <c r="EG6" s="17"/>
      <c r="EH6" s="19" t="s">
        <v>55</v>
      </c>
      <c r="EI6" s="19" t="s">
        <v>55</v>
      </c>
      <c r="EJ6" s="13"/>
      <c r="EK6" s="18"/>
      <c r="EL6" s="31">
        <v>0.0012856</v>
      </c>
      <c r="EM6" s="17"/>
      <c r="EN6" s="19" t="s">
        <v>55</v>
      </c>
      <c r="EO6" s="19" t="s">
        <v>55</v>
      </c>
      <c r="EP6" s="13"/>
      <c r="EQ6" s="18"/>
      <c r="ER6" s="31">
        <v>0.0003415</v>
      </c>
      <c r="ES6" s="17"/>
      <c r="ET6" s="19" t="s">
        <v>55</v>
      </c>
      <c r="EU6" s="19" t="s">
        <v>55</v>
      </c>
      <c r="EV6" s="13"/>
      <c r="EW6" s="18"/>
      <c r="EX6" s="31">
        <v>0.0111619</v>
      </c>
      <c r="EY6" s="17"/>
      <c r="EZ6" s="19" t="s">
        <v>55</v>
      </c>
      <c r="FA6" s="19" t="s">
        <v>55</v>
      </c>
      <c r="FB6" s="13"/>
      <c r="FC6" s="18"/>
      <c r="FD6" s="31">
        <v>0.0455599</v>
      </c>
      <c r="FE6" s="17"/>
      <c r="FF6" s="19" t="s">
        <v>55</v>
      </c>
      <c r="FG6" s="19" t="s">
        <v>55</v>
      </c>
      <c r="FH6" s="13"/>
      <c r="FI6" s="18"/>
      <c r="FJ6" s="31">
        <v>0.0007571</v>
      </c>
      <c r="FK6" s="17"/>
      <c r="FL6" s="19" t="s">
        <v>55</v>
      </c>
      <c r="FM6" s="19" t="s">
        <v>55</v>
      </c>
      <c r="FN6" s="13"/>
      <c r="FO6" s="18"/>
      <c r="FP6" s="31">
        <v>0.0091696</v>
      </c>
      <c r="FQ6" s="17"/>
      <c r="FR6" s="19" t="s">
        <v>55</v>
      </c>
      <c r="FS6" s="19" t="s">
        <v>55</v>
      </c>
      <c r="FT6" s="13"/>
      <c r="FU6" s="18"/>
      <c r="FV6" s="31">
        <v>0.0038062</v>
      </c>
      <c r="FW6" s="17"/>
      <c r="FX6" s="19" t="s">
        <v>55</v>
      </c>
      <c r="FY6" s="19" t="s">
        <v>55</v>
      </c>
      <c r="FZ6" s="13"/>
    </row>
    <row r="7" spans="1:181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59</v>
      </c>
      <c r="I7" s="19" t="s">
        <v>3</v>
      </c>
      <c r="J7" s="54" t="s">
        <v>4</v>
      </c>
      <c r="K7" s="52" t="s">
        <v>0</v>
      </c>
      <c r="L7" s="54" t="s">
        <v>56</v>
      </c>
      <c r="M7" s="54" t="s">
        <v>59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59</v>
      </c>
      <c r="U7" s="19" t="s">
        <v>3</v>
      </c>
      <c r="V7" s="19" t="s">
        <v>4</v>
      </c>
      <c r="W7" s="19" t="s">
        <v>0</v>
      </c>
      <c r="X7" s="19" t="s">
        <v>56</v>
      </c>
      <c r="Y7" s="48" t="s">
        <v>59</v>
      </c>
      <c r="AA7" s="19" t="s">
        <v>3</v>
      </c>
      <c r="AB7" s="19" t="s">
        <v>4</v>
      </c>
      <c r="AC7" s="19" t="s">
        <v>0</v>
      </c>
      <c r="AD7" s="19" t="s">
        <v>56</v>
      </c>
      <c r="AE7" s="48" t="s">
        <v>59</v>
      </c>
      <c r="AG7" s="19" t="s">
        <v>3</v>
      </c>
      <c r="AH7" s="19" t="s">
        <v>4</v>
      </c>
      <c r="AI7" s="19" t="s">
        <v>0</v>
      </c>
      <c r="AJ7" s="19" t="s">
        <v>56</v>
      </c>
      <c r="AK7" s="48" t="s">
        <v>59</v>
      </c>
      <c r="AL7" s="39"/>
      <c r="AM7" s="19" t="s">
        <v>3</v>
      </c>
      <c r="AN7" s="19" t="s">
        <v>4</v>
      </c>
      <c r="AO7" s="19" t="s">
        <v>0</v>
      </c>
      <c r="AP7" s="19" t="s">
        <v>56</v>
      </c>
      <c r="AQ7" s="48" t="s">
        <v>59</v>
      </c>
      <c r="AS7" s="19" t="s">
        <v>3</v>
      </c>
      <c r="AT7" s="19" t="s">
        <v>4</v>
      </c>
      <c r="AU7" s="19" t="s">
        <v>0</v>
      </c>
      <c r="AV7" s="19" t="s">
        <v>56</v>
      </c>
      <c r="AW7" s="48" t="s">
        <v>59</v>
      </c>
      <c r="AX7" s="36"/>
      <c r="AY7" s="19" t="s">
        <v>3</v>
      </c>
      <c r="AZ7" s="19" t="s">
        <v>4</v>
      </c>
      <c r="BA7" s="19" t="s">
        <v>0</v>
      </c>
      <c r="BB7" s="19" t="s">
        <v>56</v>
      </c>
      <c r="BC7" s="48" t="s">
        <v>59</v>
      </c>
      <c r="BE7" s="19" t="s">
        <v>3</v>
      </c>
      <c r="BF7" s="19" t="s">
        <v>4</v>
      </c>
      <c r="BG7" s="19" t="s">
        <v>0</v>
      </c>
      <c r="BH7" s="19" t="s">
        <v>56</v>
      </c>
      <c r="BI7" s="48" t="s">
        <v>59</v>
      </c>
      <c r="BK7" s="19" t="s">
        <v>3</v>
      </c>
      <c r="BL7" s="19" t="s">
        <v>4</v>
      </c>
      <c r="BM7" s="19" t="s">
        <v>0</v>
      </c>
      <c r="BN7" s="19" t="s">
        <v>56</v>
      </c>
      <c r="BO7" s="48" t="s">
        <v>59</v>
      </c>
      <c r="BQ7" s="19" t="s">
        <v>3</v>
      </c>
      <c r="BR7" s="19" t="s">
        <v>4</v>
      </c>
      <c r="BS7" s="19" t="s">
        <v>0</v>
      </c>
      <c r="BT7" s="19" t="s">
        <v>56</v>
      </c>
      <c r="BU7" s="48" t="s">
        <v>59</v>
      </c>
      <c r="BW7" s="19" t="s">
        <v>3</v>
      </c>
      <c r="BX7" s="19" t="s">
        <v>4</v>
      </c>
      <c r="BY7" s="19" t="s">
        <v>0</v>
      </c>
      <c r="BZ7" s="19" t="s">
        <v>56</v>
      </c>
      <c r="CA7" s="48" t="s">
        <v>59</v>
      </c>
      <c r="CB7" s="36"/>
      <c r="CC7" s="19" t="s">
        <v>3</v>
      </c>
      <c r="CD7" s="19" t="s">
        <v>4</v>
      </c>
      <c r="CE7" s="19" t="s">
        <v>0</v>
      </c>
      <c r="CF7" s="19" t="s">
        <v>56</v>
      </c>
      <c r="CG7" s="48" t="s">
        <v>59</v>
      </c>
      <c r="CI7" s="19" t="s">
        <v>3</v>
      </c>
      <c r="CJ7" s="19" t="s">
        <v>4</v>
      </c>
      <c r="CK7" s="19" t="s">
        <v>0</v>
      </c>
      <c r="CL7" s="19" t="s">
        <v>56</v>
      </c>
      <c r="CM7" s="48" t="s">
        <v>59</v>
      </c>
      <c r="CO7" s="19" t="s">
        <v>3</v>
      </c>
      <c r="CP7" s="19" t="s">
        <v>4</v>
      </c>
      <c r="CQ7" s="19" t="s">
        <v>0</v>
      </c>
      <c r="CR7" s="19" t="s">
        <v>56</v>
      </c>
      <c r="CS7" s="48" t="s">
        <v>59</v>
      </c>
      <c r="CU7" s="19" t="s">
        <v>3</v>
      </c>
      <c r="CV7" s="19" t="s">
        <v>4</v>
      </c>
      <c r="CW7" s="19" t="s">
        <v>0</v>
      </c>
      <c r="CX7" s="19" t="s">
        <v>56</v>
      </c>
      <c r="CY7" s="48" t="s">
        <v>59</v>
      </c>
      <c r="DA7" s="19" t="s">
        <v>3</v>
      </c>
      <c r="DB7" s="19" t="s">
        <v>4</v>
      </c>
      <c r="DC7" s="19" t="s">
        <v>0</v>
      </c>
      <c r="DD7" s="19" t="s">
        <v>56</v>
      </c>
      <c r="DE7" s="48" t="s">
        <v>59</v>
      </c>
      <c r="DG7" s="19" t="s">
        <v>3</v>
      </c>
      <c r="DH7" s="19" t="s">
        <v>4</v>
      </c>
      <c r="DI7" s="19" t="s">
        <v>0</v>
      </c>
      <c r="DJ7" s="19" t="s">
        <v>56</v>
      </c>
      <c r="DK7" s="48" t="s">
        <v>59</v>
      </c>
      <c r="DM7" s="19" t="s">
        <v>3</v>
      </c>
      <c r="DN7" s="19" t="s">
        <v>4</v>
      </c>
      <c r="DO7" s="19" t="s">
        <v>0</v>
      </c>
      <c r="DP7" s="19" t="s">
        <v>56</v>
      </c>
      <c r="DQ7" s="48" t="s">
        <v>59</v>
      </c>
      <c r="DS7" s="19" t="s">
        <v>3</v>
      </c>
      <c r="DT7" s="19" t="s">
        <v>4</v>
      </c>
      <c r="DU7" s="19" t="s">
        <v>0</v>
      </c>
      <c r="DV7" s="19" t="s">
        <v>56</v>
      </c>
      <c r="DW7" s="48" t="s">
        <v>59</v>
      </c>
      <c r="DY7" s="19" t="s">
        <v>3</v>
      </c>
      <c r="DZ7" s="19" t="s">
        <v>4</v>
      </c>
      <c r="EA7" s="19" t="s">
        <v>0</v>
      </c>
      <c r="EB7" s="19" t="s">
        <v>56</v>
      </c>
      <c r="EC7" s="48" t="s">
        <v>59</v>
      </c>
      <c r="EE7" s="19" t="s">
        <v>3</v>
      </c>
      <c r="EF7" s="19" t="s">
        <v>4</v>
      </c>
      <c r="EG7" s="19" t="s">
        <v>0</v>
      </c>
      <c r="EH7" s="19" t="s">
        <v>56</v>
      </c>
      <c r="EI7" s="48" t="s">
        <v>59</v>
      </c>
      <c r="EK7" s="19" t="s">
        <v>3</v>
      </c>
      <c r="EL7" s="19" t="s">
        <v>4</v>
      </c>
      <c r="EM7" s="19" t="s">
        <v>0</v>
      </c>
      <c r="EN7" s="19" t="s">
        <v>56</v>
      </c>
      <c r="EO7" s="48" t="s">
        <v>59</v>
      </c>
      <c r="EQ7" s="19" t="s">
        <v>3</v>
      </c>
      <c r="ER7" s="19" t="s">
        <v>4</v>
      </c>
      <c r="ES7" s="19" t="s">
        <v>0</v>
      </c>
      <c r="ET7" s="19" t="s">
        <v>56</v>
      </c>
      <c r="EU7" s="48" t="s">
        <v>59</v>
      </c>
      <c r="EW7" s="19" t="s">
        <v>3</v>
      </c>
      <c r="EX7" s="19" t="s">
        <v>4</v>
      </c>
      <c r="EY7" s="19" t="s">
        <v>0</v>
      </c>
      <c r="EZ7" s="19" t="s">
        <v>56</v>
      </c>
      <c r="FA7" s="48" t="s">
        <v>59</v>
      </c>
      <c r="FC7" s="19" t="s">
        <v>3</v>
      </c>
      <c r="FD7" s="19" t="s">
        <v>4</v>
      </c>
      <c r="FE7" s="19" t="s">
        <v>0</v>
      </c>
      <c r="FF7" s="19" t="s">
        <v>56</v>
      </c>
      <c r="FG7" s="48" t="s">
        <v>59</v>
      </c>
      <c r="FI7" s="19" t="s">
        <v>3</v>
      </c>
      <c r="FJ7" s="19" t="s">
        <v>4</v>
      </c>
      <c r="FK7" s="19" t="s">
        <v>0</v>
      </c>
      <c r="FL7" s="19" t="s">
        <v>56</v>
      </c>
      <c r="FM7" s="48" t="s">
        <v>59</v>
      </c>
      <c r="FO7" s="19" t="s">
        <v>3</v>
      </c>
      <c r="FP7" s="19" t="s">
        <v>4</v>
      </c>
      <c r="FQ7" s="19" t="s">
        <v>0</v>
      </c>
      <c r="FR7" s="19" t="s">
        <v>56</v>
      </c>
      <c r="FS7" s="48" t="s">
        <v>59</v>
      </c>
      <c r="FU7" s="19" t="s">
        <v>3</v>
      </c>
      <c r="FV7" s="19" t="s">
        <v>4</v>
      </c>
      <c r="FW7" s="19" t="s">
        <v>0</v>
      </c>
      <c r="FX7" s="19" t="s">
        <v>56</v>
      </c>
      <c r="FY7" s="48" t="s">
        <v>59</v>
      </c>
    </row>
    <row r="8" spans="1:182" s="30" customFormat="1" ht="12.75">
      <c r="A8" s="29">
        <v>44835</v>
      </c>
      <c r="C8" s="14"/>
      <c r="D8" s="14">
        <v>62500</v>
      </c>
      <c r="E8" s="14">
        <f>C8+D8</f>
        <v>62500</v>
      </c>
      <c r="F8" s="14">
        <v>80524</v>
      </c>
      <c r="G8" s="14">
        <v>44405</v>
      </c>
      <c r="H8" s="28"/>
      <c r="I8" s="13">
        <f aca="true" t="shared" si="0" ref="I8:J11">O8+U8+AA8+AG8+AM8+AS8+AY8+BE8+BK8+BQ8+BW8+CC8+CI8+CO8+CU8+DA8+DG8+DM8+DS8+DY8+EE8+EK8+EQ8+EW8+FC8+FI8+FO8+FU8</f>
        <v>0</v>
      </c>
      <c r="J8" s="13">
        <f t="shared" si="0"/>
        <v>42487.575000000004</v>
      </c>
      <c r="K8" s="13">
        <f>SUM(I8:J8)</f>
        <v>42487.575000000004</v>
      </c>
      <c r="L8" s="13">
        <f aca="true" t="shared" si="1" ref="L8:M11">R8+X8+AD8+AJ8+AP8+AV8+BB8+BH8+BN8+BT8+BZ8+CF8+CL8+CR8+CX8+DD8+DJ8+DP8+DV8+EB8+EH8+EN8+ET8+EZ8+FF8+FL8+FR8+FX8</f>
        <v>54740.311828799975</v>
      </c>
      <c r="M8" s="13">
        <f t="shared" si="1"/>
        <v>30186.572286000006</v>
      </c>
      <c r="N8" s="28"/>
      <c r="O8" s="13"/>
      <c r="P8" s="13">
        <f>D8*7.96069/100</f>
        <v>4975.43125</v>
      </c>
      <c r="Q8" s="28">
        <f>O8+P8</f>
        <v>4975.43125</v>
      </c>
      <c r="R8" s="28">
        <f>P$6*$F8</f>
        <v>6410.266015599999</v>
      </c>
      <c r="S8" s="28">
        <f>P$6*$G8</f>
        <v>3534.9443945</v>
      </c>
      <c r="T8" s="28"/>
      <c r="U8" s="13"/>
      <c r="V8" s="13">
        <f>D8*8.86163/100</f>
        <v>5538.51875</v>
      </c>
      <c r="W8" s="13">
        <f>U8+V8</f>
        <v>5538.51875</v>
      </c>
      <c r="X8" s="28">
        <f>V$6*$F8</f>
        <v>7135.738941199999</v>
      </c>
      <c r="Y8" s="28">
        <f>V$6*$G8</f>
        <v>3935.0068014999997</v>
      </c>
      <c r="Z8" s="28"/>
      <c r="AA8" s="28"/>
      <c r="AB8" s="13">
        <f>D8*3.27229/100</f>
        <v>2045.18125</v>
      </c>
      <c r="AC8" s="13">
        <f>AA8+AB8</f>
        <v>2045.18125</v>
      </c>
      <c r="AD8" s="28">
        <f>AB$6*$F8</f>
        <v>2634.9787996</v>
      </c>
      <c r="AE8" s="28">
        <f>AB$6*$G8</f>
        <v>1453.0603744999999</v>
      </c>
      <c r="AF8" s="28"/>
      <c r="AG8" s="13"/>
      <c r="AH8" s="13">
        <f>D8*2.44463/100</f>
        <v>1527.89375</v>
      </c>
      <c r="AI8" s="13">
        <f>AG8+AH8</f>
        <v>1527.89375</v>
      </c>
      <c r="AJ8" s="28">
        <f>AH$6*$F8</f>
        <v>1968.5138612</v>
      </c>
      <c r="AK8" s="28">
        <f>AH$6*$G8</f>
        <v>1085.5379515</v>
      </c>
      <c r="AL8" s="13"/>
      <c r="AM8" s="13"/>
      <c r="AN8" s="13">
        <f>AN$6*$D8</f>
        <v>151.63125</v>
      </c>
      <c r="AO8" s="13">
        <f>SUM(AM8:AN8)</f>
        <v>151.63125</v>
      </c>
      <c r="AP8" s="28">
        <f>AN$6*$F8</f>
        <v>195.3592764</v>
      </c>
      <c r="AQ8" s="28">
        <f>AN$6*$G8</f>
        <v>107.7309705</v>
      </c>
      <c r="AR8" s="28"/>
      <c r="AS8" s="13"/>
      <c r="AT8" s="13">
        <f>D8*3.25486/100</f>
        <v>2034.2875</v>
      </c>
      <c r="AU8" s="13">
        <f>AS8+AT8</f>
        <v>2034.2875</v>
      </c>
      <c r="AV8" s="28">
        <f>AT$6*$F8</f>
        <v>2620.9434663999996</v>
      </c>
      <c r="AW8" s="28">
        <f>AT$6*$G8</f>
        <v>1445.320583</v>
      </c>
      <c r="AX8" s="13"/>
      <c r="AY8" s="13"/>
      <c r="AZ8" s="13">
        <f>D8*23.78111/100</f>
        <v>14863.19375</v>
      </c>
      <c r="BA8" s="13">
        <f>AY8+AZ8</f>
        <v>14863.19375</v>
      </c>
      <c r="BB8" s="28">
        <f>AZ$6*$F8</f>
        <v>19149.5010164</v>
      </c>
      <c r="BC8" s="28">
        <f>AZ$6*$G8</f>
        <v>10560.0018955</v>
      </c>
      <c r="BD8" s="28"/>
      <c r="BE8" s="13"/>
      <c r="BF8" s="13">
        <f>D8*0.0004/100</f>
        <v>0.25</v>
      </c>
      <c r="BG8" s="13">
        <f>BE8+BF8</f>
        <v>0.25</v>
      </c>
      <c r="BH8" s="28">
        <f>BF$6*$F8</f>
        <v>0.322096</v>
      </c>
      <c r="BI8" s="28">
        <f>BF$6*$G8</f>
        <v>0.17762</v>
      </c>
      <c r="BJ8" s="28"/>
      <c r="BK8" s="13"/>
      <c r="BL8" s="13">
        <f>D8*0.13664/100</f>
        <v>85.4</v>
      </c>
      <c r="BM8" s="13">
        <f>BK8+BL8</f>
        <v>85.4</v>
      </c>
      <c r="BN8" s="28">
        <f>BL$6*$F8</f>
        <v>110.0279936</v>
      </c>
      <c r="BO8" s="28">
        <f>BL$6*$G8</f>
        <v>60.674992</v>
      </c>
      <c r="BP8" s="28"/>
      <c r="BQ8" s="13"/>
      <c r="BR8" s="13">
        <f>D8*0.87875/100</f>
        <v>549.21875</v>
      </c>
      <c r="BS8" s="13">
        <f>BQ8+BR8</f>
        <v>549.21875</v>
      </c>
      <c r="BT8" s="28">
        <f>BR$6*$F8</f>
        <v>707.60465</v>
      </c>
      <c r="BU8" s="28">
        <f>BR$6*$G8</f>
        <v>390.2089375</v>
      </c>
      <c r="BV8" s="28"/>
      <c r="BW8" s="13"/>
      <c r="BX8" s="13">
        <f>D8*0.56757/100</f>
        <v>354.73125</v>
      </c>
      <c r="BY8" s="13">
        <f>BW8+BX8</f>
        <v>354.73125</v>
      </c>
      <c r="BZ8" s="28">
        <f>BX$6*$F8</f>
        <v>457.0300668</v>
      </c>
      <c r="CA8" s="28">
        <f>BX$6*$G8</f>
        <v>252.02945849999998</v>
      </c>
      <c r="CB8" s="13"/>
      <c r="CC8" s="13"/>
      <c r="CD8" s="13">
        <f>D8*2.18514/100</f>
        <v>1365.7125</v>
      </c>
      <c r="CE8" s="13">
        <f>CC8+CD8</f>
        <v>1365.7125</v>
      </c>
      <c r="CF8" s="28">
        <f>CD$6*$F8</f>
        <v>1759.5621336</v>
      </c>
      <c r="CG8" s="28">
        <f>CD$6*$G8</f>
        <v>970.311417</v>
      </c>
      <c r="CH8" s="28"/>
      <c r="CI8" s="13"/>
      <c r="CJ8" s="13">
        <f>D8*0.13916/100</f>
        <v>86.975</v>
      </c>
      <c r="CK8" s="13">
        <f>CI8+CJ8</f>
        <v>86.975</v>
      </c>
      <c r="CL8" s="28">
        <f>CJ$6*$F8</f>
        <v>112.0571984</v>
      </c>
      <c r="CM8" s="28">
        <f>CJ$6*$G8</f>
        <v>61.793998</v>
      </c>
      <c r="CN8" s="28"/>
      <c r="CO8" s="13"/>
      <c r="CP8" s="13">
        <f>D8*0.37665/100</f>
        <v>235.40625</v>
      </c>
      <c r="CQ8" s="13">
        <f>CO8+CP8</f>
        <v>235.40625</v>
      </c>
      <c r="CR8" s="28">
        <f>CP$6*$F8</f>
        <v>303.29364599999997</v>
      </c>
      <c r="CS8" s="28">
        <f>CP$6*$G8</f>
        <v>167.2514325</v>
      </c>
      <c r="CT8" s="28"/>
      <c r="CU8" s="13"/>
      <c r="CV8" s="13">
        <f>D8*1.58627/100</f>
        <v>991.41875</v>
      </c>
      <c r="CW8" s="13">
        <f>CU8+CV8</f>
        <v>991.41875</v>
      </c>
      <c r="CX8" s="28">
        <f>CV$6*$F8</f>
        <v>1277.3280548</v>
      </c>
      <c r="CY8" s="28">
        <f>CV$6*$G8</f>
        <v>704.3831935000001</v>
      </c>
      <c r="CZ8" s="28"/>
      <c r="DA8" s="13"/>
      <c r="DB8" s="13">
        <f>D8*0.07178/100</f>
        <v>44.8625</v>
      </c>
      <c r="DC8" s="13">
        <f>DA8+DB8</f>
        <v>44.8625</v>
      </c>
      <c r="DD8" s="28">
        <f>DB$6*$F8</f>
        <v>57.8001272</v>
      </c>
      <c r="DE8" s="28">
        <f>DB$6*$G8</f>
        <v>31.873909</v>
      </c>
      <c r="DF8" s="28"/>
      <c r="DG8" s="13"/>
      <c r="DH8" s="13">
        <f>D8*1.01431/100</f>
        <v>633.94375</v>
      </c>
      <c r="DI8" s="13">
        <f>DG8+DH8</f>
        <v>633.94375</v>
      </c>
      <c r="DJ8" s="28">
        <f>DH$6*$F8</f>
        <v>816.7629844</v>
      </c>
      <c r="DK8" s="28">
        <f>DH$6*$G8</f>
        <v>450.4043555</v>
      </c>
      <c r="DL8" s="28"/>
      <c r="DM8" s="13"/>
      <c r="DN8" s="28">
        <f>D8*0.48536/100</f>
        <v>303.35</v>
      </c>
      <c r="DO8" s="13">
        <f>DM8+DN8</f>
        <v>303.35</v>
      </c>
      <c r="DP8" s="28">
        <f>DN$6*$F8</f>
        <v>390.83128639999995</v>
      </c>
      <c r="DQ8" s="28">
        <f>DN$6*$G8</f>
        <v>215.52410799999998</v>
      </c>
      <c r="DR8" s="28"/>
      <c r="DS8" s="13"/>
      <c r="DT8" s="13">
        <f>D8*0.80603/100</f>
        <v>503.76875</v>
      </c>
      <c r="DU8" s="13">
        <f>DS8+DT8</f>
        <v>503.76875</v>
      </c>
      <c r="DV8" s="28">
        <f>DT$6*$F8</f>
        <v>649.0475971999999</v>
      </c>
      <c r="DW8" s="28">
        <f>DT$6*$G8</f>
        <v>357.9176215</v>
      </c>
      <c r="DX8" s="28"/>
      <c r="DY8" s="13"/>
      <c r="DZ8" s="13">
        <f>D8*2.45163/100</f>
        <v>1532.26875</v>
      </c>
      <c r="EA8" s="13">
        <f>DY8+DZ8</f>
        <v>1532.26875</v>
      </c>
      <c r="EB8" s="28">
        <f>DZ$6*$F8</f>
        <v>1974.1505412000001</v>
      </c>
      <c r="EC8" s="28">
        <f>DZ$6*$G8</f>
        <v>1088.6463015000002</v>
      </c>
      <c r="ED8" s="28"/>
      <c r="EE8" s="13"/>
      <c r="EF8" s="13">
        <f>D8*0.25443/100</f>
        <v>159.01875</v>
      </c>
      <c r="EG8" s="13">
        <f>EE8+EF8</f>
        <v>159.01875</v>
      </c>
      <c r="EH8" s="28">
        <f>EF$6*$F8</f>
        <v>204.87721320000003</v>
      </c>
      <c r="EI8" s="28">
        <f>EF$6*$G8</f>
        <v>112.97964150000001</v>
      </c>
      <c r="EJ8" s="28"/>
      <c r="EK8" s="13"/>
      <c r="EL8" s="13">
        <f>D8*0.12856/100</f>
        <v>80.35000000000001</v>
      </c>
      <c r="EM8" s="13">
        <f>EK8+EL8</f>
        <v>80.35000000000001</v>
      </c>
      <c r="EN8" s="28">
        <f>EL$6*$F8</f>
        <v>103.5216544</v>
      </c>
      <c r="EO8" s="28">
        <f>EL$6*$G8</f>
        <v>57.087068</v>
      </c>
      <c r="EP8" s="28"/>
      <c r="EQ8" s="13"/>
      <c r="ER8" s="13">
        <f>D8*0.03415/100</f>
        <v>21.34375</v>
      </c>
      <c r="ES8" s="13">
        <f>EQ8+ER8</f>
        <v>21.34375</v>
      </c>
      <c r="ET8" s="28">
        <f>ER$6*$F8</f>
        <v>27.498946</v>
      </c>
      <c r="EU8" s="28">
        <f>ER$6*$G8</f>
        <v>15.1643075</v>
      </c>
      <c r="EV8" s="28"/>
      <c r="EW8" s="13"/>
      <c r="EX8" s="13">
        <f>D8*1.11619/100</f>
        <v>697.61875</v>
      </c>
      <c r="EY8" s="13">
        <f>EW8+EX8</f>
        <v>697.61875</v>
      </c>
      <c r="EZ8" s="28">
        <f>EX$6*$F8</f>
        <v>898.8008356</v>
      </c>
      <c r="FA8" s="28">
        <f>EX$6*$G8</f>
        <v>495.64416950000003</v>
      </c>
      <c r="FB8" s="28"/>
      <c r="FC8" s="13"/>
      <c r="FD8" s="13">
        <f>D8*4.55599/100</f>
        <v>2847.49375</v>
      </c>
      <c r="FE8" s="13">
        <f>FC8+FD8</f>
        <v>2847.49375</v>
      </c>
      <c r="FF8" s="28">
        <f>FD$6*$F8</f>
        <v>3668.6653876</v>
      </c>
      <c r="FG8" s="28">
        <f>FD$6*$G8</f>
        <v>2023.0873595</v>
      </c>
      <c r="FH8" s="28"/>
      <c r="FI8" s="13"/>
      <c r="FJ8" s="13">
        <f>D8*0.07571/100</f>
        <v>47.31875</v>
      </c>
      <c r="FK8" s="13">
        <f>FI8+FJ8</f>
        <v>47.31875</v>
      </c>
      <c r="FL8" s="28">
        <f>FJ$6*$F8</f>
        <v>60.964720400000004</v>
      </c>
      <c r="FM8" s="28">
        <f>FJ$6*$G8</f>
        <v>33.6190255</v>
      </c>
      <c r="FN8" s="28"/>
      <c r="FO8" s="13"/>
      <c r="FP8" s="13">
        <f>D8*0.91696/100</f>
        <v>573.1</v>
      </c>
      <c r="FQ8" s="13">
        <f>FO8+FP8</f>
        <v>573.1</v>
      </c>
      <c r="FR8" s="28">
        <f>FP$6*$F8</f>
        <v>738.3728704</v>
      </c>
      <c r="FS8" s="28">
        <f>FP$6*$G8</f>
        <v>407.176088</v>
      </c>
      <c r="FT8" s="28"/>
      <c r="FU8" s="13"/>
      <c r="FV8" s="13">
        <f>D8*0.38062/100</f>
        <v>237.8875</v>
      </c>
      <c r="FW8" s="13">
        <f>FU8+FV8</f>
        <v>237.8875</v>
      </c>
      <c r="FX8" s="28">
        <f>FV$6*$F8</f>
        <v>306.4904488</v>
      </c>
      <c r="FY8" s="28">
        <f>FV$6*$G8</f>
        <v>169.014311</v>
      </c>
      <c r="FZ8" s="28"/>
    </row>
    <row r="9" spans="1:182" s="30" customFormat="1" ht="12.75">
      <c r="A9" s="29">
        <v>45017</v>
      </c>
      <c r="C9" s="14"/>
      <c r="D9" s="14">
        <v>62500</v>
      </c>
      <c r="E9" s="14">
        <f>C9+D9</f>
        <v>62500</v>
      </c>
      <c r="F9" s="14">
        <v>80524</v>
      </c>
      <c r="G9" s="14">
        <v>44405</v>
      </c>
      <c r="H9" s="28"/>
      <c r="I9" s="13">
        <f t="shared" si="0"/>
        <v>0</v>
      </c>
      <c r="J9" s="13">
        <f t="shared" si="0"/>
        <v>42487.575000000004</v>
      </c>
      <c r="K9" s="13">
        <f>SUM(I9:J9)</f>
        <v>42487.575000000004</v>
      </c>
      <c r="L9" s="13">
        <f t="shared" si="1"/>
        <v>54740.311828799975</v>
      </c>
      <c r="M9" s="13">
        <f t="shared" si="1"/>
        <v>30186.572286000006</v>
      </c>
      <c r="N9" s="28"/>
      <c r="O9" s="13">
        <f>C9*7.96069/100</f>
        <v>0</v>
      </c>
      <c r="P9" s="13">
        <f>D9*7.96069/100</f>
        <v>4975.43125</v>
      </c>
      <c r="Q9" s="28">
        <f>O9+P9</f>
        <v>4975.43125</v>
      </c>
      <c r="R9" s="28">
        <f>P$6*$F9</f>
        <v>6410.266015599999</v>
      </c>
      <c r="S9" s="28">
        <f>P$6*$G9</f>
        <v>3534.9443945</v>
      </c>
      <c r="T9" s="28"/>
      <c r="U9" s="13">
        <f>C9*8.86163/100</f>
        <v>0</v>
      </c>
      <c r="V9" s="13">
        <f>D9*8.86163/100</f>
        <v>5538.51875</v>
      </c>
      <c r="W9" s="13">
        <f>U9+V9</f>
        <v>5538.51875</v>
      </c>
      <c r="X9" s="28">
        <f>V$6*$F9</f>
        <v>7135.738941199999</v>
      </c>
      <c r="Y9" s="28">
        <f>V$6*$G9</f>
        <v>3935.0068014999997</v>
      </c>
      <c r="Z9" s="28"/>
      <c r="AA9" s="28">
        <f>C9*3.27229/100</f>
        <v>0</v>
      </c>
      <c r="AB9" s="13">
        <f>D9*3.27229/100</f>
        <v>2045.18125</v>
      </c>
      <c r="AC9" s="13">
        <f>AA9+AB9</f>
        <v>2045.18125</v>
      </c>
      <c r="AD9" s="28">
        <f>AB$6*$F9</f>
        <v>2634.9787996</v>
      </c>
      <c r="AE9" s="28">
        <f>AB$6*$G9</f>
        <v>1453.0603744999999</v>
      </c>
      <c r="AF9" s="28"/>
      <c r="AG9" s="13">
        <f>C9*2.44463/100</f>
        <v>0</v>
      </c>
      <c r="AH9" s="13">
        <f>D9*2.44463/100</f>
        <v>1527.89375</v>
      </c>
      <c r="AI9" s="13">
        <f>AG9+AH9</f>
        <v>1527.89375</v>
      </c>
      <c r="AJ9" s="28">
        <f>AH$6*$F9</f>
        <v>1968.5138612</v>
      </c>
      <c r="AK9" s="28">
        <f>AH$6*$G9</f>
        <v>1085.5379515</v>
      </c>
      <c r="AL9" s="13"/>
      <c r="AM9" s="13">
        <f>AN$6*$C9</f>
        <v>0</v>
      </c>
      <c r="AN9" s="13">
        <f>AN$6*$D9</f>
        <v>151.63125</v>
      </c>
      <c r="AO9" s="13">
        <f>SUM(AM9:AN9)</f>
        <v>151.63125</v>
      </c>
      <c r="AP9" s="28">
        <f>AN$6*$F9</f>
        <v>195.3592764</v>
      </c>
      <c r="AQ9" s="28">
        <f>AN$6*$G9</f>
        <v>107.7309705</v>
      </c>
      <c r="AR9" s="28"/>
      <c r="AS9" s="13">
        <f>C9*3.25486/100</f>
        <v>0</v>
      </c>
      <c r="AT9" s="13">
        <f>D9*3.25486/100</f>
        <v>2034.2875</v>
      </c>
      <c r="AU9" s="13">
        <f>AS9+AT9</f>
        <v>2034.2875</v>
      </c>
      <c r="AV9" s="28">
        <f>AT$6*$F9</f>
        <v>2620.9434663999996</v>
      </c>
      <c r="AW9" s="28">
        <f>AT$6*$G9</f>
        <v>1445.320583</v>
      </c>
      <c r="AX9" s="13"/>
      <c r="AY9" s="13">
        <f>C9*23.78111/100</f>
        <v>0</v>
      </c>
      <c r="AZ9" s="13">
        <f>D9*23.78111/100</f>
        <v>14863.19375</v>
      </c>
      <c r="BA9" s="13">
        <f>AY9+AZ9</f>
        <v>14863.19375</v>
      </c>
      <c r="BB9" s="28">
        <f>AZ$6*$F9</f>
        <v>19149.5010164</v>
      </c>
      <c r="BC9" s="28">
        <f>AZ$6*$G9</f>
        <v>10560.0018955</v>
      </c>
      <c r="BD9" s="28"/>
      <c r="BE9" s="13">
        <f>C9*0.0004/100</f>
        <v>0</v>
      </c>
      <c r="BF9" s="13">
        <f>D9*0.0004/100</f>
        <v>0.25</v>
      </c>
      <c r="BG9" s="13">
        <f>BE9+BF9</f>
        <v>0.25</v>
      </c>
      <c r="BH9" s="28">
        <f>BF$6*$F9</f>
        <v>0.322096</v>
      </c>
      <c r="BI9" s="28">
        <f>BF$6*$G9</f>
        <v>0.17762</v>
      </c>
      <c r="BJ9" s="28"/>
      <c r="BK9" s="13">
        <f>C9*0.13664/100</f>
        <v>0</v>
      </c>
      <c r="BL9" s="13">
        <f>D9*0.13664/100</f>
        <v>85.4</v>
      </c>
      <c r="BM9" s="13">
        <f>BK9+BL9</f>
        <v>85.4</v>
      </c>
      <c r="BN9" s="28">
        <f>BL$6*$F9</f>
        <v>110.0279936</v>
      </c>
      <c r="BO9" s="28">
        <f>BL$6*$G9</f>
        <v>60.674992</v>
      </c>
      <c r="BP9" s="28"/>
      <c r="BQ9" s="13">
        <f>C9*0.87875/100</f>
        <v>0</v>
      </c>
      <c r="BR9" s="13">
        <f>D9*0.87875/100</f>
        <v>549.21875</v>
      </c>
      <c r="BS9" s="13">
        <f>BQ9+BR9</f>
        <v>549.21875</v>
      </c>
      <c r="BT9" s="28">
        <f>BR$6*$F9</f>
        <v>707.60465</v>
      </c>
      <c r="BU9" s="28">
        <f>BR$6*$G9</f>
        <v>390.2089375</v>
      </c>
      <c r="BV9" s="28"/>
      <c r="BW9" s="13">
        <f>C9*0.56757/100</f>
        <v>0</v>
      </c>
      <c r="BX9" s="13">
        <f>D9*0.56757/100</f>
        <v>354.73125</v>
      </c>
      <c r="BY9" s="13">
        <f>BW9+BX9</f>
        <v>354.73125</v>
      </c>
      <c r="BZ9" s="28">
        <f>BX$6*$F9</f>
        <v>457.0300668</v>
      </c>
      <c r="CA9" s="28">
        <f>BX$6*$G9</f>
        <v>252.02945849999998</v>
      </c>
      <c r="CB9" s="13"/>
      <c r="CC9" s="13">
        <f>C9*2.18514/100</f>
        <v>0</v>
      </c>
      <c r="CD9" s="13">
        <f>D9*2.18514/100</f>
        <v>1365.7125</v>
      </c>
      <c r="CE9" s="13">
        <f>CC9+CD9</f>
        <v>1365.7125</v>
      </c>
      <c r="CF9" s="28">
        <f>CD$6*$F9</f>
        <v>1759.5621336</v>
      </c>
      <c r="CG9" s="28">
        <f>CD$6*$G9</f>
        <v>970.311417</v>
      </c>
      <c r="CH9" s="28"/>
      <c r="CI9" s="13">
        <f>C9*0.13916/100</f>
        <v>0</v>
      </c>
      <c r="CJ9" s="13">
        <f>D9*0.13916/100</f>
        <v>86.975</v>
      </c>
      <c r="CK9" s="13">
        <f>CI9+CJ9</f>
        <v>86.975</v>
      </c>
      <c r="CL9" s="28">
        <f>CJ$6*$F9</f>
        <v>112.0571984</v>
      </c>
      <c r="CM9" s="28">
        <f>CJ$6*$G9</f>
        <v>61.793998</v>
      </c>
      <c r="CN9" s="28"/>
      <c r="CO9" s="13">
        <f>C9*0.37665/100</f>
        <v>0</v>
      </c>
      <c r="CP9" s="13">
        <f>D9*0.37665/100</f>
        <v>235.40625</v>
      </c>
      <c r="CQ9" s="13">
        <f>CO9+CP9</f>
        <v>235.40625</v>
      </c>
      <c r="CR9" s="28">
        <f>CP$6*$F9</f>
        <v>303.29364599999997</v>
      </c>
      <c r="CS9" s="28">
        <f>CP$6*$G9</f>
        <v>167.2514325</v>
      </c>
      <c r="CT9" s="28"/>
      <c r="CU9" s="13">
        <f>C9*1.58627/100</f>
        <v>0</v>
      </c>
      <c r="CV9" s="13">
        <f>D9*1.58627/100</f>
        <v>991.41875</v>
      </c>
      <c r="CW9" s="13">
        <f>CU9+CV9</f>
        <v>991.41875</v>
      </c>
      <c r="CX9" s="28">
        <f>CV$6*$F9</f>
        <v>1277.3280548</v>
      </c>
      <c r="CY9" s="28">
        <f>CV$6*$G9</f>
        <v>704.3831935000001</v>
      </c>
      <c r="CZ9" s="28"/>
      <c r="DA9" s="13">
        <f>C9*0.07178/100</f>
        <v>0</v>
      </c>
      <c r="DB9" s="13">
        <f>D9*0.07178/100</f>
        <v>44.8625</v>
      </c>
      <c r="DC9" s="13">
        <f>DA9+DB9</f>
        <v>44.8625</v>
      </c>
      <c r="DD9" s="28">
        <f>DB$6*$F9</f>
        <v>57.8001272</v>
      </c>
      <c r="DE9" s="28">
        <f>DB$6*$G9</f>
        <v>31.873909</v>
      </c>
      <c r="DF9" s="28"/>
      <c r="DG9" s="13">
        <f>C9*1.01431/100</f>
        <v>0</v>
      </c>
      <c r="DH9" s="13">
        <f>D9*1.01431/100</f>
        <v>633.94375</v>
      </c>
      <c r="DI9" s="13">
        <f>DG9+DH9</f>
        <v>633.94375</v>
      </c>
      <c r="DJ9" s="28">
        <f>DH$6*$F9</f>
        <v>816.7629844</v>
      </c>
      <c r="DK9" s="28">
        <f>DH$6*$G9</f>
        <v>450.4043555</v>
      </c>
      <c r="DL9" s="28"/>
      <c r="DM9" s="13">
        <f>C9*0.48536/100</f>
        <v>0</v>
      </c>
      <c r="DN9" s="28">
        <f>D9*0.48536/100</f>
        <v>303.35</v>
      </c>
      <c r="DO9" s="13">
        <f>DM9+DN9</f>
        <v>303.35</v>
      </c>
      <c r="DP9" s="28">
        <f>DN$6*$F9</f>
        <v>390.83128639999995</v>
      </c>
      <c r="DQ9" s="28">
        <f>DN$6*$G9</f>
        <v>215.52410799999998</v>
      </c>
      <c r="DR9" s="28"/>
      <c r="DS9" s="13">
        <f>C9*0.80603/100</f>
        <v>0</v>
      </c>
      <c r="DT9" s="13">
        <f>D9*0.80603/100</f>
        <v>503.76875</v>
      </c>
      <c r="DU9" s="13">
        <f>DS9+DT9</f>
        <v>503.76875</v>
      </c>
      <c r="DV9" s="28">
        <f>DT$6*$F9</f>
        <v>649.0475971999999</v>
      </c>
      <c r="DW9" s="28">
        <f>DT$6*$G9</f>
        <v>357.9176215</v>
      </c>
      <c r="DX9" s="28"/>
      <c r="DY9" s="13">
        <f>C9*2.45163/100</f>
        <v>0</v>
      </c>
      <c r="DZ9" s="13">
        <f>D9*2.45163/100</f>
        <v>1532.26875</v>
      </c>
      <c r="EA9" s="13">
        <f>DY9+DZ9</f>
        <v>1532.26875</v>
      </c>
      <c r="EB9" s="28">
        <f>DZ$6*$F9</f>
        <v>1974.1505412000001</v>
      </c>
      <c r="EC9" s="28">
        <f>DZ$6*$G9</f>
        <v>1088.6463015000002</v>
      </c>
      <c r="ED9" s="28"/>
      <c r="EE9" s="13">
        <f>C9*0.25443/100</f>
        <v>0</v>
      </c>
      <c r="EF9" s="13">
        <f>D9*0.25443/100</f>
        <v>159.01875</v>
      </c>
      <c r="EG9" s="13">
        <f>EE9+EF9</f>
        <v>159.01875</v>
      </c>
      <c r="EH9" s="28">
        <f>EF$6*$F9</f>
        <v>204.87721320000003</v>
      </c>
      <c r="EI9" s="28">
        <f>EF$6*$G9</f>
        <v>112.97964150000001</v>
      </c>
      <c r="EJ9" s="28"/>
      <c r="EK9" s="13">
        <f>C9*0.12856/100</f>
        <v>0</v>
      </c>
      <c r="EL9" s="13">
        <f>D9*0.12856/100</f>
        <v>80.35000000000001</v>
      </c>
      <c r="EM9" s="13">
        <f>EK9+EL9</f>
        <v>80.35000000000001</v>
      </c>
      <c r="EN9" s="28">
        <f>EL$6*$F9</f>
        <v>103.5216544</v>
      </c>
      <c r="EO9" s="28">
        <f>EL$6*$G9</f>
        <v>57.087068</v>
      </c>
      <c r="EP9" s="28"/>
      <c r="EQ9" s="13">
        <f>C9*0.03415/100</f>
        <v>0</v>
      </c>
      <c r="ER9" s="13">
        <f>D9*0.03415/100</f>
        <v>21.34375</v>
      </c>
      <c r="ES9" s="13">
        <f>EQ9+ER9</f>
        <v>21.34375</v>
      </c>
      <c r="ET9" s="28">
        <f>ER$6*$F9</f>
        <v>27.498946</v>
      </c>
      <c r="EU9" s="28">
        <f>ER$6*$G9</f>
        <v>15.1643075</v>
      </c>
      <c r="EV9" s="28"/>
      <c r="EW9" s="13">
        <f>C9*1.11619/100</f>
        <v>0</v>
      </c>
      <c r="EX9" s="13">
        <f>D9*1.11619/100</f>
        <v>697.61875</v>
      </c>
      <c r="EY9" s="13">
        <f>EW9+EX9</f>
        <v>697.61875</v>
      </c>
      <c r="EZ9" s="28">
        <f>EX$6*$F9</f>
        <v>898.8008356</v>
      </c>
      <c r="FA9" s="28">
        <f>EX$6*$G9</f>
        <v>495.64416950000003</v>
      </c>
      <c r="FB9" s="28"/>
      <c r="FC9" s="13">
        <f>C9*4.55599/100</f>
        <v>0</v>
      </c>
      <c r="FD9" s="13">
        <f>D9*4.55599/100</f>
        <v>2847.49375</v>
      </c>
      <c r="FE9" s="13">
        <f>FC9+FD9</f>
        <v>2847.49375</v>
      </c>
      <c r="FF9" s="28">
        <f>FD$6*$F9</f>
        <v>3668.6653876</v>
      </c>
      <c r="FG9" s="28">
        <f>FD$6*$G9</f>
        <v>2023.0873595</v>
      </c>
      <c r="FH9" s="28"/>
      <c r="FI9" s="13">
        <f>C9*0.07571/100</f>
        <v>0</v>
      </c>
      <c r="FJ9" s="13">
        <f>D9*0.07571/100</f>
        <v>47.31875</v>
      </c>
      <c r="FK9" s="13">
        <f>FI9+FJ9</f>
        <v>47.31875</v>
      </c>
      <c r="FL9" s="28">
        <f>FJ$6*$F9</f>
        <v>60.964720400000004</v>
      </c>
      <c r="FM9" s="28">
        <f>FJ$6*$G9</f>
        <v>33.6190255</v>
      </c>
      <c r="FN9" s="28"/>
      <c r="FO9" s="13">
        <f>C9*0.91696/100</f>
        <v>0</v>
      </c>
      <c r="FP9" s="13">
        <f>D9*0.91696/100</f>
        <v>573.1</v>
      </c>
      <c r="FQ9" s="13">
        <f>FO9+FP9</f>
        <v>573.1</v>
      </c>
      <c r="FR9" s="28">
        <f>FP$6*$F9</f>
        <v>738.3728704</v>
      </c>
      <c r="FS9" s="28">
        <f>FP$6*$G9</f>
        <v>407.176088</v>
      </c>
      <c r="FT9" s="28"/>
      <c r="FU9" s="13">
        <f>C9*0.38062/100</f>
        <v>0</v>
      </c>
      <c r="FV9" s="13">
        <f>D9*0.38062/100</f>
        <v>237.8875</v>
      </c>
      <c r="FW9" s="13">
        <f>FU9+FV9</f>
        <v>237.8875</v>
      </c>
      <c r="FX9" s="28">
        <f>FV$6*$F9</f>
        <v>306.4904488</v>
      </c>
      <c r="FY9" s="28">
        <f>FV$6*$G9</f>
        <v>169.014311</v>
      </c>
      <c r="FZ9" s="28"/>
    </row>
    <row r="10" spans="1:182" s="30" customFormat="1" ht="12.75">
      <c r="A10" s="29">
        <v>45200</v>
      </c>
      <c r="C10" s="14"/>
      <c r="D10" s="14">
        <v>62500</v>
      </c>
      <c r="E10" s="14">
        <f>C10+D10</f>
        <v>62500</v>
      </c>
      <c r="F10" s="14">
        <v>80524</v>
      </c>
      <c r="G10" s="14">
        <v>44405</v>
      </c>
      <c r="H10" s="28"/>
      <c r="I10" s="13">
        <f t="shared" si="0"/>
        <v>0</v>
      </c>
      <c r="J10" s="13">
        <f t="shared" si="0"/>
        <v>42487.575000000004</v>
      </c>
      <c r="K10" s="13">
        <f>SUM(I10:J10)</f>
        <v>42487.575000000004</v>
      </c>
      <c r="L10" s="13">
        <f t="shared" si="1"/>
        <v>54740.311828799975</v>
      </c>
      <c r="M10" s="13">
        <f t="shared" si="1"/>
        <v>30186.572286000006</v>
      </c>
      <c r="N10" s="28"/>
      <c r="O10" s="13"/>
      <c r="P10" s="13">
        <f>D10*7.96069/100</f>
        <v>4975.43125</v>
      </c>
      <c r="Q10" s="28">
        <f>O10+P10</f>
        <v>4975.43125</v>
      </c>
      <c r="R10" s="28">
        <f>P$6*$F10</f>
        <v>6410.266015599999</v>
      </c>
      <c r="S10" s="28">
        <f>P$6*$G10</f>
        <v>3534.9443945</v>
      </c>
      <c r="T10" s="28"/>
      <c r="U10" s="13"/>
      <c r="V10" s="13">
        <f>D10*8.86163/100</f>
        <v>5538.51875</v>
      </c>
      <c r="W10" s="13">
        <f>U10+V10</f>
        <v>5538.51875</v>
      </c>
      <c r="X10" s="28">
        <f>V$6*$F10</f>
        <v>7135.738941199999</v>
      </c>
      <c r="Y10" s="28">
        <f>V$6*$G10</f>
        <v>3935.0068014999997</v>
      </c>
      <c r="Z10" s="28"/>
      <c r="AA10" s="28"/>
      <c r="AB10" s="13">
        <f>D10*3.27229/100</f>
        <v>2045.18125</v>
      </c>
      <c r="AC10" s="13">
        <f>AA10+AB10</f>
        <v>2045.18125</v>
      </c>
      <c r="AD10" s="28">
        <f>AB$6*$F10</f>
        <v>2634.9787996</v>
      </c>
      <c r="AE10" s="28">
        <f>AB$6*$G10</f>
        <v>1453.0603744999999</v>
      </c>
      <c r="AF10" s="28"/>
      <c r="AG10" s="13"/>
      <c r="AH10" s="13">
        <f>D10*2.44463/100</f>
        <v>1527.89375</v>
      </c>
      <c r="AI10" s="13">
        <f>AG10+AH10</f>
        <v>1527.89375</v>
      </c>
      <c r="AJ10" s="28">
        <f>AH$6*$F10</f>
        <v>1968.5138612</v>
      </c>
      <c r="AK10" s="28">
        <f>AH$6*$G10</f>
        <v>1085.5379515</v>
      </c>
      <c r="AL10" s="13"/>
      <c r="AM10" s="13"/>
      <c r="AN10" s="13">
        <f>AN$6*$D10</f>
        <v>151.63125</v>
      </c>
      <c r="AO10" s="13">
        <f>SUM(AM10:AN10)</f>
        <v>151.63125</v>
      </c>
      <c r="AP10" s="28">
        <f>AN$6*$F10</f>
        <v>195.3592764</v>
      </c>
      <c r="AQ10" s="28">
        <f>AN$6*$G10</f>
        <v>107.7309705</v>
      </c>
      <c r="AR10" s="28"/>
      <c r="AS10" s="13"/>
      <c r="AT10" s="13">
        <f>D10*3.25486/100</f>
        <v>2034.2875</v>
      </c>
      <c r="AU10" s="13">
        <f>AS10+AT10</f>
        <v>2034.2875</v>
      </c>
      <c r="AV10" s="28">
        <f>AT$6*$F10</f>
        <v>2620.9434663999996</v>
      </c>
      <c r="AW10" s="28">
        <f>AT$6*$G10</f>
        <v>1445.320583</v>
      </c>
      <c r="AX10" s="13"/>
      <c r="AY10" s="13"/>
      <c r="AZ10" s="13">
        <f>D10*23.78111/100</f>
        <v>14863.19375</v>
      </c>
      <c r="BA10" s="13">
        <f>AY10+AZ10</f>
        <v>14863.19375</v>
      </c>
      <c r="BB10" s="28">
        <f>AZ$6*$F10</f>
        <v>19149.5010164</v>
      </c>
      <c r="BC10" s="28">
        <f>AZ$6*$G10</f>
        <v>10560.0018955</v>
      </c>
      <c r="BD10" s="28"/>
      <c r="BE10" s="13"/>
      <c r="BF10" s="13">
        <f>D10*0.0004/100</f>
        <v>0.25</v>
      </c>
      <c r="BG10" s="13">
        <f>BE10+BF10</f>
        <v>0.25</v>
      </c>
      <c r="BH10" s="28">
        <f>BF$6*$F10</f>
        <v>0.322096</v>
      </c>
      <c r="BI10" s="28">
        <f>BF$6*$G10</f>
        <v>0.17762</v>
      </c>
      <c r="BJ10" s="28"/>
      <c r="BK10" s="13"/>
      <c r="BL10" s="13">
        <f>D10*0.13664/100</f>
        <v>85.4</v>
      </c>
      <c r="BM10" s="13">
        <f>BK10+BL10</f>
        <v>85.4</v>
      </c>
      <c r="BN10" s="28">
        <f>BL$6*$F10</f>
        <v>110.0279936</v>
      </c>
      <c r="BO10" s="28">
        <f>BL$6*$G10</f>
        <v>60.674992</v>
      </c>
      <c r="BP10" s="28"/>
      <c r="BQ10" s="13"/>
      <c r="BR10" s="13">
        <f>D10*0.87875/100</f>
        <v>549.21875</v>
      </c>
      <c r="BS10" s="13">
        <f>BQ10+BR10</f>
        <v>549.21875</v>
      </c>
      <c r="BT10" s="28">
        <f>BR$6*$F10</f>
        <v>707.60465</v>
      </c>
      <c r="BU10" s="28">
        <f>BR$6*$G10</f>
        <v>390.2089375</v>
      </c>
      <c r="BV10" s="28"/>
      <c r="BW10" s="13"/>
      <c r="BX10" s="13">
        <f>D10*0.56757/100</f>
        <v>354.73125</v>
      </c>
      <c r="BY10" s="13">
        <f>BW10+BX10</f>
        <v>354.73125</v>
      </c>
      <c r="BZ10" s="28">
        <f>BX$6*$F10</f>
        <v>457.0300668</v>
      </c>
      <c r="CA10" s="28">
        <f>BX$6*$G10</f>
        <v>252.02945849999998</v>
      </c>
      <c r="CB10" s="13"/>
      <c r="CC10" s="13"/>
      <c r="CD10" s="13">
        <f>D10*2.18514/100</f>
        <v>1365.7125</v>
      </c>
      <c r="CE10" s="13">
        <f>CC10+CD10</f>
        <v>1365.7125</v>
      </c>
      <c r="CF10" s="28">
        <f>CD$6*$F10</f>
        <v>1759.5621336</v>
      </c>
      <c r="CG10" s="28">
        <f>CD$6*$G10</f>
        <v>970.311417</v>
      </c>
      <c r="CH10" s="28"/>
      <c r="CI10" s="13"/>
      <c r="CJ10" s="13">
        <f>D10*0.13916/100</f>
        <v>86.975</v>
      </c>
      <c r="CK10" s="13">
        <f>CI10+CJ10</f>
        <v>86.975</v>
      </c>
      <c r="CL10" s="28">
        <f>CJ$6*$F10</f>
        <v>112.0571984</v>
      </c>
      <c r="CM10" s="28">
        <f>CJ$6*$G10</f>
        <v>61.793998</v>
      </c>
      <c r="CN10" s="28"/>
      <c r="CO10" s="13"/>
      <c r="CP10" s="13">
        <f>D10*0.37665/100</f>
        <v>235.40625</v>
      </c>
      <c r="CQ10" s="13">
        <f>CO10+CP10</f>
        <v>235.40625</v>
      </c>
      <c r="CR10" s="28">
        <f>CP$6*$F10</f>
        <v>303.29364599999997</v>
      </c>
      <c r="CS10" s="28">
        <f>CP$6*$G10</f>
        <v>167.2514325</v>
      </c>
      <c r="CT10" s="28"/>
      <c r="CU10" s="13"/>
      <c r="CV10" s="13">
        <f>D10*1.58627/100</f>
        <v>991.41875</v>
      </c>
      <c r="CW10" s="13">
        <f>CU10+CV10</f>
        <v>991.41875</v>
      </c>
      <c r="CX10" s="28">
        <f>CV$6*$F10</f>
        <v>1277.3280548</v>
      </c>
      <c r="CY10" s="28">
        <f>CV$6*$G10</f>
        <v>704.3831935000001</v>
      </c>
      <c r="CZ10" s="28"/>
      <c r="DA10" s="13"/>
      <c r="DB10" s="13">
        <f>D10*0.07178/100</f>
        <v>44.8625</v>
      </c>
      <c r="DC10" s="13">
        <f>DA10+DB10</f>
        <v>44.8625</v>
      </c>
      <c r="DD10" s="28">
        <f>DB$6*$F10</f>
        <v>57.8001272</v>
      </c>
      <c r="DE10" s="28">
        <f>DB$6*$G10</f>
        <v>31.873909</v>
      </c>
      <c r="DF10" s="28"/>
      <c r="DG10" s="13"/>
      <c r="DH10" s="13">
        <f>D10*1.01431/100</f>
        <v>633.94375</v>
      </c>
      <c r="DI10" s="13">
        <f>DG10+DH10</f>
        <v>633.94375</v>
      </c>
      <c r="DJ10" s="28">
        <f>DH$6*$F10</f>
        <v>816.7629844</v>
      </c>
      <c r="DK10" s="28">
        <f>DH$6*$G10</f>
        <v>450.4043555</v>
      </c>
      <c r="DL10" s="28"/>
      <c r="DM10" s="13"/>
      <c r="DN10" s="28">
        <f>D10*0.48536/100</f>
        <v>303.35</v>
      </c>
      <c r="DO10" s="13">
        <f>DM10+DN10</f>
        <v>303.35</v>
      </c>
      <c r="DP10" s="28">
        <f>DN$6*$F10</f>
        <v>390.83128639999995</v>
      </c>
      <c r="DQ10" s="28">
        <f>DN$6*$G10</f>
        <v>215.52410799999998</v>
      </c>
      <c r="DR10" s="28"/>
      <c r="DS10" s="13"/>
      <c r="DT10" s="13">
        <f>D10*0.80603/100</f>
        <v>503.76875</v>
      </c>
      <c r="DU10" s="13">
        <f>DS10+DT10</f>
        <v>503.76875</v>
      </c>
      <c r="DV10" s="28">
        <f>DT$6*$F10</f>
        <v>649.0475971999999</v>
      </c>
      <c r="DW10" s="28">
        <f>DT$6*$G10</f>
        <v>357.9176215</v>
      </c>
      <c r="DX10" s="28"/>
      <c r="DY10" s="13"/>
      <c r="DZ10" s="13">
        <f>D10*2.45163/100</f>
        <v>1532.26875</v>
      </c>
      <c r="EA10" s="13">
        <f>DY10+DZ10</f>
        <v>1532.26875</v>
      </c>
      <c r="EB10" s="28">
        <f>DZ$6*$F10</f>
        <v>1974.1505412000001</v>
      </c>
      <c r="EC10" s="28">
        <f>DZ$6*$G10</f>
        <v>1088.6463015000002</v>
      </c>
      <c r="ED10" s="28"/>
      <c r="EE10" s="13"/>
      <c r="EF10" s="13">
        <f>D10*0.25443/100</f>
        <v>159.01875</v>
      </c>
      <c r="EG10" s="13">
        <f>EE10+EF10</f>
        <v>159.01875</v>
      </c>
      <c r="EH10" s="28">
        <f>EF$6*$F10</f>
        <v>204.87721320000003</v>
      </c>
      <c r="EI10" s="28">
        <f>EF$6*$G10</f>
        <v>112.97964150000001</v>
      </c>
      <c r="EJ10" s="28"/>
      <c r="EK10" s="13"/>
      <c r="EL10" s="13">
        <f>D10*0.12856/100</f>
        <v>80.35000000000001</v>
      </c>
      <c r="EM10" s="13">
        <f>EK10+EL10</f>
        <v>80.35000000000001</v>
      </c>
      <c r="EN10" s="28">
        <f>EL$6*$F10</f>
        <v>103.5216544</v>
      </c>
      <c r="EO10" s="28">
        <f>EL$6*$G10</f>
        <v>57.087068</v>
      </c>
      <c r="EP10" s="28"/>
      <c r="EQ10" s="13"/>
      <c r="ER10" s="13">
        <f>D10*0.03415/100</f>
        <v>21.34375</v>
      </c>
      <c r="ES10" s="13">
        <f>EQ10+ER10</f>
        <v>21.34375</v>
      </c>
      <c r="ET10" s="28">
        <f>ER$6*$F10</f>
        <v>27.498946</v>
      </c>
      <c r="EU10" s="28">
        <f>ER$6*$G10</f>
        <v>15.1643075</v>
      </c>
      <c r="EV10" s="28"/>
      <c r="EW10" s="13"/>
      <c r="EX10" s="13">
        <f>D10*1.11619/100</f>
        <v>697.61875</v>
      </c>
      <c r="EY10" s="13">
        <f>EW10+EX10</f>
        <v>697.61875</v>
      </c>
      <c r="EZ10" s="28">
        <f>EX$6*$F10</f>
        <v>898.8008356</v>
      </c>
      <c r="FA10" s="28">
        <f>EX$6*$G10</f>
        <v>495.64416950000003</v>
      </c>
      <c r="FB10" s="28"/>
      <c r="FC10" s="13"/>
      <c r="FD10" s="13">
        <f>D10*4.55599/100</f>
        <v>2847.49375</v>
      </c>
      <c r="FE10" s="13">
        <f>FC10+FD10</f>
        <v>2847.49375</v>
      </c>
      <c r="FF10" s="28">
        <f>FD$6*$F10</f>
        <v>3668.6653876</v>
      </c>
      <c r="FG10" s="28">
        <f>FD$6*$G10</f>
        <v>2023.0873595</v>
      </c>
      <c r="FH10" s="28"/>
      <c r="FI10" s="13"/>
      <c r="FJ10" s="13">
        <f>D10*0.07571/100</f>
        <v>47.31875</v>
      </c>
      <c r="FK10" s="13">
        <f>FI10+FJ10</f>
        <v>47.31875</v>
      </c>
      <c r="FL10" s="28">
        <f>FJ$6*$F10</f>
        <v>60.964720400000004</v>
      </c>
      <c r="FM10" s="28">
        <f>FJ$6*$G10</f>
        <v>33.6190255</v>
      </c>
      <c r="FN10" s="28"/>
      <c r="FO10" s="13"/>
      <c r="FP10" s="13">
        <f>D10*0.91696/100</f>
        <v>573.1</v>
      </c>
      <c r="FQ10" s="13">
        <f>FO10+FP10</f>
        <v>573.1</v>
      </c>
      <c r="FR10" s="28">
        <f>FP$6*$F10</f>
        <v>738.3728704</v>
      </c>
      <c r="FS10" s="28">
        <f>FP$6*$G10</f>
        <v>407.176088</v>
      </c>
      <c r="FT10" s="28"/>
      <c r="FU10" s="13"/>
      <c r="FV10" s="13">
        <f>D10*0.38062/100</f>
        <v>237.8875</v>
      </c>
      <c r="FW10" s="13">
        <f>FU10+FV10</f>
        <v>237.8875</v>
      </c>
      <c r="FX10" s="28">
        <f>FV$6*$F10</f>
        <v>306.4904488</v>
      </c>
      <c r="FY10" s="28">
        <f>FV$6*$G10</f>
        <v>169.014311</v>
      </c>
      <c r="FZ10" s="28"/>
    </row>
    <row r="11" spans="1:182" s="30" customFormat="1" ht="12.75">
      <c r="A11" s="29">
        <v>45383</v>
      </c>
      <c r="C11" s="14">
        <v>2500000</v>
      </c>
      <c r="D11" s="14">
        <v>62500</v>
      </c>
      <c r="E11" s="14">
        <f>C11+D11</f>
        <v>2562500</v>
      </c>
      <c r="F11" s="14">
        <v>80524</v>
      </c>
      <c r="G11" s="14">
        <v>44405</v>
      </c>
      <c r="H11" s="28"/>
      <c r="I11" s="13">
        <f t="shared" si="0"/>
        <v>1699503</v>
      </c>
      <c r="J11" s="13">
        <f t="shared" si="0"/>
        <v>42487.575000000004</v>
      </c>
      <c r="K11" s="13">
        <f>SUM(I11:J11)</f>
        <v>1741990.575</v>
      </c>
      <c r="L11" s="13">
        <f t="shared" si="1"/>
        <v>54740.311828799975</v>
      </c>
      <c r="M11" s="13">
        <f t="shared" si="1"/>
        <v>30186.572286000006</v>
      </c>
      <c r="N11" s="28"/>
      <c r="O11" s="13">
        <f>C11*7.96069/100</f>
        <v>199017.25</v>
      </c>
      <c r="P11" s="13">
        <f>D11*7.96069/100</f>
        <v>4975.43125</v>
      </c>
      <c r="Q11" s="28">
        <f>O11+P11</f>
        <v>203992.68125</v>
      </c>
      <c r="R11" s="28">
        <f>P$6*$F11</f>
        <v>6410.266015599999</v>
      </c>
      <c r="S11" s="28">
        <f>P$6*$G11</f>
        <v>3534.9443945</v>
      </c>
      <c r="T11" s="28"/>
      <c r="U11" s="13">
        <f>C11*8.86163/100</f>
        <v>221540.75</v>
      </c>
      <c r="V11" s="13">
        <f>D11*8.86163/100</f>
        <v>5538.51875</v>
      </c>
      <c r="W11" s="13">
        <f>U11+V11</f>
        <v>227079.26875</v>
      </c>
      <c r="X11" s="28">
        <f>V$6*$F11</f>
        <v>7135.738941199999</v>
      </c>
      <c r="Y11" s="28">
        <f>V$6*$G11</f>
        <v>3935.0068014999997</v>
      </c>
      <c r="Z11" s="28"/>
      <c r="AA11" s="28">
        <f>C11*3.27229/100</f>
        <v>81807.25</v>
      </c>
      <c r="AB11" s="13">
        <f>D11*3.27229/100</f>
        <v>2045.18125</v>
      </c>
      <c r="AC11" s="13">
        <f>AA11+AB11</f>
        <v>83852.43125</v>
      </c>
      <c r="AD11" s="28">
        <f>AB$6*$F11</f>
        <v>2634.9787996</v>
      </c>
      <c r="AE11" s="28">
        <f>AB$6*$G11</f>
        <v>1453.0603744999999</v>
      </c>
      <c r="AF11" s="28"/>
      <c r="AG11" s="13">
        <f>C11*2.44463/100</f>
        <v>61115.75</v>
      </c>
      <c r="AH11" s="13">
        <f>D11*2.44463/100</f>
        <v>1527.89375</v>
      </c>
      <c r="AI11" s="13">
        <f>AG11+AH11</f>
        <v>62643.64375</v>
      </c>
      <c r="AJ11" s="28">
        <f>AH$6*$F11</f>
        <v>1968.5138612</v>
      </c>
      <c r="AK11" s="28">
        <f>AH$6*$G11</f>
        <v>1085.5379515</v>
      </c>
      <c r="AL11" s="13"/>
      <c r="AM11" s="13">
        <f>AN$6*$C11</f>
        <v>6065.25</v>
      </c>
      <c r="AN11" s="13">
        <f>AN$6*$D11</f>
        <v>151.63125</v>
      </c>
      <c r="AO11" s="13">
        <f>SUM(AM11:AN11)</f>
        <v>6216.88125</v>
      </c>
      <c r="AP11" s="28">
        <f>AN$6*$F11</f>
        <v>195.3592764</v>
      </c>
      <c r="AQ11" s="28">
        <f>AN$6*$G11</f>
        <v>107.7309705</v>
      </c>
      <c r="AR11" s="28"/>
      <c r="AS11" s="13">
        <f>C11*3.25486/100</f>
        <v>81371.5</v>
      </c>
      <c r="AT11" s="13">
        <f>D11*3.25486/100</f>
        <v>2034.2875</v>
      </c>
      <c r="AU11" s="13">
        <f>AS11+AT11</f>
        <v>83405.7875</v>
      </c>
      <c r="AV11" s="28">
        <f>AT$6*$F11</f>
        <v>2620.9434663999996</v>
      </c>
      <c r="AW11" s="28">
        <f>AT$6*$G11</f>
        <v>1445.320583</v>
      </c>
      <c r="AX11" s="13"/>
      <c r="AY11" s="13">
        <f>C11*23.78111/100</f>
        <v>594527.7500000001</v>
      </c>
      <c r="AZ11" s="13">
        <f>D11*23.78111/100</f>
        <v>14863.19375</v>
      </c>
      <c r="BA11" s="13">
        <f>AY11+AZ11</f>
        <v>609390.9437500001</v>
      </c>
      <c r="BB11" s="28">
        <f>AZ$6*$F11</f>
        <v>19149.5010164</v>
      </c>
      <c r="BC11" s="28">
        <f>AZ$6*$G11</f>
        <v>10560.0018955</v>
      </c>
      <c r="BD11" s="28"/>
      <c r="BE11" s="13">
        <f>C11*0.0004/100</f>
        <v>10</v>
      </c>
      <c r="BF11" s="13">
        <f>D11*0.0004/100</f>
        <v>0.25</v>
      </c>
      <c r="BG11" s="13">
        <f>BE11+BF11</f>
        <v>10.25</v>
      </c>
      <c r="BH11" s="28">
        <f>BF$6*$F11</f>
        <v>0.322096</v>
      </c>
      <c r="BI11" s="28">
        <f>BF$6*$G11</f>
        <v>0.17762</v>
      </c>
      <c r="BJ11" s="28"/>
      <c r="BK11" s="13">
        <f>C11*0.13664/100</f>
        <v>3416</v>
      </c>
      <c r="BL11" s="13">
        <f>D11*0.13664/100</f>
        <v>85.4</v>
      </c>
      <c r="BM11" s="13">
        <f>BK11+BL11</f>
        <v>3501.4</v>
      </c>
      <c r="BN11" s="28">
        <f>BL$6*$F11</f>
        <v>110.0279936</v>
      </c>
      <c r="BO11" s="28">
        <f>BL$6*$G11</f>
        <v>60.674992</v>
      </c>
      <c r="BP11" s="28"/>
      <c r="BQ11" s="13">
        <f>C11*0.87875/100</f>
        <v>21968.75</v>
      </c>
      <c r="BR11" s="13">
        <f>D11*0.87875/100</f>
        <v>549.21875</v>
      </c>
      <c r="BS11" s="13">
        <f>BQ11+BR11</f>
        <v>22517.96875</v>
      </c>
      <c r="BT11" s="28">
        <f>BR$6*$F11</f>
        <v>707.60465</v>
      </c>
      <c r="BU11" s="28">
        <f>BR$6*$G11</f>
        <v>390.2089375</v>
      </c>
      <c r="BV11" s="28"/>
      <c r="BW11" s="13">
        <f>C11*0.56757/100</f>
        <v>14189.25</v>
      </c>
      <c r="BX11" s="13">
        <f>D11*0.56757/100</f>
        <v>354.73125</v>
      </c>
      <c r="BY11" s="13">
        <f>BW11+BX11</f>
        <v>14543.98125</v>
      </c>
      <c r="BZ11" s="28">
        <f>BX$6*$F11</f>
        <v>457.0300668</v>
      </c>
      <c r="CA11" s="28">
        <f>BX$6*$G11</f>
        <v>252.02945849999998</v>
      </c>
      <c r="CB11" s="13"/>
      <c r="CC11" s="13">
        <f>C11*2.18514/100</f>
        <v>54628.5</v>
      </c>
      <c r="CD11" s="13">
        <f>D11*2.18514/100</f>
        <v>1365.7125</v>
      </c>
      <c r="CE11" s="13">
        <f>CC11+CD11</f>
        <v>55994.2125</v>
      </c>
      <c r="CF11" s="28">
        <f>CD$6*$F11</f>
        <v>1759.5621336</v>
      </c>
      <c r="CG11" s="28">
        <f>CD$6*$G11</f>
        <v>970.311417</v>
      </c>
      <c r="CH11" s="28"/>
      <c r="CI11" s="13">
        <f>C11*0.13916/100</f>
        <v>3479</v>
      </c>
      <c r="CJ11" s="13">
        <f>D11*0.13916/100</f>
        <v>86.975</v>
      </c>
      <c r="CK11" s="13">
        <f>CI11+CJ11</f>
        <v>3565.975</v>
      </c>
      <c r="CL11" s="28">
        <f>CJ$6*$F11</f>
        <v>112.0571984</v>
      </c>
      <c r="CM11" s="28">
        <f>CJ$6*$G11</f>
        <v>61.793998</v>
      </c>
      <c r="CN11" s="28"/>
      <c r="CO11" s="13">
        <f>C11*0.37665/100</f>
        <v>9416.25</v>
      </c>
      <c r="CP11" s="13">
        <f>D11*0.37665/100</f>
        <v>235.40625</v>
      </c>
      <c r="CQ11" s="13">
        <f>CO11+CP11</f>
        <v>9651.65625</v>
      </c>
      <c r="CR11" s="28">
        <f>CP$6*$F11</f>
        <v>303.29364599999997</v>
      </c>
      <c r="CS11" s="28">
        <f>CP$6*$G11</f>
        <v>167.2514325</v>
      </c>
      <c r="CT11" s="28"/>
      <c r="CU11" s="13">
        <f>C11*1.58627/100</f>
        <v>39656.75</v>
      </c>
      <c r="CV11" s="13">
        <f>D11*1.58627/100</f>
        <v>991.41875</v>
      </c>
      <c r="CW11" s="13">
        <f>CU11+CV11</f>
        <v>40648.16875</v>
      </c>
      <c r="CX11" s="28">
        <f>CV$6*$F11</f>
        <v>1277.3280548</v>
      </c>
      <c r="CY11" s="28">
        <f>CV$6*$G11</f>
        <v>704.3831935000001</v>
      </c>
      <c r="CZ11" s="28"/>
      <c r="DA11" s="13">
        <f>C11*0.07178/100</f>
        <v>1794.5</v>
      </c>
      <c r="DB11" s="13">
        <f>D11*0.07178/100</f>
        <v>44.8625</v>
      </c>
      <c r="DC11" s="13">
        <f>DA11+DB11</f>
        <v>1839.3625</v>
      </c>
      <c r="DD11" s="28">
        <f>DB$6*$F11</f>
        <v>57.8001272</v>
      </c>
      <c r="DE11" s="28">
        <f>DB$6*$G11</f>
        <v>31.873909</v>
      </c>
      <c r="DF11" s="28"/>
      <c r="DG11" s="13">
        <f>C11*1.01431/100</f>
        <v>25357.75</v>
      </c>
      <c r="DH11" s="13">
        <f>D11*1.01431/100</f>
        <v>633.94375</v>
      </c>
      <c r="DI11" s="13">
        <f>DG11+DH11</f>
        <v>25991.69375</v>
      </c>
      <c r="DJ11" s="28">
        <f>DH$6*$F11</f>
        <v>816.7629844</v>
      </c>
      <c r="DK11" s="28">
        <f>DH$6*$G11</f>
        <v>450.4043555</v>
      </c>
      <c r="DL11" s="28"/>
      <c r="DM11" s="13">
        <f>C11*0.48536/100</f>
        <v>12134</v>
      </c>
      <c r="DN11" s="28">
        <f>D11*0.48536/100</f>
        <v>303.35</v>
      </c>
      <c r="DO11" s="13">
        <f>DM11+DN11</f>
        <v>12437.35</v>
      </c>
      <c r="DP11" s="28">
        <f>DN$6*$F11</f>
        <v>390.83128639999995</v>
      </c>
      <c r="DQ11" s="28">
        <f>DN$6*$G11</f>
        <v>215.52410799999998</v>
      </c>
      <c r="DR11" s="28"/>
      <c r="DS11" s="13">
        <f>C11*0.80603/100</f>
        <v>20150.75</v>
      </c>
      <c r="DT11" s="13">
        <f>D11*0.80603/100</f>
        <v>503.76875</v>
      </c>
      <c r="DU11" s="13">
        <f>DS11+DT11</f>
        <v>20654.51875</v>
      </c>
      <c r="DV11" s="28">
        <f>DT$6*$F11</f>
        <v>649.0475971999999</v>
      </c>
      <c r="DW11" s="28">
        <f>DT$6*$G11</f>
        <v>357.9176215</v>
      </c>
      <c r="DX11" s="28"/>
      <c r="DY11" s="13">
        <f>C11*2.45163/100</f>
        <v>61290.75000000001</v>
      </c>
      <c r="DZ11" s="13">
        <f>D11*2.45163/100</f>
        <v>1532.26875</v>
      </c>
      <c r="EA11" s="13">
        <f>DY11+DZ11</f>
        <v>62823.01875000001</v>
      </c>
      <c r="EB11" s="28">
        <f>DZ$6*$F11</f>
        <v>1974.1505412000001</v>
      </c>
      <c r="EC11" s="28">
        <f>DZ$6*$G11</f>
        <v>1088.6463015000002</v>
      </c>
      <c r="ED11" s="28"/>
      <c r="EE11" s="13">
        <f>C11*0.25443/100</f>
        <v>6360.75</v>
      </c>
      <c r="EF11" s="13">
        <f>D11*0.25443/100</f>
        <v>159.01875</v>
      </c>
      <c r="EG11" s="13">
        <f>EE11+EF11</f>
        <v>6519.76875</v>
      </c>
      <c r="EH11" s="28">
        <f>EF$6*$F11</f>
        <v>204.87721320000003</v>
      </c>
      <c r="EI11" s="28">
        <f>EF$6*$G11</f>
        <v>112.97964150000001</v>
      </c>
      <c r="EJ11" s="28"/>
      <c r="EK11" s="13">
        <f>C11*0.12856/100</f>
        <v>3214</v>
      </c>
      <c r="EL11" s="13">
        <f>D11*0.12856/100</f>
        <v>80.35000000000001</v>
      </c>
      <c r="EM11" s="13">
        <f>EK11+EL11</f>
        <v>3294.35</v>
      </c>
      <c r="EN11" s="28">
        <f>EL$6*$F11</f>
        <v>103.5216544</v>
      </c>
      <c r="EO11" s="28">
        <f>EL$6*$G11</f>
        <v>57.087068</v>
      </c>
      <c r="EP11" s="28"/>
      <c r="EQ11" s="13">
        <f>C11*0.03415/100</f>
        <v>853.75</v>
      </c>
      <c r="ER11" s="13">
        <f>D11*0.03415/100</f>
        <v>21.34375</v>
      </c>
      <c r="ES11" s="13">
        <f>EQ11+ER11</f>
        <v>875.09375</v>
      </c>
      <c r="ET11" s="28">
        <f>ER$6*$F11</f>
        <v>27.498946</v>
      </c>
      <c r="EU11" s="28">
        <f>ER$6*$G11</f>
        <v>15.1643075</v>
      </c>
      <c r="EV11" s="28"/>
      <c r="EW11" s="13">
        <f>C11*1.11619/100</f>
        <v>27904.75</v>
      </c>
      <c r="EX11" s="13">
        <f>D11*1.11619/100</f>
        <v>697.61875</v>
      </c>
      <c r="EY11" s="13">
        <f>EW11+EX11</f>
        <v>28602.36875</v>
      </c>
      <c r="EZ11" s="28">
        <f>EX$6*$F11</f>
        <v>898.8008356</v>
      </c>
      <c r="FA11" s="28">
        <f>EX$6*$G11</f>
        <v>495.64416950000003</v>
      </c>
      <c r="FB11" s="28"/>
      <c r="FC11" s="13">
        <f>C11*4.55599/100</f>
        <v>113899.75000000001</v>
      </c>
      <c r="FD11" s="13">
        <f>D11*4.55599/100</f>
        <v>2847.49375</v>
      </c>
      <c r="FE11" s="13">
        <f>FC11+FD11</f>
        <v>116747.24375000001</v>
      </c>
      <c r="FF11" s="28">
        <f>FD$6*$F11</f>
        <v>3668.6653876</v>
      </c>
      <c r="FG11" s="28">
        <f>FD$6*$G11</f>
        <v>2023.0873595</v>
      </c>
      <c r="FH11" s="28"/>
      <c r="FI11" s="13">
        <f>C11*0.07571/100</f>
        <v>1892.75</v>
      </c>
      <c r="FJ11" s="13">
        <f>D11*0.07571/100</f>
        <v>47.31875</v>
      </c>
      <c r="FK11" s="13">
        <f>FI11+FJ11</f>
        <v>1940.06875</v>
      </c>
      <c r="FL11" s="28">
        <f>FJ$6*$F11</f>
        <v>60.964720400000004</v>
      </c>
      <c r="FM11" s="28">
        <f>FJ$6*$G11</f>
        <v>33.6190255</v>
      </c>
      <c r="FN11" s="28"/>
      <c r="FO11" s="13">
        <f>C11*0.91696/100</f>
        <v>22924</v>
      </c>
      <c r="FP11" s="13">
        <f>D11*0.91696/100</f>
        <v>573.1</v>
      </c>
      <c r="FQ11" s="13">
        <f>FO11+FP11</f>
        <v>23497.1</v>
      </c>
      <c r="FR11" s="28">
        <f>FP$6*$F11</f>
        <v>738.3728704</v>
      </c>
      <c r="FS11" s="28">
        <f>FP$6*$G11</f>
        <v>407.176088</v>
      </c>
      <c r="FT11" s="28"/>
      <c r="FU11" s="13">
        <f>C11*0.38062/100</f>
        <v>9515.5</v>
      </c>
      <c r="FV11" s="13">
        <f>D11*0.38062/100</f>
        <v>237.8875</v>
      </c>
      <c r="FW11" s="13">
        <f>FU11+FV11</f>
        <v>9753.3875</v>
      </c>
      <c r="FX11" s="28">
        <f>FV$6*$F11</f>
        <v>306.4904488</v>
      </c>
      <c r="FY11" s="28">
        <f>FV$6*$G11</f>
        <v>169.014311</v>
      </c>
      <c r="FZ11" s="28"/>
    </row>
    <row r="12" ht="12.75">
      <c r="AA12" s="28"/>
    </row>
    <row r="13" spans="1:181" ht="13.5" thickBot="1">
      <c r="A13" s="11" t="s">
        <v>0</v>
      </c>
      <c r="C13" s="27">
        <f>SUM(C8:C12)</f>
        <v>2500000</v>
      </c>
      <c r="D13" s="27">
        <f>SUM(D8:D12)</f>
        <v>250000</v>
      </c>
      <c r="E13" s="27">
        <f>SUM(E8:E12)</f>
        <v>2750000</v>
      </c>
      <c r="F13" s="27">
        <f>SUM(F8:F12)</f>
        <v>322096</v>
      </c>
      <c r="G13" s="27">
        <f>SUM(G8:G12)</f>
        <v>177620</v>
      </c>
      <c r="I13" s="27">
        <f>SUM(I8:I12)</f>
        <v>1699503</v>
      </c>
      <c r="J13" s="27">
        <f>SUM(J8:J12)</f>
        <v>169950.30000000002</v>
      </c>
      <c r="K13" s="27">
        <f>SUM(K8:K12)</f>
        <v>1869453.3</v>
      </c>
      <c r="L13" s="27">
        <f>SUM(L8:L12)</f>
        <v>218961.2473151999</v>
      </c>
      <c r="M13" s="27">
        <f>SUM(M8:M12)</f>
        <v>120746.28914400002</v>
      </c>
      <c r="O13" s="27">
        <f>SUM(O8:O12)</f>
        <v>199017.25</v>
      </c>
      <c r="P13" s="27">
        <f>SUM(P8:P12)</f>
        <v>19901.725</v>
      </c>
      <c r="Q13" s="27">
        <f>SUM(Q8:Q12)</f>
        <v>218918.975</v>
      </c>
      <c r="R13" s="27">
        <f>SUM(R8:R12)</f>
        <v>25641.064062399997</v>
      </c>
      <c r="S13" s="27">
        <f>SUM(S8:S12)</f>
        <v>14139.777578</v>
      </c>
      <c r="U13" s="27">
        <f>SUM(U8:U12)</f>
        <v>221540.75</v>
      </c>
      <c r="V13" s="27">
        <f>SUM(V8:V12)</f>
        <v>22154.075</v>
      </c>
      <c r="W13" s="27">
        <f>SUM(W8:W12)</f>
        <v>243694.82499999998</v>
      </c>
      <c r="X13" s="27">
        <f>SUM(X8:X12)</f>
        <v>28542.955764799997</v>
      </c>
      <c r="Y13" s="27">
        <f>SUM(Y8:Y12)</f>
        <v>15740.027205999999</v>
      </c>
      <c r="AA13" s="27">
        <f>SUM(AA8:AA12)</f>
        <v>81807.25</v>
      </c>
      <c r="AB13" s="27">
        <f>SUM(AB8:AB12)</f>
        <v>8180.725</v>
      </c>
      <c r="AC13" s="27">
        <f>SUM(AC8:AC12)</f>
        <v>89987.97499999999</v>
      </c>
      <c r="AD13" s="27">
        <f>SUM(AD8:AD12)</f>
        <v>10539.9151984</v>
      </c>
      <c r="AE13" s="27">
        <f>SUM(AE8:AE12)</f>
        <v>5812.241497999999</v>
      </c>
      <c r="AG13" s="27">
        <f>SUM(AG8:AG12)</f>
        <v>61115.75</v>
      </c>
      <c r="AH13" s="27">
        <f>SUM(AH8:AH12)</f>
        <v>6111.575</v>
      </c>
      <c r="AI13" s="27">
        <f>SUM(AI8:AI12)</f>
        <v>67227.325</v>
      </c>
      <c r="AJ13" s="27">
        <f>SUM(AJ8:AJ12)</f>
        <v>7874.0554448</v>
      </c>
      <c r="AK13" s="27">
        <f>SUM(AK8:AK12)</f>
        <v>4342.151806</v>
      </c>
      <c r="AL13" s="20"/>
      <c r="AM13" s="27">
        <f>SUM(AM8:AM12)</f>
        <v>6065.25</v>
      </c>
      <c r="AN13" s="27">
        <f>SUM(AN8:AN12)</f>
        <v>606.525</v>
      </c>
      <c r="AO13" s="27">
        <f>SUM(AO8:AO12)</f>
        <v>6671.775000000001</v>
      </c>
      <c r="AP13" s="27">
        <f>SUM(AP8:AP12)</f>
        <v>781.4371056</v>
      </c>
      <c r="AQ13" s="27">
        <f>SUM(AQ8:AQ12)</f>
        <v>430.923882</v>
      </c>
      <c r="AS13" s="27">
        <f>SUM(AS8:AS12)</f>
        <v>81371.5</v>
      </c>
      <c r="AT13" s="27">
        <f>SUM(AT8:AT12)</f>
        <v>8137.15</v>
      </c>
      <c r="AU13" s="27">
        <f>SUM(AU8:AU12)</f>
        <v>89508.65000000001</v>
      </c>
      <c r="AV13" s="27">
        <f>SUM(AV8:AV12)</f>
        <v>10483.773865599998</v>
      </c>
      <c r="AW13" s="27">
        <f>SUM(AW8:AW12)</f>
        <v>5781.282332</v>
      </c>
      <c r="AX13" s="27"/>
      <c r="AY13" s="27">
        <f>SUM(AY8:AY12)</f>
        <v>594527.7500000001</v>
      </c>
      <c r="AZ13" s="27">
        <f>SUM(AZ8:AZ12)</f>
        <v>59452.775</v>
      </c>
      <c r="BA13" s="27">
        <f>SUM(BA8:BA12)</f>
        <v>653980.5250000001</v>
      </c>
      <c r="BB13" s="27">
        <f>SUM(BB8:BB12)</f>
        <v>76598.0040656</v>
      </c>
      <c r="BC13" s="27">
        <f>SUM(BC8:BC12)</f>
        <v>42240.007582</v>
      </c>
      <c r="BE13" s="27">
        <f>SUM(BE8:BE12)</f>
        <v>10</v>
      </c>
      <c r="BF13" s="27">
        <f>SUM(BF8:BF12)</f>
        <v>1</v>
      </c>
      <c r="BG13" s="27">
        <f>SUM(BG8:BG12)</f>
        <v>11</v>
      </c>
      <c r="BH13" s="27">
        <f>SUM(BH8:BH12)</f>
        <v>1.288384</v>
      </c>
      <c r="BI13" s="27">
        <f>SUM(BI8:BI12)</f>
        <v>0.71048</v>
      </c>
      <c r="BK13" s="27">
        <f>SUM(BK8:BK12)</f>
        <v>3416</v>
      </c>
      <c r="BL13" s="27">
        <f>SUM(BL8:BL12)</f>
        <v>341.6</v>
      </c>
      <c r="BM13" s="27">
        <f>SUM(BM8:BM12)</f>
        <v>3757.6000000000004</v>
      </c>
      <c r="BN13" s="27">
        <f>SUM(BN8:BN12)</f>
        <v>440.1119744</v>
      </c>
      <c r="BO13" s="27">
        <f>SUM(BO8:BO12)</f>
        <v>242.699968</v>
      </c>
      <c r="BQ13" s="27">
        <f>SUM(BQ8:BQ12)</f>
        <v>21968.75</v>
      </c>
      <c r="BR13" s="27">
        <f>SUM(BR8:BR12)</f>
        <v>2196.875</v>
      </c>
      <c r="BS13" s="27">
        <f>SUM(BS8:BS12)</f>
        <v>24165.625</v>
      </c>
      <c r="BT13" s="27">
        <f>SUM(BT8:BT12)</f>
        <v>2830.4186</v>
      </c>
      <c r="BU13" s="27">
        <f>SUM(BU8:BU12)</f>
        <v>1560.83575</v>
      </c>
      <c r="BW13" s="27">
        <f>SUM(BW8:BW12)</f>
        <v>14189.25</v>
      </c>
      <c r="BX13" s="27">
        <f>SUM(BX8:BX12)</f>
        <v>1418.925</v>
      </c>
      <c r="BY13" s="27">
        <f>SUM(BY8:BY12)</f>
        <v>15608.175000000001</v>
      </c>
      <c r="BZ13" s="27">
        <f>SUM(BZ8:BZ12)</f>
        <v>1828.1202672</v>
      </c>
      <c r="CA13" s="27">
        <f>SUM(CA8:CA12)</f>
        <v>1008.1178339999999</v>
      </c>
      <c r="CB13" s="20"/>
      <c r="CC13" s="27">
        <f>SUM(CC8:CC12)</f>
        <v>54628.5</v>
      </c>
      <c r="CD13" s="27">
        <f>SUM(CD8:CD12)</f>
        <v>5462.85</v>
      </c>
      <c r="CE13" s="27">
        <f>SUM(CE8:CE12)</f>
        <v>60091.350000000006</v>
      </c>
      <c r="CF13" s="27">
        <f>SUM(CF8:CF12)</f>
        <v>7038.2485344</v>
      </c>
      <c r="CG13" s="27">
        <f>SUM(CG8:CG12)</f>
        <v>3881.245668</v>
      </c>
      <c r="CI13" s="27">
        <f>SUM(CI8:CI12)</f>
        <v>3479</v>
      </c>
      <c r="CJ13" s="27">
        <f>SUM(CJ8:CJ12)</f>
        <v>347.9</v>
      </c>
      <c r="CK13" s="27">
        <f>SUM(CK8:CK12)</f>
        <v>3826.8999999999996</v>
      </c>
      <c r="CL13" s="27">
        <f>SUM(CL8:CL12)</f>
        <v>448.2287936</v>
      </c>
      <c r="CM13" s="27">
        <f>SUM(CM8:CM12)</f>
        <v>247.175992</v>
      </c>
      <c r="CO13" s="27">
        <f>SUM(CO8:CO12)</f>
        <v>9416.25</v>
      </c>
      <c r="CP13" s="27">
        <f>SUM(CP8:CP12)</f>
        <v>941.625</v>
      </c>
      <c r="CQ13" s="27">
        <f>SUM(CQ8:CQ12)</f>
        <v>10357.875</v>
      </c>
      <c r="CR13" s="27">
        <f>SUM(CR8:CR12)</f>
        <v>1213.1745839999999</v>
      </c>
      <c r="CS13" s="27">
        <f>SUM(CS8:CS12)</f>
        <v>669.00573</v>
      </c>
      <c r="CU13" s="27">
        <f>SUM(CU8:CU12)</f>
        <v>39656.75</v>
      </c>
      <c r="CV13" s="27">
        <f>SUM(CV8:CV12)</f>
        <v>3965.675</v>
      </c>
      <c r="CW13" s="27">
        <f>SUM(CW8:CW12)</f>
        <v>43622.424999999996</v>
      </c>
      <c r="CX13" s="27">
        <f>SUM(CX8:CX12)</f>
        <v>5109.3122192</v>
      </c>
      <c r="CY13" s="27">
        <f>SUM(CY8:CY12)</f>
        <v>2817.5327740000002</v>
      </c>
      <c r="DA13" s="27">
        <f>SUM(DA8:DA12)</f>
        <v>1794.5</v>
      </c>
      <c r="DB13" s="27">
        <f>SUM(DB8:DB12)</f>
        <v>179.45</v>
      </c>
      <c r="DC13" s="27">
        <f>SUM(DC8:DC12)</f>
        <v>1973.9499999999998</v>
      </c>
      <c r="DD13" s="27">
        <f>SUM(DD8:DD12)</f>
        <v>231.2005088</v>
      </c>
      <c r="DE13" s="27">
        <f>SUM(DE8:DE12)</f>
        <v>127.495636</v>
      </c>
      <c r="DG13" s="27">
        <f>SUM(DG8:DG12)</f>
        <v>25357.75</v>
      </c>
      <c r="DH13" s="27">
        <f>SUM(DH8:DH12)</f>
        <v>2535.775</v>
      </c>
      <c r="DI13" s="27">
        <f>SUM(DI8:DI12)</f>
        <v>27893.524999999998</v>
      </c>
      <c r="DJ13" s="27">
        <f>SUM(DJ8:DJ12)</f>
        <v>3267.0519376</v>
      </c>
      <c r="DK13" s="27">
        <f>SUM(DK8:DK12)</f>
        <v>1801.617422</v>
      </c>
      <c r="DM13" s="27">
        <f>SUM(DM8:DM12)</f>
        <v>12134</v>
      </c>
      <c r="DN13" s="27">
        <f>SUM(DN8:DN12)</f>
        <v>1213.4</v>
      </c>
      <c r="DO13" s="27">
        <f>SUM(DO8:DO12)</f>
        <v>13347.4</v>
      </c>
      <c r="DP13" s="27">
        <f>SUM(DP8:DP12)</f>
        <v>1563.3251455999998</v>
      </c>
      <c r="DQ13" s="27">
        <f>SUM(DQ8:DQ12)</f>
        <v>862.0964319999999</v>
      </c>
      <c r="DS13" s="27">
        <f>SUM(DS8:DS12)</f>
        <v>20150.75</v>
      </c>
      <c r="DT13" s="27">
        <f>SUM(DT8:DT12)</f>
        <v>2015.075</v>
      </c>
      <c r="DU13" s="27">
        <f>SUM(DU8:DU12)</f>
        <v>22165.825</v>
      </c>
      <c r="DV13" s="27">
        <f>SUM(DV8:DV12)</f>
        <v>2596.1903887999997</v>
      </c>
      <c r="DW13" s="27">
        <f>SUM(DW8:DW12)</f>
        <v>1431.670486</v>
      </c>
      <c r="DY13" s="27">
        <f>SUM(DY8:DY12)</f>
        <v>61290.75000000001</v>
      </c>
      <c r="DZ13" s="27">
        <f>SUM(DZ8:DZ12)</f>
        <v>6129.075</v>
      </c>
      <c r="EA13" s="27">
        <f>SUM(EA8:EA12)</f>
        <v>67419.82500000001</v>
      </c>
      <c r="EB13" s="27">
        <f>SUM(EB8:EB12)</f>
        <v>7896.6021648000005</v>
      </c>
      <c r="EC13" s="27">
        <f>SUM(EC8:EC12)</f>
        <v>4354.585206000001</v>
      </c>
      <c r="EE13" s="27">
        <f>SUM(EE8:EE12)</f>
        <v>6360.75</v>
      </c>
      <c r="EF13" s="27">
        <f>SUM(EF8:EF12)</f>
        <v>636.075</v>
      </c>
      <c r="EG13" s="27">
        <f>SUM(EG8:EG12)</f>
        <v>6996.825</v>
      </c>
      <c r="EH13" s="27">
        <f>SUM(EH8:EH12)</f>
        <v>819.5088528000001</v>
      </c>
      <c r="EI13" s="27">
        <f>SUM(EI8:EI12)</f>
        <v>451.91856600000006</v>
      </c>
      <c r="EK13" s="27">
        <f>SUM(EK8:EK12)</f>
        <v>3214</v>
      </c>
      <c r="EL13" s="27">
        <f>SUM(EL8:EL12)</f>
        <v>321.40000000000003</v>
      </c>
      <c r="EM13" s="27">
        <f>SUM(EM8:EM12)</f>
        <v>3535.4</v>
      </c>
      <c r="EN13" s="27">
        <f>SUM(EN8:EN12)</f>
        <v>414.0866176</v>
      </c>
      <c r="EO13" s="27">
        <f>SUM(EO8:EO12)</f>
        <v>228.348272</v>
      </c>
      <c r="EQ13" s="27">
        <f>SUM(EQ8:EQ12)</f>
        <v>853.75</v>
      </c>
      <c r="ER13" s="27">
        <f>SUM(ER8:ER12)</f>
        <v>85.375</v>
      </c>
      <c r="ES13" s="27">
        <f>SUM(ES8:ES12)</f>
        <v>939.125</v>
      </c>
      <c r="ET13" s="27">
        <f>SUM(ET8:ET12)</f>
        <v>109.995784</v>
      </c>
      <c r="EU13" s="27">
        <f>SUM(EU8:EU12)</f>
        <v>60.65723</v>
      </c>
      <c r="EW13" s="27">
        <f>SUM(EW8:EW12)</f>
        <v>27904.75</v>
      </c>
      <c r="EX13" s="27">
        <f>SUM(EX8:EX12)</f>
        <v>2790.475</v>
      </c>
      <c r="EY13" s="27">
        <f>SUM(EY8:EY12)</f>
        <v>30695.225000000002</v>
      </c>
      <c r="EZ13" s="27">
        <f>SUM(EZ8:EZ12)</f>
        <v>3595.2033424</v>
      </c>
      <c r="FA13" s="27">
        <f>SUM(FA8:FA12)</f>
        <v>1982.5766780000001</v>
      </c>
      <c r="FC13" s="27">
        <f>SUM(FC8:FC12)</f>
        <v>113899.75000000001</v>
      </c>
      <c r="FD13" s="27">
        <f>SUM(FD8:FD12)</f>
        <v>11389.975</v>
      </c>
      <c r="FE13" s="27">
        <f>SUM(FE8:FE12)</f>
        <v>125289.725</v>
      </c>
      <c r="FF13" s="27">
        <f>SUM(FF8:FF12)</f>
        <v>14674.6615504</v>
      </c>
      <c r="FG13" s="27">
        <f>SUM(FG8:FG12)</f>
        <v>8092.349438</v>
      </c>
      <c r="FI13" s="27">
        <f>SUM(FI8:FI12)</f>
        <v>1892.75</v>
      </c>
      <c r="FJ13" s="27">
        <f>SUM(FJ8:FJ12)</f>
        <v>189.275</v>
      </c>
      <c r="FK13" s="27">
        <f>SUM(FK8:FK12)</f>
        <v>2082.025</v>
      </c>
      <c r="FL13" s="27">
        <f>SUM(FL8:FL12)</f>
        <v>243.85888160000002</v>
      </c>
      <c r="FM13" s="27">
        <f>SUM(FM8:FM12)</f>
        <v>134.476102</v>
      </c>
      <c r="FO13" s="27">
        <f>SUM(FO8:FO12)</f>
        <v>22924</v>
      </c>
      <c r="FP13" s="27">
        <f>SUM(FP8:FP12)</f>
        <v>2292.4</v>
      </c>
      <c r="FQ13" s="27">
        <f>SUM(FQ8:FQ12)</f>
        <v>25216.399999999998</v>
      </c>
      <c r="FR13" s="27">
        <f>SUM(FR8:FR12)</f>
        <v>2953.4914816</v>
      </c>
      <c r="FS13" s="27">
        <f>SUM(FS8:FS12)</f>
        <v>1628.704352</v>
      </c>
      <c r="FU13" s="27">
        <f>SUM(FU8:FU12)</f>
        <v>9515.5</v>
      </c>
      <c r="FV13" s="27">
        <f>SUM(FV8:FV12)</f>
        <v>951.55</v>
      </c>
      <c r="FW13" s="27">
        <f>SUM(FW8:FW12)</f>
        <v>10467.050000000001</v>
      </c>
      <c r="FX13" s="27">
        <f>SUM(FX8:FX12)</f>
        <v>1225.9617952</v>
      </c>
      <c r="FY13" s="27">
        <f>SUM(FY8:FY12)</f>
        <v>676.057244</v>
      </c>
    </row>
    <row r="14" ht="13.5" thickTop="1"/>
    <row r="25" spans="1:7" ht="12.75">
      <c r="A25"/>
      <c r="C25"/>
      <c r="D25"/>
      <c r="E25"/>
      <c r="F25"/>
      <c r="G25"/>
    </row>
    <row r="26" spans="1:7" ht="12.75">
      <c r="A26"/>
      <c r="C26"/>
      <c r="D26"/>
      <c r="E26"/>
      <c r="F26"/>
      <c r="G26"/>
    </row>
    <row r="27" spans="1:182" ht="12.75">
      <c r="A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</row>
    <row r="28" spans="1:182" ht="12.75">
      <c r="A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</row>
    <row r="29" spans="1:182" ht="12.75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</row>
    <row r="30" spans="1:182" ht="12.75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</row>
    <row r="31" spans="1:182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</row>
    <row r="32" spans="1:182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18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</row>
    <row r="50" spans="1:18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</row>
    <row r="51" spans="1:18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</row>
    <row r="52" spans="8:182" ht="12.75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</row>
    <row r="53" spans="8:182" ht="12.75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J38"/>
  <sheetViews>
    <sheetView zoomScale="144" zoomScaleNormal="144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1" sqref="E21"/>
    </sheetView>
  </sheetViews>
  <sheetFormatPr defaultColWidth="8.7109375" defaultRowHeight="12.75"/>
  <cols>
    <col min="1" max="1" width="8.7109375" style="0" customWidth="1"/>
    <col min="2" max="5" width="13.7109375" style="0" customWidth="1"/>
    <col min="6" max="6" width="8.7109375" style="0" customWidth="1"/>
    <col min="7" max="10" width="13.7109375" style="0" customWidth="1"/>
  </cols>
  <sheetData>
    <row r="6" spans="1:10" ht="12.75">
      <c r="A6" s="4" t="s">
        <v>1</v>
      </c>
      <c r="B6" s="15" t="s">
        <v>33</v>
      </c>
      <c r="C6" s="16"/>
      <c r="D6" s="17"/>
      <c r="E6" s="19"/>
      <c r="G6" s="40" t="s">
        <v>57</v>
      </c>
      <c r="H6" s="16"/>
      <c r="I6" s="17"/>
      <c r="J6" s="19"/>
    </row>
    <row r="7" spans="1:10" ht="12.75">
      <c r="A7" s="24" t="s">
        <v>2</v>
      </c>
      <c r="B7" s="18"/>
      <c r="C7" s="31">
        <v>0.0024261</v>
      </c>
      <c r="D7" s="17"/>
      <c r="E7" s="19" t="s">
        <v>55</v>
      </c>
      <c r="G7" s="18"/>
      <c r="H7" s="31"/>
      <c r="I7" s="17"/>
      <c r="J7" s="19" t="s">
        <v>55</v>
      </c>
    </row>
    <row r="8" spans="1:10" ht="12.75">
      <c r="A8" s="8"/>
      <c r="B8" s="19" t="s">
        <v>3</v>
      </c>
      <c r="C8" s="19" t="s">
        <v>4</v>
      </c>
      <c r="D8" s="19" t="s">
        <v>0</v>
      </c>
      <c r="E8" s="19" t="s">
        <v>56</v>
      </c>
      <c r="G8" s="19" t="s">
        <v>3</v>
      </c>
      <c r="H8" s="19" t="s">
        <v>4</v>
      </c>
      <c r="I8" s="19" t="s">
        <v>0</v>
      </c>
      <c r="J8" s="19" t="s">
        <v>56</v>
      </c>
    </row>
    <row r="9" spans="1:10" ht="12.75">
      <c r="A9" s="2">
        <v>40452</v>
      </c>
      <c r="B9" s="13"/>
      <c r="C9" s="13">
        <v>1671.2796375</v>
      </c>
      <c r="D9" s="13">
        <v>1671.2796375</v>
      </c>
      <c r="E9" s="13">
        <v>29</v>
      </c>
      <c r="G9" s="13"/>
      <c r="H9" s="13">
        <v>1671.2796375</v>
      </c>
      <c r="I9" s="13">
        <v>1671.2796375</v>
      </c>
      <c r="J9" s="13">
        <v>29</v>
      </c>
    </row>
    <row r="10" spans="1:10" ht="12.75">
      <c r="A10" s="2">
        <v>40634</v>
      </c>
      <c r="B10" s="13">
        <v>3542.1059999999998</v>
      </c>
      <c r="C10" s="13">
        <v>1671.2796375</v>
      </c>
      <c r="D10" s="13">
        <v>5213.3856375</v>
      </c>
      <c r="E10" s="13">
        <v>29</v>
      </c>
      <c r="G10" s="13">
        <v>3542.1059999999998</v>
      </c>
      <c r="H10" s="13">
        <v>1671.2796375</v>
      </c>
      <c r="I10" s="13">
        <v>5213.3856375</v>
      </c>
      <c r="J10" s="13">
        <v>29</v>
      </c>
    </row>
    <row r="11" spans="1:10" ht="12.75">
      <c r="A11" s="2">
        <v>40817</v>
      </c>
      <c r="B11" s="13"/>
      <c r="C11" s="13">
        <v>1591.5822524999999</v>
      </c>
      <c r="D11" s="13">
        <v>1591.5822524999999</v>
      </c>
      <c r="E11" s="13">
        <v>29</v>
      </c>
      <c r="G11" s="13"/>
      <c r="H11" s="13">
        <v>1591.5822524999999</v>
      </c>
      <c r="I11" s="13">
        <v>1591.5822524999999</v>
      </c>
      <c r="J11" s="13">
        <v>29</v>
      </c>
    </row>
    <row r="12" spans="1:10" ht="12.75">
      <c r="A12" s="2">
        <v>41000</v>
      </c>
      <c r="B12" s="13">
        <v>3699.8025</v>
      </c>
      <c r="C12" s="13">
        <v>1591.5822524999999</v>
      </c>
      <c r="D12" s="13">
        <v>5291.3847525</v>
      </c>
      <c r="E12" s="13">
        <v>29</v>
      </c>
      <c r="G12" s="13">
        <v>3699.8025</v>
      </c>
      <c r="H12" s="13">
        <v>1591.5822524999999</v>
      </c>
      <c r="I12" s="13">
        <v>5291.3847525</v>
      </c>
      <c r="J12" s="13">
        <v>29</v>
      </c>
    </row>
    <row r="13" spans="1:10" ht="12.75">
      <c r="A13" s="2">
        <v>41183</v>
      </c>
      <c r="B13" s="13"/>
      <c r="C13" s="13">
        <v>1508.3379092999999</v>
      </c>
      <c r="D13" s="13">
        <v>1508.3379092999999</v>
      </c>
      <c r="E13" s="13">
        <v>29</v>
      </c>
      <c r="G13" s="13"/>
      <c r="H13" s="13">
        <v>1508.3379092999999</v>
      </c>
      <c r="I13" s="13">
        <v>1508.3379092999999</v>
      </c>
      <c r="J13" s="13">
        <v>29</v>
      </c>
    </row>
    <row r="14" spans="1:10" ht="12.75">
      <c r="A14" s="2">
        <v>41365</v>
      </c>
      <c r="B14" s="13">
        <v>3869.6295</v>
      </c>
      <c r="C14" s="13">
        <v>1508.3379092999999</v>
      </c>
      <c r="D14" s="13">
        <v>5377.967409299999</v>
      </c>
      <c r="E14" s="13">
        <v>29</v>
      </c>
      <c r="G14" s="13">
        <v>3869.6295</v>
      </c>
      <c r="H14" s="13">
        <v>1508.3379092999999</v>
      </c>
      <c r="I14" s="13">
        <v>5377.967409299999</v>
      </c>
      <c r="J14" s="13">
        <v>29</v>
      </c>
    </row>
    <row r="15" spans="1:10" ht="12.75">
      <c r="A15" s="2">
        <v>41548</v>
      </c>
      <c r="B15" s="13"/>
      <c r="C15" s="13">
        <v>1421.2700325</v>
      </c>
      <c r="D15" s="13">
        <v>1421.2700325</v>
      </c>
      <c r="E15" s="13">
        <v>29</v>
      </c>
      <c r="G15" s="13"/>
      <c r="H15" s="13">
        <v>1421.2700325</v>
      </c>
      <c r="I15" s="13">
        <v>1421.2700325</v>
      </c>
      <c r="J15" s="13">
        <v>29</v>
      </c>
    </row>
    <row r="16" spans="1:10" ht="12.75">
      <c r="A16" s="2">
        <v>41730</v>
      </c>
      <c r="B16" s="13">
        <v>4051.587</v>
      </c>
      <c r="C16" s="13">
        <v>1421.2700325</v>
      </c>
      <c r="D16" s="13">
        <v>5472.8570325</v>
      </c>
      <c r="E16" s="13">
        <v>29</v>
      </c>
      <c r="G16" s="13">
        <v>4051.587</v>
      </c>
      <c r="H16" s="13">
        <v>1421.2700325</v>
      </c>
      <c r="I16" s="13">
        <v>5472.8570325</v>
      </c>
      <c r="J16" s="13">
        <v>29</v>
      </c>
    </row>
    <row r="17" spans="1:10" ht="12.75">
      <c r="A17" s="2">
        <v>41913</v>
      </c>
      <c r="B17" s="13"/>
      <c r="C17" s="13">
        <v>1330.109325</v>
      </c>
      <c r="D17" s="13">
        <v>1330.109325</v>
      </c>
      <c r="E17" s="13">
        <v>29</v>
      </c>
      <c r="G17" s="13"/>
      <c r="H17" s="13">
        <v>1330.109325</v>
      </c>
      <c r="I17" s="13">
        <v>1330.109325</v>
      </c>
      <c r="J17" s="13">
        <v>29</v>
      </c>
    </row>
    <row r="18" spans="1:10" ht="12.75">
      <c r="A18" s="2">
        <v>42095</v>
      </c>
      <c r="B18" s="13">
        <v>4233.5445</v>
      </c>
      <c r="C18" s="13">
        <v>1330.109325</v>
      </c>
      <c r="D18" s="13">
        <v>5563.653824999999</v>
      </c>
      <c r="E18" s="13">
        <v>29</v>
      </c>
      <c r="G18" s="13">
        <v>4233.5445</v>
      </c>
      <c r="H18" s="13">
        <v>1330.109325</v>
      </c>
      <c r="I18" s="13">
        <v>5563.653824999999</v>
      </c>
      <c r="J18" s="13">
        <v>29</v>
      </c>
    </row>
    <row r="19" spans="1:10" ht="12.75">
      <c r="A19" s="2">
        <v>42278</v>
      </c>
      <c r="B19" s="13"/>
      <c r="C19" s="13">
        <v>1224.2707125</v>
      </c>
      <c r="D19" s="13">
        <v>1224.2707125</v>
      </c>
      <c r="E19" s="13">
        <v>29</v>
      </c>
      <c r="G19" s="13"/>
      <c r="H19" s="13">
        <v>1224.2707125</v>
      </c>
      <c r="I19" s="13">
        <v>1224.2707125</v>
      </c>
      <c r="J19" s="13">
        <v>29</v>
      </c>
    </row>
    <row r="20" spans="1:10" ht="12.75">
      <c r="A20" s="2">
        <v>42461</v>
      </c>
      <c r="B20" s="13">
        <v>4439.763</v>
      </c>
      <c r="C20" s="13">
        <v>1224.2707125</v>
      </c>
      <c r="D20" s="13">
        <v>5664.0337125</v>
      </c>
      <c r="E20" s="13">
        <v>29</v>
      </c>
      <c r="G20" s="13">
        <v>4439.763</v>
      </c>
      <c r="H20" s="13">
        <v>1224.2707125</v>
      </c>
      <c r="I20" s="13">
        <v>5664.0337125</v>
      </c>
      <c r="J20" s="13">
        <v>29</v>
      </c>
    </row>
    <row r="21" spans="1:10" ht="12.75">
      <c r="A21" s="2">
        <v>42644</v>
      </c>
      <c r="B21" s="13"/>
      <c r="C21" s="13">
        <v>1113.2766374999999</v>
      </c>
      <c r="D21" s="13">
        <v>1113.2766374999999</v>
      </c>
      <c r="E21" s="13">
        <v>29</v>
      </c>
      <c r="G21" s="13"/>
      <c r="H21" s="13">
        <v>1113.2766374999999</v>
      </c>
      <c r="I21" s="13">
        <v>1113.2766374999999</v>
      </c>
      <c r="J21" s="13">
        <v>29</v>
      </c>
    </row>
    <row r="22" spans="1:10" ht="12.75">
      <c r="A22" s="2">
        <v>42826</v>
      </c>
      <c r="B22" s="13">
        <v>4658.112</v>
      </c>
      <c r="C22" s="13">
        <v>1113.2766374999999</v>
      </c>
      <c r="D22" s="13">
        <v>5771.3886375</v>
      </c>
      <c r="E22" s="13">
        <v>29</v>
      </c>
      <c r="G22" s="13">
        <v>4658.112</v>
      </c>
      <c r="H22" s="13">
        <v>1113.2766374999999</v>
      </c>
      <c r="I22" s="13">
        <v>5771.3886375</v>
      </c>
      <c r="J22" s="13">
        <v>29</v>
      </c>
    </row>
    <row r="23" spans="1:10" ht="12.75">
      <c r="A23" s="2">
        <v>43009</v>
      </c>
      <c r="B23" s="13"/>
      <c r="C23" s="13">
        <v>996.8238375</v>
      </c>
      <c r="D23" s="13">
        <v>996.8238375</v>
      </c>
      <c r="E23" s="13">
        <v>29</v>
      </c>
      <c r="G23" s="13"/>
      <c r="H23" s="13">
        <v>996.8238375</v>
      </c>
      <c r="I23" s="13">
        <v>996.8238375</v>
      </c>
      <c r="J23" s="13">
        <v>29</v>
      </c>
    </row>
    <row r="24" spans="1:10" ht="12.75">
      <c r="A24" s="29">
        <v>43191</v>
      </c>
      <c r="B24" s="13">
        <v>4900.722</v>
      </c>
      <c r="C24" s="13">
        <v>996.8238375</v>
      </c>
      <c r="D24" s="13">
        <v>5897.5458375</v>
      </c>
      <c r="E24" s="13">
        <v>29</v>
      </c>
      <c r="G24" s="13">
        <v>4900.722</v>
      </c>
      <c r="H24" s="13">
        <v>996.8238375</v>
      </c>
      <c r="I24" s="13">
        <v>5897.5458375</v>
      </c>
      <c r="J24" s="13">
        <v>29</v>
      </c>
    </row>
    <row r="25" spans="1:10" ht="12.75">
      <c r="A25" s="29">
        <v>43374</v>
      </c>
      <c r="B25" s="13"/>
      <c r="C25" s="13">
        <v>874.3057875</v>
      </c>
      <c r="D25" s="13">
        <v>874.3057875</v>
      </c>
      <c r="E25" s="13">
        <v>29</v>
      </c>
      <c r="G25" s="13"/>
      <c r="H25" s="13">
        <v>874.3057875</v>
      </c>
      <c r="I25" s="13">
        <v>874.3057875</v>
      </c>
      <c r="J25" s="13">
        <v>29</v>
      </c>
    </row>
    <row r="26" spans="1:10" ht="12.75">
      <c r="A26" s="29">
        <v>43556</v>
      </c>
      <c r="B26" s="13">
        <v>5143.332</v>
      </c>
      <c r="C26" s="13">
        <v>874.3057875</v>
      </c>
      <c r="D26" s="13">
        <v>6017.6377875</v>
      </c>
      <c r="E26" s="13">
        <v>29</v>
      </c>
      <c r="G26" s="13">
        <v>5143.332</v>
      </c>
      <c r="H26" s="13">
        <v>874.3057875</v>
      </c>
      <c r="I26" s="13">
        <v>6017.6377875</v>
      </c>
      <c r="J26" s="13">
        <v>29</v>
      </c>
    </row>
    <row r="27" spans="1:10" ht="12.75">
      <c r="A27" s="29">
        <v>43739</v>
      </c>
      <c r="B27" s="13"/>
      <c r="C27" s="13">
        <v>745.7224874999999</v>
      </c>
      <c r="D27" s="13">
        <v>745.7224874999999</v>
      </c>
      <c r="E27" s="13">
        <v>29</v>
      </c>
      <c r="G27" s="13"/>
      <c r="H27" s="13">
        <v>745.7224874999999</v>
      </c>
      <c r="I27" s="13">
        <v>745.7224874999999</v>
      </c>
      <c r="J27" s="13">
        <v>29</v>
      </c>
    </row>
    <row r="28" spans="1:10" ht="12.75">
      <c r="A28" s="29">
        <v>43922</v>
      </c>
      <c r="B28" s="13">
        <v>5398.0725</v>
      </c>
      <c r="C28" s="13">
        <v>745.7224874999999</v>
      </c>
      <c r="D28" s="13">
        <v>6143.7949875</v>
      </c>
      <c r="E28" s="13">
        <v>29</v>
      </c>
      <c r="G28" s="13">
        <v>5398.0725</v>
      </c>
      <c r="H28" s="13">
        <v>745.7224874999999</v>
      </c>
      <c r="I28" s="13">
        <v>6143.7949875</v>
      </c>
      <c r="J28" s="13">
        <v>29</v>
      </c>
    </row>
    <row r="29" spans="1:10" ht="12.75">
      <c r="A29" s="29">
        <v>44105</v>
      </c>
      <c r="B29" s="13"/>
      <c r="C29" s="13">
        <v>610.770675</v>
      </c>
      <c r="D29" s="13">
        <v>610.770675</v>
      </c>
      <c r="E29" s="13">
        <v>29</v>
      </c>
      <c r="G29" s="13"/>
      <c r="H29" s="13">
        <v>610.770675</v>
      </c>
      <c r="I29" s="13">
        <v>610.770675</v>
      </c>
      <c r="J29" s="13">
        <v>29</v>
      </c>
    </row>
    <row r="30" spans="1:10" ht="12.75">
      <c r="A30" s="29">
        <v>44287</v>
      </c>
      <c r="B30" s="13">
        <v>5664.943499999999</v>
      </c>
      <c r="C30" s="13">
        <v>610.770675</v>
      </c>
      <c r="D30" s="13">
        <v>6275.714174999999</v>
      </c>
      <c r="E30" s="13">
        <v>29</v>
      </c>
      <c r="G30" s="13">
        <v>5664.943499999999</v>
      </c>
      <c r="H30" s="13">
        <v>610.770675</v>
      </c>
      <c r="I30" s="13">
        <v>6275.714174999999</v>
      </c>
      <c r="J30" s="13">
        <v>29</v>
      </c>
    </row>
    <row r="31" spans="1:10" ht="12.75">
      <c r="A31" s="29">
        <v>44470</v>
      </c>
      <c r="B31" s="13"/>
      <c r="C31" s="13">
        <v>469.1470875</v>
      </c>
      <c r="D31" s="13">
        <v>469.1470875</v>
      </c>
      <c r="E31" s="13">
        <v>29</v>
      </c>
      <c r="G31" s="13"/>
      <c r="H31" s="13">
        <v>469.1470875</v>
      </c>
      <c r="I31" s="13">
        <v>469.1470875</v>
      </c>
      <c r="J31" s="13">
        <v>29</v>
      </c>
    </row>
    <row r="32" spans="1:10" ht="12.75">
      <c r="A32" s="29">
        <v>44652</v>
      </c>
      <c r="B32" s="13">
        <v>5956.075499999999</v>
      </c>
      <c r="C32" s="13">
        <v>469.1470875</v>
      </c>
      <c r="D32" s="13">
        <v>6425.222587499999</v>
      </c>
      <c r="E32" s="13">
        <v>29</v>
      </c>
      <c r="G32" s="13">
        <v>5956.075499999999</v>
      </c>
      <c r="H32" s="13">
        <v>469.1470875</v>
      </c>
      <c r="I32" s="13">
        <v>6425.222587499999</v>
      </c>
      <c r="J32" s="13">
        <v>29</v>
      </c>
    </row>
    <row r="33" spans="1:10" ht="12.75">
      <c r="A33" s="29">
        <v>44835</v>
      </c>
      <c r="B33" s="13"/>
      <c r="C33" s="13">
        <v>320.2452</v>
      </c>
      <c r="D33" s="13">
        <v>320.2452</v>
      </c>
      <c r="E33" s="13">
        <v>29</v>
      </c>
      <c r="G33" s="13"/>
      <c r="H33" s="13">
        <v>320.2452</v>
      </c>
      <c r="I33" s="13">
        <v>320.2452</v>
      </c>
      <c r="J33" s="13">
        <v>29</v>
      </c>
    </row>
    <row r="34" spans="1:10" ht="12.75">
      <c r="A34" s="29">
        <v>45017</v>
      </c>
      <c r="B34" s="13">
        <v>6247.2075</v>
      </c>
      <c r="C34" s="13">
        <v>320.2452</v>
      </c>
      <c r="D34" s="13">
        <v>6567.452700000001</v>
      </c>
      <c r="E34" s="13">
        <v>29</v>
      </c>
      <c r="G34" s="13">
        <v>6247.2075</v>
      </c>
      <c r="H34" s="13">
        <v>320.2452</v>
      </c>
      <c r="I34" s="13">
        <v>6567.452700000001</v>
      </c>
      <c r="J34" s="13">
        <v>29</v>
      </c>
    </row>
    <row r="35" spans="1:10" ht="12.75">
      <c r="A35" s="29">
        <v>45200</v>
      </c>
      <c r="B35" s="13"/>
      <c r="C35" s="13">
        <v>164.06501250000002</v>
      </c>
      <c r="D35" s="13">
        <v>164.06501250000002</v>
      </c>
      <c r="E35" s="13">
        <v>29</v>
      </c>
      <c r="G35" s="13"/>
      <c r="H35" s="13">
        <v>164.06501250000002</v>
      </c>
      <c r="I35" s="13">
        <v>164.06501250000002</v>
      </c>
      <c r="J35" s="13">
        <v>29</v>
      </c>
    </row>
    <row r="36" spans="1:10" ht="12.75">
      <c r="A36" s="29">
        <v>45383</v>
      </c>
      <c r="B36" s="13">
        <v>6562.6005</v>
      </c>
      <c r="C36" s="13">
        <v>164.06501250000002</v>
      </c>
      <c r="D36" s="13">
        <v>6726.6655125</v>
      </c>
      <c r="E36" s="13">
        <v>19</v>
      </c>
      <c r="G36" s="13">
        <v>6562.6005</v>
      </c>
      <c r="H36" s="13">
        <v>164.06501250000002</v>
      </c>
      <c r="I36" s="13">
        <v>6726.6655125</v>
      </c>
      <c r="J36" s="13">
        <v>19</v>
      </c>
    </row>
    <row r="37" spans="1:10" ht="12.75">
      <c r="A37" s="2"/>
      <c r="B37" s="13"/>
      <c r="C37" s="13"/>
      <c r="D37" s="13"/>
      <c r="E37" s="13"/>
      <c r="G37" s="13"/>
      <c r="H37" s="13"/>
      <c r="I37" s="13"/>
      <c r="J37" s="13"/>
    </row>
    <row r="38" spans="1:10" ht="13.5" thickBot="1">
      <c r="A38" s="11" t="s">
        <v>0</v>
      </c>
      <c r="B38" s="27">
        <v>68367.498</v>
      </c>
      <c r="C38" s="27">
        <v>28082.413188600003</v>
      </c>
      <c r="D38" s="27">
        <v>96449.9111886</v>
      </c>
      <c r="E38" s="27">
        <v>802</v>
      </c>
      <c r="G38" s="27">
        <f>SUM(G9:G37)</f>
        <v>68367.498</v>
      </c>
      <c r="H38" s="27">
        <f>SUM(H9:H37)</f>
        <v>28082.413188600003</v>
      </c>
      <c r="I38" s="27">
        <f>SUM(I9:I37)</f>
        <v>96449.9111886</v>
      </c>
      <c r="J38" s="27">
        <f>SUM(J9:J37)</f>
        <v>802</v>
      </c>
    </row>
    <row r="39" ht="13.5" thickTop="1"/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2021-06-15T18:53:53Z</cp:lastPrinted>
  <dcterms:created xsi:type="dcterms:W3CDTF">1998-02-23T20:58:01Z</dcterms:created>
  <dcterms:modified xsi:type="dcterms:W3CDTF">2023-02-28T18:56:27Z</dcterms:modified>
  <cp:category/>
  <cp:version/>
  <cp:contentType/>
  <cp:contentStatus/>
</cp:coreProperties>
</file>