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6300" windowHeight="4320" tabRatio="442" activeTab="0"/>
  </bookViews>
  <sheets>
    <sheet name="2003 A" sheetId="1" r:id="rId1"/>
    <sheet name="Academic Project" sheetId="2" r:id="rId2"/>
  </sheets>
  <definedNames>
    <definedName name="_xlnm.Print_Titles" localSheetId="0">'2003 A'!$A:$A</definedName>
    <definedName name="_xlnm.Print_Titles" localSheetId="1">'Academic Project'!$A:$A</definedName>
  </definedNames>
  <calcPr fullCalcOnLoad="1"/>
</workbook>
</file>

<file path=xl/sharedStrings.xml><?xml version="1.0" encoding="utf-8"?>
<sst xmlns="http://schemas.openxmlformats.org/spreadsheetml/2006/main" count="477" uniqueCount="76">
  <si>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</si>
  <si>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</si>
  <si>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</si>
  <si>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</si>
  <si>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</si>
  <si>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</si>
  <si>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</si>
  <si>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</si>
  <si>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Total Debt Services - 2003 Series A</t>
  </si>
  <si>
    <t xml:space="preserve">   1993 Series A Bonds Refinanced on 2003A</t>
  </si>
  <si>
    <t>2003 Series A Bond Funded Projects</t>
  </si>
  <si>
    <t xml:space="preserve">   1993 Series C Bonds Refinanced on 2003A</t>
  </si>
  <si>
    <t xml:space="preserve">   1995 Series A Bonds Refinanced on 2003A</t>
  </si>
  <si>
    <t xml:space="preserve">          Total New Money - 2003 Series A</t>
  </si>
  <si>
    <t xml:space="preserve">           Total Academic Projects - 2003A</t>
  </si>
  <si>
    <t xml:space="preserve">       UMCP Facilities Renewal (Academic)</t>
  </si>
  <si>
    <t xml:space="preserve">   UMCP Hornbake &amp; McKeldin Libr (Academic)</t>
  </si>
  <si>
    <t xml:space="preserve">    UMCP Performing Arts Center (Academic)</t>
  </si>
  <si>
    <t xml:space="preserve">  UMCP Steam Plant Improvement (Academic)</t>
  </si>
  <si>
    <t xml:space="preserve">        UMB Facilities Renewal (Academic)</t>
  </si>
  <si>
    <t xml:space="preserve">        UMB New Dental School (Academic)</t>
  </si>
  <si>
    <t xml:space="preserve">        UMB Howard Hall PH IV (Academic)</t>
  </si>
  <si>
    <t xml:space="preserve">     UMB School of Nursing Equip (Academic)</t>
  </si>
  <si>
    <t xml:space="preserve">  UMB School of Law: Marshall Libr (Academic)</t>
  </si>
  <si>
    <t xml:space="preserve">    UMB Emergency Fund Projects (Academic)</t>
  </si>
  <si>
    <t xml:space="preserve">       UMES Facilities Renewal (Academic)</t>
  </si>
  <si>
    <t xml:space="preserve">        UMES Utilities Upgrade (Academic)</t>
  </si>
  <si>
    <t xml:space="preserve"> UMES Social Sci/Education/Health (Academic)</t>
  </si>
  <si>
    <t xml:space="preserve">        UMBC Facilities Renewal (Academic)</t>
  </si>
  <si>
    <t xml:space="preserve"> UMBC Equip Information Tech Bldg (Academic)</t>
  </si>
  <si>
    <t xml:space="preserve">     UMCES Facilities Renewal (Academic)</t>
  </si>
  <si>
    <t xml:space="preserve">     UMCES Aquaculture Building (Academic)</t>
  </si>
  <si>
    <t xml:space="preserve">     UMCES Emergency Projects (Academic)</t>
  </si>
  <si>
    <t xml:space="preserve">         BSU Facilities Renewal (Academic)</t>
  </si>
  <si>
    <t xml:space="preserve">         BSU Emergency Projects (Academic)</t>
  </si>
  <si>
    <t xml:space="preserve">         CSC Facilities Renewal (Academic)</t>
  </si>
  <si>
    <t xml:space="preserve">         CSC Upgrade Utilities (Academic)</t>
  </si>
  <si>
    <t xml:space="preserve">   CSC Health/Human Service Bldg (Academic)</t>
  </si>
  <si>
    <t xml:space="preserve">         FSU Facilities Renewal (Academic)</t>
  </si>
  <si>
    <t>FSU Equip Compton Science Center (Academic)</t>
  </si>
  <si>
    <t xml:space="preserve">          SU Facilities Renewal (Academic)</t>
  </si>
  <si>
    <t xml:space="preserve">          SU Emergency Projects (Academic)</t>
  </si>
  <si>
    <t xml:space="preserve">          TU Facilities Renewal (Academic)</t>
  </si>
  <si>
    <t xml:space="preserve">        TU 7800 York Road Renov (Academic)</t>
  </si>
  <si>
    <t xml:space="preserve">          UB Facilities Renewal (Academic)</t>
  </si>
  <si>
    <t xml:space="preserve">           Total Auxiliary Projects - 2003A</t>
  </si>
  <si>
    <t xml:space="preserve">     UMCP Health Center Addition (Auxiliary)</t>
  </si>
  <si>
    <t>UMCP South Campus Parking Garage (Auxiliary)</t>
  </si>
  <si>
    <t xml:space="preserve">      UMCP Stamp Student Union (Auxiliary)</t>
  </si>
  <si>
    <t xml:space="preserve">      UMCP North Campus Parking (Auxiliary)</t>
  </si>
  <si>
    <t xml:space="preserve">        UMB Pine Street Annex (Auxiliary)</t>
  </si>
  <si>
    <t xml:space="preserve">        UMB New Campus Center  (Auxiliary)</t>
  </si>
  <si>
    <t xml:space="preserve">      UMB Saratoga Street Garage  (Auxiliary)</t>
  </si>
  <si>
    <t xml:space="preserve">       UMES Murphy Hall Annex  (Auxiliary)</t>
  </si>
  <si>
    <t xml:space="preserve">       UMES New Residence Hall  (Auxiliary)</t>
  </si>
  <si>
    <t xml:space="preserve">     UMES Student Service Center  (Auxiliary)</t>
  </si>
  <si>
    <t xml:space="preserve">       UMBC New Parking Lot  (Auxiliary)</t>
  </si>
  <si>
    <t xml:space="preserve">    UMBC Resident Hall Renovation  (Auxiliary)</t>
  </si>
  <si>
    <t xml:space="preserve">  UMBC Dining Hall: HVAC Upgrade  (Auxiliary)</t>
  </si>
  <si>
    <t xml:space="preserve">  UMBC New Recreation &amp; Athletic (Auxiliary)</t>
  </si>
  <si>
    <t xml:space="preserve">  UMBC Housing Central Utility Plant (Auxiliary)</t>
  </si>
  <si>
    <t xml:space="preserve">  UMUC Hotel Addition at Inn &amp; Conf (Auxiliary)</t>
  </si>
  <si>
    <t>USMO Land Acq/Shady Grove Parking(Auxiliary)</t>
  </si>
  <si>
    <t xml:space="preserve">              CSC New Dining Hall (Auxiliary)</t>
  </si>
  <si>
    <t xml:space="preserve">    TU Prettyman/Scarborough HVAC (Auxiliary)</t>
  </si>
  <si>
    <t xml:space="preserve">       TU Interim Fitness Center (Auxiliary)</t>
  </si>
  <si>
    <t xml:space="preserve">       TU 7800 York Road Garage (Auxiliary)</t>
  </si>
  <si>
    <t xml:space="preserve">          UB New Student Center (Auxiliary)</t>
  </si>
  <si>
    <t xml:space="preserve"> UMCP Engineering/Applied Sci Bldg (Academic)</t>
  </si>
  <si>
    <t xml:space="preserve">  USMO Shady Grove Parking Lot 2 (Auxiliary)</t>
  </si>
  <si>
    <t xml:space="preserve">       UMCP Chemical/Nuclear Eng (Academic)</t>
  </si>
  <si>
    <t xml:space="preserve">       USM Emergency Projects (Academic)</t>
  </si>
  <si>
    <t xml:space="preserve">   UMCP Queen Anne's Hall Renov (Auxiliary)</t>
  </si>
  <si>
    <t>Amort of</t>
  </si>
  <si>
    <t>Premium</t>
  </si>
  <si>
    <t>Loss on Refunding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</si>
</sst>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167" fontId="0" fillId="0" borderId="12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8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Q19" sqref="Q19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6" customWidth="1"/>
    <col min="7" max="7" width="16.28125" style="16" customWidth="1"/>
    <col min="8" max="8" width="3.7109375" style="15" customWidth="1"/>
    <col min="9" max="12" width="13.7109375" style="15" hidden="1" customWidth="1"/>
    <col min="13" max="13" width="16.140625" style="15" hidden="1" customWidth="1"/>
    <col min="14" max="14" width="3.7109375" style="15" hidden="1" customWidth="1"/>
    <col min="15" max="18" width="13.7109375" style="15" customWidth="1"/>
    <col min="19" max="19" width="15.8515625" style="15" customWidth="1"/>
    <col min="20" max="20" width="3.7109375" style="15" customWidth="1"/>
    <col min="21" max="24" width="13.7109375" style="15" customWidth="1"/>
    <col min="25" max="25" width="16.28125" style="15" customWidth="1"/>
    <col min="26" max="26" width="3.7109375" style="15" customWidth="1"/>
    <col min="27" max="30" width="13.7109375" style="15" customWidth="1"/>
    <col min="31" max="31" width="3.7109375" style="15" customWidth="1"/>
    <col min="32" max="35" width="13.7109375" style="15" customWidth="1"/>
    <col min="36" max="36" width="3.7109375" style="15" customWidth="1"/>
    <col min="37" max="40" width="13.7109375" style="0" customWidth="1"/>
    <col min="41" max="41" width="3.7109375" style="15" customWidth="1"/>
    <col min="42" max="45" width="13.7109375" style="0" customWidth="1"/>
    <col min="46" max="46" width="3.7109375" style="0" customWidth="1"/>
    <col min="47" max="50" width="13.7109375" style="0" customWidth="1"/>
    <col min="51" max="51" width="3.7109375" style="0" customWidth="1"/>
    <col min="52" max="55" width="13.7109375" style="0" customWidth="1"/>
    <col min="56" max="56" width="3.7109375" style="0" customWidth="1"/>
    <col min="57" max="60" width="13.7109375" style="0" customWidth="1"/>
    <col min="61" max="61" width="3.7109375" style="3" customWidth="1"/>
    <col min="62" max="65" width="13.7109375" style="3" customWidth="1"/>
    <col min="66" max="66" width="3.7109375" style="3" customWidth="1"/>
    <col min="67" max="70" width="13.7109375" style="3" customWidth="1"/>
    <col min="71" max="71" width="3.7109375" style="3" customWidth="1"/>
    <col min="72" max="75" width="13.7109375" style="3" customWidth="1"/>
    <col min="76" max="76" width="3.7109375" style="3" customWidth="1"/>
    <col min="77" max="80" width="13.7109375" style="3" customWidth="1"/>
    <col min="81" max="81" width="3.7109375" style="3" customWidth="1"/>
    <col min="82" max="85" width="13.7109375" style="3" customWidth="1"/>
    <col min="86" max="86" width="3.7109375" style="3" customWidth="1"/>
    <col min="87" max="90" width="13.7109375" style="3" customWidth="1"/>
    <col min="91" max="91" width="3.7109375" style="3" customWidth="1"/>
    <col min="92" max="95" width="13.7109375" style="3" customWidth="1"/>
    <col min="96" max="96" width="3.7109375" style="3" customWidth="1"/>
    <col min="97" max="100" width="13.7109375" style="3" customWidth="1"/>
    <col min="101" max="101" width="3.7109375" style="3" customWidth="1"/>
    <col min="102" max="105" width="13.7109375" style="3" customWidth="1"/>
    <col min="106" max="106" width="3.7109375" style="3" customWidth="1"/>
    <col min="107" max="110" width="13.7109375" style="3" customWidth="1"/>
    <col min="111" max="111" width="3.7109375" style="3" customWidth="1"/>
    <col min="112" max="115" width="13.7109375" style="3" customWidth="1"/>
    <col min="116" max="116" width="3.7109375" style="3" customWidth="1"/>
    <col min="117" max="120" width="13.7109375" style="3" customWidth="1"/>
    <col min="121" max="121" width="3.7109375" style="3" customWidth="1"/>
    <col min="122" max="125" width="13.7109375" style="3" customWidth="1"/>
    <col min="126" max="126" width="3.7109375" style="3" customWidth="1"/>
    <col min="127" max="130" width="13.7109375" style="3" customWidth="1"/>
    <col min="131" max="131" width="3.7109375" style="3" customWidth="1"/>
    <col min="132" max="135" width="13.7109375" style="3" customWidth="1"/>
    <col min="136" max="136" width="3.7109375" style="3" customWidth="1"/>
    <col min="137" max="140" width="13.7109375" style="3" customWidth="1"/>
    <col min="141" max="141" width="3.7109375" style="3" customWidth="1"/>
    <col min="142" max="145" width="13.7109375" style="3" customWidth="1"/>
    <col min="146" max="146" width="3.7109375" style="3" customWidth="1"/>
    <col min="147" max="150" width="13.7109375" style="3" customWidth="1"/>
    <col min="151" max="151" width="3.7109375" style="3" customWidth="1"/>
    <col min="152" max="155" width="13.7109375" style="3" customWidth="1"/>
    <col min="156" max="156" width="3.7109375" style="3" customWidth="1"/>
    <col min="157" max="160" width="13.7109375" style="3" customWidth="1"/>
    <col min="161" max="161" width="3.7109375" style="3" customWidth="1"/>
    <col min="162" max="165" width="13.7109375" style="3" customWidth="1"/>
  </cols>
  <sheetData>
    <row r="1" spans="1:162" ht="12.75">
      <c r="A1" s="24"/>
      <c r="B1" s="12"/>
      <c r="C1" s="23"/>
      <c r="D1" s="25"/>
      <c r="I1" s="25" t="s">
        <v>6</v>
      </c>
      <c r="AA1" s="25" t="s">
        <v>6</v>
      </c>
      <c r="AP1" s="25" t="s">
        <v>6</v>
      </c>
      <c r="BE1" s="25" t="s">
        <v>6</v>
      </c>
      <c r="BT1" s="25" t="s">
        <v>6</v>
      </c>
      <c r="CI1" s="25" t="s">
        <v>6</v>
      </c>
      <c r="CX1" s="25" t="s">
        <v>6</v>
      </c>
      <c r="DM1" s="25" t="s">
        <v>6</v>
      </c>
      <c r="EB1" s="25" t="s">
        <v>6</v>
      </c>
      <c r="EQ1" s="25" t="s">
        <v>6</v>
      </c>
      <c r="FF1" s="25" t="s">
        <v>6</v>
      </c>
    </row>
    <row r="2" spans="1:162" ht="12.75">
      <c r="A2" s="24"/>
      <c r="B2" s="12"/>
      <c r="C2" s="23"/>
      <c r="D2" s="25"/>
      <c r="I2" s="25" t="s">
        <v>5</v>
      </c>
      <c r="AA2" s="25" t="s">
        <v>5</v>
      </c>
      <c r="AP2" s="25" t="s">
        <v>5</v>
      </c>
      <c r="BE2" s="25" t="s">
        <v>5</v>
      </c>
      <c r="BT2" s="25" t="s">
        <v>5</v>
      </c>
      <c r="CI2" s="25" t="s">
        <v>5</v>
      </c>
      <c r="CX2" s="25" t="s">
        <v>5</v>
      </c>
      <c r="DM2" s="25" t="s">
        <v>5</v>
      </c>
      <c r="EB2" s="25" t="s">
        <v>5</v>
      </c>
      <c r="EQ2" s="25" t="s">
        <v>5</v>
      </c>
      <c r="FF2" s="25" t="s">
        <v>5</v>
      </c>
    </row>
    <row r="3" spans="1:162" ht="12.75">
      <c r="A3" s="24"/>
      <c r="B3" s="12"/>
      <c r="C3" s="23"/>
      <c r="D3" s="23"/>
      <c r="I3" s="25" t="s">
        <v>10</v>
      </c>
      <c r="AA3" s="25" t="s">
        <v>10</v>
      </c>
      <c r="AL3" s="1"/>
      <c r="AP3" s="25" t="s">
        <v>10</v>
      </c>
      <c r="BE3" s="25" t="s">
        <v>10</v>
      </c>
      <c r="BT3" s="25" t="s">
        <v>10</v>
      </c>
      <c r="CI3" s="25" t="s">
        <v>10</v>
      </c>
      <c r="CX3" s="25" t="s">
        <v>10</v>
      </c>
      <c r="DM3" s="25" t="s">
        <v>10</v>
      </c>
      <c r="EB3" s="25" t="s">
        <v>10</v>
      </c>
      <c r="EQ3" s="25" t="s">
        <v>10</v>
      </c>
      <c r="FF3" s="25" t="s">
        <v>10</v>
      </c>
    </row>
    <row r="4" spans="1:162" ht="12.75">
      <c r="A4" s="24"/>
      <c r="B4" s="12"/>
      <c r="C4" s="23"/>
      <c r="D4" s="25"/>
      <c r="FF4" s="4"/>
    </row>
    <row r="5" spans="1:165" ht="12.75">
      <c r="A5" s="5" t="s">
        <v>1</v>
      </c>
      <c r="C5" s="29" t="s">
        <v>8</v>
      </c>
      <c r="D5" s="30"/>
      <c r="E5" s="31"/>
      <c r="F5" s="21"/>
      <c r="G5" s="21"/>
      <c r="I5" s="17" t="s">
        <v>9</v>
      </c>
      <c r="J5" s="18"/>
      <c r="K5" s="19"/>
      <c r="L5" s="21"/>
      <c r="M5" s="21"/>
      <c r="O5" s="17" t="s">
        <v>11</v>
      </c>
      <c r="P5" s="18"/>
      <c r="Q5" s="19"/>
      <c r="R5" s="21"/>
      <c r="S5" s="21"/>
      <c r="U5" s="17" t="s">
        <v>12</v>
      </c>
      <c r="V5" s="18"/>
      <c r="W5" s="19"/>
      <c r="X5" s="21"/>
      <c r="Y5" s="21"/>
      <c r="AA5" s="17" t="s">
        <v>13</v>
      </c>
      <c r="AB5" s="18"/>
      <c r="AC5" s="19"/>
      <c r="AD5" s="21"/>
      <c r="AF5" s="17" t="s">
        <v>14</v>
      </c>
      <c r="AG5" s="18"/>
      <c r="AH5" s="19"/>
      <c r="AI5" s="21"/>
      <c r="AK5" s="17" t="s">
        <v>45</v>
      </c>
      <c r="AL5" s="18"/>
      <c r="AM5" s="19"/>
      <c r="AN5" s="21"/>
      <c r="AP5" s="6" t="s">
        <v>46</v>
      </c>
      <c r="AQ5" s="7"/>
      <c r="AR5" s="8"/>
      <c r="AS5" s="21"/>
      <c r="AU5" s="6" t="s">
        <v>72</v>
      </c>
      <c r="AV5" s="7"/>
      <c r="AW5" s="8"/>
      <c r="AX5" s="21"/>
      <c r="AZ5" s="6" t="s">
        <v>47</v>
      </c>
      <c r="BA5" s="7"/>
      <c r="BB5" s="8"/>
      <c r="BC5" s="21"/>
      <c r="BE5" s="6" t="s">
        <v>48</v>
      </c>
      <c r="BF5" s="7"/>
      <c r="BG5" s="8"/>
      <c r="BH5" s="21"/>
      <c r="BJ5" s="6" t="s">
        <v>49</v>
      </c>
      <c r="BK5" s="7"/>
      <c r="BL5" s="8"/>
      <c r="BM5" s="21"/>
      <c r="BO5" s="6" t="s">
        <v>50</v>
      </c>
      <c r="BP5" s="7"/>
      <c r="BQ5" s="8"/>
      <c r="BR5" s="21"/>
      <c r="BT5" s="6" t="s">
        <v>51</v>
      </c>
      <c r="BU5" s="7"/>
      <c r="BV5" s="8"/>
      <c r="BW5" s="21"/>
      <c r="BY5" s="6" t="s">
        <v>52</v>
      </c>
      <c r="BZ5" s="7"/>
      <c r="CA5" s="8"/>
      <c r="CB5" s="21"/>
      <c r="CD5" s="6" t="s">
        <v>53</v>
      </c>
      <c r="CE5" s="7"/>
      <c r="CF5" s="8"/>
      <c r="CG5" s="21"/>
      <c r="CI5" s="6" t="s">
        <v>54</v>
      </c>
      <c r="CJ5" s="7"/>
      <c r="CK5" s="8"/>
      <c r="CL5" s="21"/>
      <c r="CN5" s="6" t="s">
        <v>55</v>
      </c>
      <c r="CO5" s="7"/>
      <c r="CP5" s="8"/>
      <c r="CQ5" s="21"/>
      <c r="CS5" s="6" t="s">
        <v>56</v>
      </c>
      <c r="CT5" s="7"/>
      <c r="CU5" s="8"/>
      <c r="CV5" s="21"/>
      <c r="CX5" s="6" t="s">
        <v>57</v>
      </c>
      <c r="CY5" s="7"/>
      <c r="CZ5" s="8"/>
      <c r="DA5" s="21"/>
      <c r="DC5" s="6" t="s">
        <v>58</v>
      </c>
      <c r="DD5" s="7"/>
      <c r="DE5" s="8"/>
      <c r="DF5" s="21"/>
      <c r="DH5" s="6" t="s">
        <v>59</v>
      </c>
      <c r="DI5" s="7"/>
      <c r="DJ5" s="8"/>
      <c r="DK5" s="21"/>
      <c r="DM5" s="6" t="s">
        <v>60</v>
      </c>
      <c r="DN5" s="7"/>
      <c r="DO5" s="8"/>
      <c r="DP5" s="21"/>
      <c r="DR5" s="6" t="s">
        <v>61</v>
      </c>
      <c r="DS5" s="7"/>
      <c r="DT5" s="8"/>
      <c r="DU5" s="21"/>
      <c r="DW5" s="37" t="s">
        <v>69</v>
      </c>
      <c r="DX5" s="7"/>
      <c r="DY5" s="8"/>
      <c r="DZ5" s="21"/>
      <c r="EB5" s="37" t="s">
        <v>62</v>
      </c>
      <c r="EC5" s="7"/>
      <c r="ED5" s="8"/>
      <c r="EE5" s="21"/>
      <c r="EG5" s="37" t="s">
        <v>63</v>
      </c>
      <c r="EH5" s="7"/>
      <c r="EI5" s="8"/>
      <c r="EJ5" s="21"/>
      <c r="EL5" s="37" t="s">
        <v>64</v>
      </c>
      <c r="EM5" s="7"/>
      <c r="EN5" s="8"/>
      <c r="EO5" s="21"/>
      <c r="EQ5" s="37" t="s">
        <v>65</v>
      </c>
      <c r="ER5" s="7"/>
      <c r="ES5" s="8"/>
      <c r="ET5" s="21"/>
      <c r="EV5" s="37" t="s">
        <v>66</v>
      </c>
      <c r="EW5" s="7"/>
      <c r="EX5" s="8"/>
      <c r="EY5" s="21"/>
      <c r="FA5" s="37" t="s">
        <v>67</v>
      </c>
      <c r="FB5" s="7"/>
      <c r="FC5" s="8"/>
      <c r="FD5" s="21"/>
      <c r="FF5" s="37" t="s">
        <v>7</v>
      </c>
      <c r="FG5" s="7"/>
      <c r="FH5" s="8"/>
      <c r="FI5" s="21"/>
    </row>
    <row r="6" spans="1:165" s="1" customFormat="1" ht="12.75">
      <c r="A6" s="26" t="s">
        <v>2</v>
      </c>
      <c r="C6" s="20"/>
      <c r="D6" s="18"/>
      <c r="E6" s="19"/>
      <c r="F6" s="21" t="s">
        <v>73</v>
      </c>
      <c r="G6" s="21" t="s">
        <v>73</v>
      </c>
      <c r="H6" s="15"/>
      <c r="I6" s="20"/>
      <c r="J6" s="18"/>
      <c r="K6" s="19"/>
      <c r="L6" s="21" t="s">
        <v>73</v>
      </c>
      <c r="M6" s="21" t="s">
        <v>73</v>
      </c>
      <c r="N6" s="15"/>
      <c r="O6" s="20"/>
      <c r="P6" s="18"/>
      <c r="Q6" s="19"/>
      <c r="R6" s="21" t="s">
        <v>73</v>
      </c>
      <c r="S6" s="21" t="s">
        <v>73</v>
      </c>
      <c r="T6" s="15"/>
      <c r="U6" s="20"/>
      <c r="V6" s="18"/>
      <c r="W6" s="19"/>
      <c r="X6" s="21" t="s">
        <v>73</v>
      </c>
      <c r="Y6" s="21" t="s">
        <v>73</v>
      </c>
      <c r="Z6" s="15"/>
      <c r="AA6" s="20"/>
      <c r="AB6" s="38"/>
      <c r="AC6" s="19"/>
      <c r="AD6" s="21" t="s">
        <v>73</v>
      </c>
      <c r="AE6" s="15"/>
      <c r="AF6" s="20"/>
      <c r="AG6" s="42">
        <v>0.5428259</v>
      </c>
      <c r="AH6" s="19"/>
      <c r="AI6" s="21" t="s">
        <v>73</v>
      </c>
      <c r="AJ6" s="15"/>
      <c r="AK6" s="20"/>
      <c r="AL6" s="36">
        <f>AQ6+AV6+BA6+BF6+BK6+BP6+BU6+BZ6+CE6+CJ6+CO6+CT6+CY6+DD6+DI6+DN6+DS6+DX6+EC6+EH6+EM6+ER6+EW6+FB6</f>
        <v>0.4571741000000001</v>
      </c>
      <c r="AM6" s="19"/>
      <c r="AN6" s="21" t="s">
        <v>73</v>
      </c>
      <c r="AO6" s="15"/>
      <c r="AP6" s="27"/>
      <c r="AQ6" s="14">
        <v>0.081724</v>
      </c>
      <c r="AR6" s="28"/>
      <c r="AS6" s="21" t="s">
        <v>73</v>
      </c>
      <c r="AU6" s="27"/>
      <c r="AV6" s="14">
        <v>0.0595646</v>
      </c>
      <c r="AW6" s="28"/>
      <c r="AX6" s="21" t="s">
        <v>73</v>
      </c>
      <c r="AZ6" s="27"/>
      <c r="BA6" s="14">
        <v>0.0315804</v>
      </c>
      <c r="BB6" s="28"/>
      <c r="BC6" s="21" t="s">
        <v>73</v>
      </c>
      <c r="BE6" s="27"/>
      <c r="BF6" s="14">
        <v>0.022968</v>
      </c>
      <c r="BG6" s="28"/>
      <c r="BH6" s="21" t="s">
        <v>73</v>
      </c>
      <c r="BJ6" s="27"/>
      <c r="BK6" s="14">
        <v>0.0026309</v>
      </c>
      <c r="BL6" s="28"/>
      <c r="BM6" s="21" t="s">
        <v>73</v>
      </c>
      <c r="BO6" s="27"/>
      <c r="BP6" s="14">
        <v>0.0416229</v>
      </c>
      <c r="BQ6" s="28"/>
      <c r="BR6" s="21" t="s">
        <v>73</v>
      </c>
      <c r="BT6" s="27"/>
      <c r="BU6" s="14">
        <v>0.0045121</v>
      </c>
      <c r="BV6" s="28"/>
      <c r="BW6" s="21" t="s">
        <v>73</v>
      </c>
      <c r="BY6" s="27"/>
      <c r="BZ6" s="14">
        <v>0.0141147</v>
      </c>
      <c r="CA6" s="28"/>
      <c r="CB6" s="21" t="s">
        <v>73</v>
      </c>
      <c r="CD6" s="27"/>
      <c r="CE6" s="14">
        <v>0.0071579</v>
      </c>
      <c r="CF6" s="28"/>
      <c r="CG6" s="21" t="s">
        <v>73</v>
      </c>
      <c r="CI6" s="27"/>
      <c r="CJ6" s="14">
        <v>0.0013901</v>
      </c>
      <c r="CK6" s="28"/>
      <c r="CL6" s="21" t="s">
        <v>73</v>
      </c>
      <c r="CN6" s="27"/>
      <c r="CO6" s="14">
        <v>0.0055234</v>
      </c>
      <c r="CP6" s="28"/>
      <c r="CQ6" s="21" t="s">
        <v>73</v>
      </c>
      <c r="CS6" s="27"/>
      <c r="CT6" s="14">
        <v>0.0134713</v>
      </c>
      <c r="CU6" s="28"/>
      <c r="CV6" s="21" t="s">
        <v>73</v>
      </c>
      <c r="CX6" s="27"/>
      <c r="CY6" s="14">
        <v>0.0301524</v>
      </c>
      <c r="CZ6" s="28"/>
      <c r="DA6" s="21" t="s">
        <v>73</v>
      </c>
      <c r="DC6" s="27"/>
      <c r="DD6" s="14">
        <v>0.0045619</v>
      </c>
      <c r="DE6" s="28"/>
      <c r="DF6" s="21" t="s">
        <v>73</v>
      </c>
      <c r="DH6" s="27"/>
      <c r="DI6" s="14">
        <v>0.0131079</v>
      </c>
      <c r="DJ6" s="28"/>
      <c r="DK6" s="21" t="s">
        <v>73</v>
      </c>
      <c r="DM6" s="27"/>
      <c r="DN6" s="14">
        <v>0.0005051</v>
      </c>
      <c r="DO6" s="28"/>
      <c r="DP6" s="21" t="s">
        <v>73</v>
      </c>
      <c r="DR6" s="27"/>
      <c r="DS6" s="14">
        <v>0.0276518</v>
      </c>
      <c r="DT6" s="28"/>
      <c r="DU6" s="21" t="s">
        <v>73</v>
      </c>
      <c r="DW6" s="27"/>
      <c r="DX6" s="14">
        <v>0.0043534</v>
      </c>
      <c r="DY6" s="28"/>
      <c r="DZ6" s="21" t="s">
        <v>73</v>
      </c>
      <c r="EB6" s="27"/>
      <c r="EC6" s="14">
        <v>0.0224029</v>
      </c>
      <c r="ED6" s="28"/>
      <c r="EE6" s="21" t="s">
        <v>73</v>
      </c>
      <c r="EG6" s="27"/>
      <c r="EH6" s="14">
        <v>0.0063958</v>
      </c>
      <c r="EI6" s="28"/>
      <c r="EJ6" s="21" t="s">
        <v>73</v>
      </c>
      <c r="EL6" s="27"/>
      <c r="EM6" s="14">
        <v>6.42E-05</v>
      </c>
      <c r="EN6" s="28"/>
      <c r="EO6" s="21" t="s">
        <v>73</v>
      </c>
      <c r="EQ6" s="27"/>
      <c r="ER6" s="14">
        <v>0.0001192</v>
      </c>
      <c r="ES6" s="28"/>
      <c r="ET6" s="21" t="s">
        <v>73</v>
      </c>
      <c r="EV6" s="27"/>
      <c r="EW6" s="14">
        <v>0.0215476</v>
      </c>
      <c r="EX6" s="28"/>
      <c r="EY6" s="21" t="s">
        <v>73</v>
      </c>
      <c r="FA6" s="27"/>
      <c r="FB6" s="14">
        <v>0.0400516</v>
      </c>
      <c r="FC6" s="28"/>
      <c r="FD6" s="21" t="s">
        <v>73</v>
      </c>
      <c r="FF6" s="27"/>
      <c r="FG6" s="14"/>
      <c r="FH6" s="28"/>
      <c r="FI6" s="21" t="s">
        <v>73</v>
      </c>
    </row>
    <row r="7" spans="1:165" ht="12.75">
      <c r="A7" s="9"/>
      <c r="C7" s="21" t="s">
        <v>3</v>
      </c>
      <c r="D7" s="21" t="s">
        <v>4</v>
      </c>
      <c r="E7" s="21" t="s">
        <v>0</v>
      </c>
      <c r="F7" s="21" t="s">
        <v>74</v>
      </c>
      <c r="G7" s="21" t="s">
        <v>75</v>
      </c>
      <c r="I7" s="21" t="s">
        <v>3</v>
      </c>
      <c r="J7" s="21" t="s">
        <v>4</v>
      </c>
      <c r="K7" s="21" t="s">
        <v>0</v>
      </c>
      <c r="L7" s="21" t="s">
        <v>74</v>
      </c>
      <c r="M7" s="21" t="s">
        <v>75</v>
      </c>
      <c r="O7" s="21" t="s">
        <v>3</v>
      </c>
      <c r="P7" s="21" t="s">
        <v>4</v>
      </c>
      <c r="Q7" s="21" t="s">
        <v>0</v>
      </c>
      <c r="R7" s="21" t="s">
        <v>74</v>
      </c>
      <c r="S7" s="21" t="s">
        <v>75</v>
      </c>
      <c r="U7" s="21" t="s">
        <v>3</v>
      </c>
      <c r="V7" s="21" t="s">
        <v>4</v>
      </c>
      <c r="W7" s="21" t="s">
        <v>0</v>
      </c>
      <c r="X7" s="21" t="s">
        <v>74</v>
      </c>
      <c r="Y7" s="21" t="s">
        <v>75</v>
      </c>
      <c r="AA7" s="21" t="s">
        <v>3</v>
      </c>
      <c r="AB7" s="21" t="s">
        <v>4</v>
      </c>
      <c r="AC7" s="21" t="s">
        <v>0</v>
      </c>
      <c r="AD7" s="21" t="s">
        <v>74</v>
      </c>
      <c r="AF7" s="21" t="s">
        <v>3</v>
      </c>
      <c r="AG7" s="21" t="s">
        <v>4</v>
      </c>
      <c r="AH7" s="21" t="s">
        <v>0</v>
      </c>
      <c r="AI7" s="21" t="s">
        <v>74</v>
      </c>
      <c r="AK7" s="21" t="s">
        <v>3</v>
      </c>
      <c r="AL7" s="21" t="s">
        <v>4</v>
      </c>
      <c r="AM7" s="21" t="s">
        <v>0</v>
      </c>
      <c r="AN7" s="21" t="s">
        <v>74</v>
      </c>
      <c r="AP7" s="10" t="s">
        <v>3</v>
      </c>
      <c r="AQ7" s="10" t="s">
        <v>4</v>
      </c>
      <c r="AR7" s="10" t="s">
        <v>0</v>
      </c>
      <c r="AS7" s="21" t="s">
        <v>74</v>
      </c>
      <c r="AU7" s="10" t="s">
        <v>3</v>
      </c>
      <c r="AV7" s="10" t="s">
        <v>4</v>
      </c>
      <c r="AW7" s="10" t="s">
        <v>0</v>
      </c>
      <c r="AX7" s="21" t="s">
        <v>74</v>
      </c>
      <c r="AZ7" s="10" t="s">
        <v>3</v>
      </c>
      <c r="BA7" s="10" t="s">
        <v>4</v>
      </c>
      <c r="BB7" s="10" t="s">
        <v>0</v>
      </c>
      <c r="BC7" s="21" t="s">
        <v>74</v>
      </c>
      <c r="BE7" s="10" t="s">
        <v>3</v>
      </c>
      <c r="BF7" s="10" t="s">
        <v>4</v>
      </c>
      <c r="BG7" s="10" t="s">
        <v>0</v>
      </c>
      <c r="BH7" s="21" t="s">
        <v>74</v>
      </c>
      <c r="BJ7" s="10" t="s">
        <v>3</v>
      </c>
      <c r="BK7" s="10" t="s">
        <v>4</v>
      </c>
      <c r="BL7" s="10" t="s">
        <v>0</v>
      </c>
      <c r="BM7" s="21" t="s">
        <v>74</v>
      </c>
      <c r="BO7" s="10" t="s">
        <v>3</v>
      </c>
      <c r="BP7" s="10" t="s">
        <v>4</v>
      </c>
      <c r="BQ7" s="10" t="s">
        <v>0</v>
      </c>
      <c r="BR7" s="21" t="s">
        <v>74</v>
      </c>
      <c r="BT7" s="10" t="s">
        <v>3</v>
      </c>
      <c r="BU7" s="10" t="s">
        <v>4</v>
      </c>
      <c r="BV7" s="10" t="s">
        <v>0</v>
      </c>
      <c r="BW7" s="21" t="s">
        <v>74</v>
      </c>
      <c r="BY7" s="10" t="s">
        <v>3</v>
      </c>
      <c r="BZ7" s="10" t="s">
        <v>4</v>
      </c>
      <c r="CA7" s="10" t="s">
        <v>0</v>
      </c>
      <c r="CB7" s="21" t="s">
        <v>74</v>
      </c>
      <c r="CD7" s="10" t="s">
        <v>3</v>
      </c>
      <c r="CE7" s="10" t="s">
        <v>4</v>
      </c>
      <c r="CF7" s="10" t="s">
        <v>0</v>
      </c>
      <c r="CG7" s="21" t="s">
        <v>74</v>
      </c>
      <c r="CI7" s="10" t="s">
        <v>3</v>
      </c>
      <c r="CJ7" s="10" t="s">
        <v>4</v>
      </c>
      <c r="CK7" s="10" t="s">
        <v>0</v>
      </c>
      <c r="CL7" s="21" t="s">
        <v>74</v>
      </c>
      <c r="CN7" s="10" t="s">
        <v>3</v>
      </c>
      <c r="CO7" s="10" t="s">
        <v>4</v>
      </c>
      <c r="CP7" s="10" t="s">
        <v>0</v>
      </c>
      <c r="CQ7" s="21" t="s">
        <v>74</v>
      </c>
      <c r="CS7" s="10" t="s">
        <v>3</v>
      </c>
      <c r="CT7" s="10" t="s">
        <v>4</v>
      </c>
      <c r="CU7" s="10" t="s">
        <v>0</v>
      </c>
      <c r="CV7" s="21" t="s">
        <v>74</v>
      </c>
      <c r="CX7" s="10" t="s">
        <v>3</v>
      </c>
      <c r="CY7" s="10" t="s">
        <v>4</v>
      </c>
      <c r="CZ7" s="10" t="s">
        <v>0</v>
      </c>
      <c r="DA7" s="21" t="s">
        <v>74</v>
      </c>
      <c r="DC7" s="10" t="s">
        <v>3</v>
      </c>
      <c r="DD7" s="10" t="s">
        <v>4</v>
      </c>
      <c r="DE7" s="10" t="s">
        <v>0</v>
      </c>
      <c r="DF7" s="21" t="s">
        <v>74</v>
      </c>
      <c r="DH7" s="10" t="s">
        <v>3</v>
      </c>
      <c r="DI7" s="10" t="s">
        <v>4</v>
      </c>
      <c r="DJ7" s="10" t="s">
        <v>0</v>
      </c>
      <c r="DK7" s="21" t="s">
        <v>74</v>
      </c>
      <c r="DM7" s="10" t="s">
        <v>3</v>
      </c>
      <c r="DN7" s="10" t="s">
        <v>4</v>
      </c>
      <c r="DO7" s="10" t="s">
        <v>0</v>
      </c>
      <c r="DP7" s="21" t="s">
        <v>74</v>
      </c>
      <c r="DR7" s="10" t="s">
        <v>3</v>
      </c>
      <c r="DS7" s="10" t="s">
        <v>4</v>
      </c>
      <c r="DT7" s="10" t="s">
        <v>0</v>
      </c>
      <c r="DU7" s="21" t="s">
        <v>74</v>
      </c>
      <c r="DW7" s="10" t="s">
        <v>3</v>
      </c>
      <c r="DX7" s="10" t="s">
        <v>4</v>
      </c>
      <c r="DY7" s="10" t="s">
        <v>0</v>
      </c>
      <c r="DZ7" s="21" t="s">
        <v>74</v>
      </c>
      <c r="EB7" s="10" t="s">
        <v>3</v>
      </c>
      <c r="EC7" s="10" t="s">
        <v>4</v>
      </c>
      <c r="ED7" s="10" t="s">
        <v>0</v>
      </c>
      <c r="EE7" s="21" t="s">
        <v>74</v>
      </c>
      <c r="EG7" s="10" t="s">
        <v>3</v>
      </c>
      <c r="EH7" s="10" t="s">
        <v>4</v>
      </c>
      <c r="EI7" s="10" t="s">
        <v>0</v>
      </c>
      <c r="EJ7" s="21" t="s">
        <v>74</v>
      </c>
      <c r="EL7" s="10" t="s">
        <v>3</v>
      </c>
      <c r="EM7" s="10" t="s">
        <v>4</v>
      </c>
      <c r="EN7" s="10" t="s">
        <v>0</v>
      </c>
      <c r="EO7" s="21" t="s">
        <v>74</v>
      </c>
      <c r="EQ7" s="10" t="s">
        <v>3</v>
      </c>
      <c r="ER7" s="10" t="s">
        <v>4</v>
      </c>
      <c r="ES7" s="10" t="s">
        <v>0</v>
      </c>
      <c r="ET7" s="21" t="s">
        <v>74</v>
      </c>
      <c r="EV7" s="10" t="s">
        <v>3</v>
      </c>
      <c r="EW7" s="10" t="s">
        <v>4</v>
      </c>
      <c r="EX7" s="10" t="s">
        <v>0</v>
      </c>
      <c r="EY7" s="21" t="s">
        <v>74</v>
      </c>
      <c r="FA7" s="10" t="s">
        <v>3</v>
      </c>
      <c r="FB7" s="10" t="s">
        <v>4</v>
      </c>
      <c r="FC7" s="10" t="s">
        <v>0</v>
      </c>
      <c r="FD7" s="21" t="s">
        <v>74</v>
      </c>
      <c r="FF7" s="10" t="s">
        <v>3</v>
      </c>
      <c r="FG7" s="10" t="s">
        <v>4</v>
      </c>
      <c r="FH7" s="10" t="s">
        <v>0</v>
      </c>
      <c r="FI7" s="21" t="s">
        <v>74</v>
      </c>
    </row>
    <row r="8" spans="1:165" ht="12.75">
      <c r="A8" s="2">
        <v>39722</v>
      </c>
      <c r="D8" s="16">
        <v>3368391</v>
      </c>
      <c r="E8" s="16">
        <f aca="true" t="shared" si="0" ref="E8:E39">C8+D8</f>
        <v>3368391</v>
      </c>
      <c r="F8" s="16">
        <f>L8+R8+X8+AD8</f>
        <v>1119849</v>
      </c>
      <c r="G8" s="16">
        <f>M8+S8+Y8</f>
        <v>275437</v>
      </c>
      <c r="I8" s="16"/>
      <c r="J8" s="16"/>
      <c r="K8" s="16"/>
      <c r="L8" s="16"/>
      <c r="M8" s="16"/>
      <c r="P8" s="15">
        <v>743875</v>
      </c>
      <c r="Q8" s="15">
        <f aca="true" t="shared" si="1" ref="Q8:Q15">O8+P8</f>
        <v>743875</v>
      </c>
      <c r="R8" s="15">
        <v>784759</v>
      </c>
      <c r="S8" s="15">
        <v>174708</v>
      </c>
      <c r="V8" s="15">
        <v>699250</v>
      </c>
      <c r="W8" s="15">
        <f aca="true" t="shared" si="2" ref="W8:W23">U8+V8</f>
        <v>699250</v>
      </c>
      <c r="X8" s="15">
        <v>133485</v>
      </c>
      <c r="Y8" s="15">
        <v>100729</v>
      </c>
      <c r="AA8" s="16"/>
      <c r="AB8" s="16">
        <v>1925266</v>
      </c>
      <c r="AC8" s="16">
        <f aca="true" t="shared" si="3" ref="AC8:AC39">AA8+AB8</f>
        <v>1925266</v>
      </c>
      <c r="AD8" s="16">
        <f>AI8+AN8</f>
        <v>201605</v>
      </c>
      <c r="AF8" s="33"/>
      <c r="AG8" s="33">
        <v>1045084</v>
      </c>
      <c r="AH8" s="33">
        <f aca="true" t="shared" si="4" ref="AH8:AH39">AF8+AG8</f>
        <v>1045084</v>
      </c>
      <c r="AI8" s="33">
        <v>109392</v>
      </c>
      <c r="AK8" s="15">
        <f aca="true" t="shared" si="5" ref="AK8:AK39">AP8+AU8+AZ8+BE8+BJ8+BO8+BT8+BY8+CD8+CI8+CN8+CS8+CX8+DC8+DH8+DM8+DR8+DW8+EB8+EG8+EL8+EQ8+EV8+FA8</f>
        <v>0</v>
      </c>
      <c r="AL8" s="22">
        <f aca="true" t="shared" si="6" ref="AL8:AL39">AQ8+AV8+BA8+BF8+BK8+BP8+BU8+BZ8+CE8+CJ8+CO8+CT8+CY8+DD8+DI8+DN8+DS8+DX8+EC8+EH8+EM8+ER8+EW8+FB8</f>
        <v>880181.7508106001</v>
      </c>
      <c r="AM8" s="15">
        <f aca="true" t="shared" si="7" ref="AM8:AM39">AK8+AL8</f>
        <v>880181.7508106001</v>
      </c>
      <c r="AN8" s="15">
        <f>AS8+AX8+BC8+BH8+BM8+BR8+BW8+CB8+CG8+CL8+CQ8+CV8+DA8+DF8+DK8+DP8+DU8+DZ8+EE8+EJ8+EO8+ET8+EY8+FD8+FI8</f>
        <v>92213</v>
      </c>
      <c r="AP8" s="15"/>
      <c r="AQ8" s="16">
        <f aca="true" t="shared" si="8" ref="AQ8:AQ39">AB8*8.1724/100</f>
        <v>157340.438584</v>
      </c>
      <c r="AR8" s="15">
        <f aca="true" t="shared" si="9" ref="AR8:AR39">AP8+AQ8</f>
        <v>157340.438584</v>
      </c>
      <c r="AS8" s="15">
        <v>16469</v>
      </c>
      <c r="AU8" s="15"/>
      <c r="AV8" s="15">
        <f aca="true" t="shared" si="10" ref="AV8:AV39">AB8*5.95646/100</f>
        <v>114677.69918360001</v>
      </c>
      <c r="AW8" s="15">
        <f aca="true" t="shared" si="11" ref="AW8:AW39">AU8+AV8</f>
        <v>114677.69918360001</v>
      </c>
      <c r="AX8" s="15">
        <v>12004</v>
      </c>
      <c r="AZ8" s="15"/>
      <c r="BA8" s="15">
        <f aca="true" t="shared" si="12" ref="BA8:BA39">AB8*3.15804/100</f>
        <v>60800.6703864</v>
      </c>
      <c r="BB8" s="15">
        <f aca="true" t="shared" si="13" ref="BB8:BB39">AZ8+BA8</f>
        <v>60800.6703864</v>
      </c>
      <c r="BC8" s="15">
        <v>6364</v>
      </c>
      <c r="BE8" s="3"/>
      <c r="BF8" s="3">
        <f aca="true" t="shared" si="14" ref="BF8:BF39">AB8*2.2968/100</f>
        <v>44219.509488</v>
      </c>
      <c r="BG8" s="3">
        <f aca="true" t="shared" si="15" ref="BG8:BG39">BE8+BF8</f>
        <v>44219.509488</v>
      </c>
      <c r="BH8" s="3">
        <v>4713</v>
      </c>
      <c r="BI8" s="15"/>
      <c r="BJ8" s="15"/>
      <c r="BK8" s="15">
        <f aca="true" t="shared" si="16" ref="BK8:BK39">AB8*0.26309/100</f>
        <v>5065.1823194</v>
      </c>
      <c r="BL8" s="15">
        <f aca="true" t="shared" si="17" ref="BL8:BL39">BJ8+BK8</f>
        <v>5065.1823194</v>
      </c>
      <c r="BM8" s="15">
        <v>530</v>
      </c>
      <c r="BN8" s="15"/>
      <c r="BO8" s="15"/>
      <c r="BP8" s="15">
        <f aca="true" t="shared" si="18" ref="BP8:BP39">AB8*4.16229/100</f>
        <v>80135.15419139998</v>
      </c>
      <c r="BQ8" s="15">
        <f aca="true" t="shared" si="19" ref="BQ8:BQ39">BO8+BP8</f>
        <v>80135.15419139998</v>
      </c>
      <c r="BR8" s="15">
        <v>8388</v>
      </c>
      <c r="BS8" s="15"/>
      <c r="BT8" s="15"/>
      <c r="BU8" s="15">
        <f aca="true" t="shared" si="20" ref="BU8:BU39">AB8*0.45121/100</f>
        <v>8686.9927186</v>
      </c>
      <c r="BV8" s="15">
        <f aca="true" t="shared" si="21" ref="BV8:BV39">BT8+BU8</f>
        <v>8686.9927186</v>
      </c>
      <c r="BW8" s="15">
        <v>909</v>
      </c>
      <c r="BX8" s="15"/>
      <c r="BY8" s="15"/>
      <c r="BZ8" s="15">
        <f aca="true" t="shared" si="22" ref="BZ8:BZ39">AB8*1.41147/100</f>
        <v>27174.5520102</v>
      </c>
      <c r="CA8" s="15">
        <f aca="true" t="shared" si="23" ref="CA8:CA39">BY8+BZ8</f>
        <v>27174.5520102</v>
      </c>
      <c r="CB8" s="15">
        <v>2844</v>
      </c>
      <c r="CC8" s="15"/>
      <c r="CD8" s="15"/>
      <c r="CE8" s="15">
        <f aca="true" t="shared" si="24" ref="CE8:CE39">AB8*0.71579/100</f>
        <v>13780.8615014</v>
      </c>
      <c r="CF8" s="15">
        <f aca="true" t="shared" si="25" ref="CF8:CF39">CD8+CE8</f>
        <v>13780.8615014</v>
      </c>
      <c r="CG8" s="15">
        <v>1442</v>
      </c>
      <c r="CH8" s="15"/>
      <c r="CI8" s="15"/>
      <c r="CJ8" s="15">
        <f aca="true" t="shared" si="26" ref="CJ8:CJ39">AB8*0.13901/100</f>
        <v>2676.3122666</v>
      </c>
      <c r="CK8" s="15">
        <f aca="true" t="shared" si="27" ref="CK8:CK39">CI8+CJ8</f>
        <v>2676.3122666</v>
      </c>
      <c r="CL8" s="15">
        <v>280</v>
      </c>
      <c r="CM8" s="15"/>
      <c r="CN8" s="15"/>
      <c r="CO8" s="15">
        <f aca="true" t="shared" si="28" ref="CO8:CO39">AB8*0.55234/100</f>
        <v>10634.014224400002</v>
      </c>
      <c r="CP8" s="15">
        <f aca="true" t="shared" si="29" ref="CP8:CP39">CN8+CO8</f>
        <v>10634.014224400002</v>
      </c>
      <c r="CQ8" s="15">
        <v>1113</v>
      </c>
      <c r="CR8" s="15"/>
      <c r="CS8" s="15"/>
      <c r="CT8" s="15">
        <f aca="true" t="shared" si="30" ref="CT8:CT39">AB8*1.34713/100</f>
        <v>25935.8358658</v>
      </c>
      <c r="CU8" s="15">
        <f aca="true" t="shared" si="31" ref="CU8:CU39">CS8+CT8</f>
        <v>25935.8358658</v>
      </c>
      <c r="CV8" s="15">
        <v>2715</v>
      </c>
      <c r="CW8" s="15"/>
      <c r="CX8" s="15"/>
      <c r="CY8" s="15">
        <f aca="true" t="shared" si="32" ref="CY8:CY39">AB8*3.01524/100</f>
        <v>58051.3905384</v>
      </c>
      <c r="CZ8" s="15">
        <f aca="true" t="shared" si="33" ref="CZ8:CZ39">CX8+CY8</f>
        <v>58051.3905384</v>
      </c>
      <c r="DA8" s="15">
        <v>6076</v>
      </c>
      <c r="DB8" s="15"/>
      <c r="DC8" s="15"/>
      <c r="DD8" s="15">
        <f aca="true" t="shared" si="34" ref="DD8:DD39">AB8*0.45619/100</f>
        <v>8782.8709654</v>
      </c>
      <c r="DE8" s="15">
        <f aca="true" t="shared" si="35" ref="DE8:DE39">DC8+DD8</f>
        <v>8782.8709654</v>
      </c>
      <c r="DF8" s="15">
        <v>919</v>
      </c>
      <c r="DG8" s="15"/>
      <c r="DH8" s="15"/>
      <c r="DI8" s="15">
        <f aca="true" t="shared" si="36" ref="DI8:DI39">AB8*1.31079/100</f>
        <v>25236.194201399994</v>
      </c>
      <c r="DJ8" s="15">
        <f aca="true" t="shared" si="37" ref="DJ8:DJ39">DH8+DI8</f>
        <v>25236.194201399994</v>
      </c>
      <c r="DK8" s="15">
        <v>2642</v>
      </c>
      <c r="DL8" s="15"/>
      <c r="DM8" s="15"/>
      <c r="DN8" s="15">
        <f aca="true" t="shared" si="38" ref="DN8:DN39">AB8*0.05051/100</f>
        <v>972.4518566</v>
      </c>
      <c r="DO8" s="15">
        <f aca="true" t="shared" si="39" ref="DO8:DO39">DM8+DN8</f>
        <v>972.4518566</v>
      </c>
      <c r="DP8" s="15">
        <v>102</v>
      </c>
      <c r="DQ8" s="15"/>
      <c r="DR8" s="15"/>
      <c r="DS8" s="15">
        <f aca="true" t="shared" si="40" ref="DS8:DS39">AB8*2.76518/100</f>
        <v>53237.070378799996</v>
      </c>
      <c r="DT8" s="15">
        <f aca="true" t="shared" si="41" ref="DT8:DT39">DR8+DS8</f>
        <v>53237.070378799996</v>
      </c>
      <c r="DU8" s="15">
        <v>5572</v>
      </c>
      <c r="DV8" s="15"/>
      <c r="DW8" s="15"/>
      <c r="DX8" s="15">
        <f aca="true" t="shared" si="42" ref="DX8:DX39">AB8*0.43534/100</f>
        <v>8381.4530044</v>
      </c>
      <c r="DY8" s="15">
        <f aca="true" t="shared" si="43" ref="DY8:DY39">DW8+DX8</f>
        <v>8381.4530044</v>
      </c>
      <c r="DZ8" s="15">
        <v>877</v>
      </c>
      <c r="EA8" s="15"/>
      <c r="EB8" s="15"/>
      <c r="EC8" s="15">
        <f aca="true" t="shared" si="44" ref="EC8:EC39">AB8*2.24029/100</f>
        <v>43131.541671399995</v>
      </c>
      <c r="ED8" s="15">
        <f aca="true" t="shared" si="45" ref="ED8:ED39">EB8+EC8</f>
        <v>43131.541671399995</v>
      </c>
      <c r="EE8" s="15">
        <v>4515</v>
      </c>
      <c r="EF8" s="15"/>
      <c r="EG8" s="15"/>
      <c r="EH8" s="15">
        <f aca="true" t="shared" si="46" ref="EH8:EH39">AB8*0.63958/100</f>
        <v>12313.616282800001</v>
      </c>
      <c r="EI8" s="15">
        <f aca="true" t="shared" si="47" ref="EI8:EI39">EG8+EH8</f>
        <v>12313.616282800001</v>
      </c>
      <c r="EJ8" s="15">
        <v>1289</v>
      </c>
      <c r="EK8" s="15"/>
      <c r="EL8" s="15"/>
      <c r="EM8" s="15">
        <f aca="true" t="shared" si="48" ref="EM8:EM39">AB8*0.00642/100</f>
        <v>123.6020772</v>
      </c>
      <c r="EN8" s="15">
        <f aca="true" t="shared" si="49" ref="EN8:EN39">EL8+EM8</f>
        <v>123.6020772</v>
      </c>
      <c r="EO8" s="15">
        <v>13</v>
      </c>
      <c r="EP8" s="15"/>
      <c r="EQ8" s="15"/>
      <c r="ER8" s="15">
        <f aca="true" t="shared" si="50" ref="ER8:ER39">AB8*0.01192/100</f>
        <v>229.4917072</v>
      </c>
      <c r="ES8" s="15">
        <f aca="true" t="shared" si="51" ref="ES8:ES39">EQ8+ER8</f>
        <v>229.4917072</v>
      </c>
      <c r="ET8" s="15">
        <v>24</v>
      </c>
      <c r="EU8" s="15"/>
      <c r="EV8" s="15"/>
      <c r="EW8" s="15">
        <f aca="true" t="shared" si="52" ref="EW8:EW39">AB8*2.15476/100</f>
        <v>41484.8616616</v>
      </c>
      <c r="EX8" s="15">
        <f aca="true" t="shared" si="53" ref="EX8:EX39">EV8+EW8</f>
        <v>41484.8616616</v>
      </c>
      <c r="EY8" s="15">
        <v>4342</v>
      </c>
      <c r="EZ8" s="15"/>
      <c r="FA8" s="15"/>
      <c r="FB8" s="15">
        <f aca="true" t="shared" si="54" ref="FB8:FB39">AB8*4.00516/100</f>
        <v>77109.9837256</v>
      </c>
      <c r="FC8" s="15">
        <f aca="true" t="shared" si="55" ref="FC8:FC39">FA8+FB8</f>
        <v>77109.9837256</v>
      </c>
      <c r="FD8" s="15">
        <v>8071</v>
      </c>
      <c r="FE8" s="15"/>
      <c r="FF8" s="22"/>
      <c r="FG8" s="15"/>
      <c r="FH8" s="15"/>
      <c r="FI8" s="15"/>
    </row>
    <row r="9" spans="1:165" ht="12.75">
      <c r="A9" s="2">
        <v>39904</v>
      </c>
      <c r="C9" s="16">
        <v>12795000</v>
      </c>
      <c r="D9" s="16">
        <v>3368391</v>
      </c>
      <c r="E9" s="16">
        <f t="shared" si="0"/>
        <v>16163391</v>
      </c>
      <c r="F9" s="16">
        <f aca="true" t="shared" si="56" ref="F9:F39">L9+R9+X9+AD9</f>
        <v>1119849</v>
      </c>
      <c r="G9" s="16">
        <f aca="true" t="shared" si="57" ref="G9:G39">M9+S9+Y9</f>
        <v>275437</v>
      </c>
      <c r="I9" s="16"/>
      <c r="J9" s="16"/>
      <c r="K9" s="16"/>
      <c r="L9" s="16"/>
      <c r="M9" s="16"/>
      <c r="O9" s="15">
        <v>6345000</v>
      </c>
      <c r="P9" s="15">
        <v>743875</v>
      </c>
      <c r="Q9" s="15">
        <f t="shared" si="1"/>
        <v>7088875</v>
      </c>
      <c r="R9" s="15">
        <v>784759</v>
      </c>
      <c r="S9" s="15">
        <v>174708</v>
      </c>
      <c r="U9" s="15">
        <v>2930000</v>
      </c>
      <c r="V9" s="15">
        <v>699250</v>
      </c>
      <c r="W9" s="15">
        <f t="shared" si="2"/>
        <v>3629250</v>
      </c>
      <c r="X9" s="15">
        <v>133485</v>
      </c>
      <c r="Y9" s="15">
        <v>100729</v>
      </c>
      <c r="AA9" s="16">
        <v>3520000</v>
      </c>
      <c r="AB9" s="16">
        <v>1925266</v>
      </c>
      <c r="AC9" s="16">
        <f t="shared" si="3"/>
        <v>5445266</v>
      </c>
      <c r="AD9" s="16">
        <f aca="true" t="shared" si="58" ref="AD9:AD39">AI9+AN9</f>
        <v>201605</v>
      </c>
      <c r="AF9" s="33">
        <v>1910747</v>
      </c>
      <c r="AG9" s="33">
        <v>1045084</v>
      </c>
      <c r="AH9" s="33">
        <f t="shared" si="4"/>
        <v>2955831</v>
      </c>
      <c r="AI9" s="33">
        <v>109392</v>
      </c>
      <c r="AK9" s="15">
        <f t="shared" si="5"/>
        <v>1609252.8320000002</v>
      </c>
      <c r="AL9" s="22">
        <f t="shared" si="6"/>
        <v>880181.7508106001</v>
      </c>
      <c r="AM9" s="15">
        <f t="shared" si="7"/>
        <v>2489434.5828106003</v>
      </c>
      <c r="AN9" s="15">
        <f aca="true" t="shared" si="59" ref="AN9:AN39">AS9+AX9+BC9+BH9+BM9+BR9+BW9+CB9+CG9+CL9+CQ9+CV9+DA9+DF9+DK9+DP9+DU9+DZ9+EE9+EJ9+EO9+ET9+EY9+FD9+FI9</f>
        <v>92213</v>
      </c>
      <c r="AP9" s="15">
        <f aca="true" t="shared" si="60" ref="AP9:AP39">AA9*8.1724/100</f>
        <v>287668.48</v>
      </c>
      <c r="AQ9" s="16">
        <f t="shared" si="8"/>
        <v>157340.438584</v>
      </c>
      <c r="AR9" s="15">
        <f t="shared" si="9"/>
        <v>445008.91858399997</v>
      </c>
      <c r="AS9" s="15">
        <v>16469</v>
      </c>
      <c r="AU9" s="15">
        <f aca="true" t="shared" si="61" ref="AU9:AU39">AA9*5.95646/100</f>
        <v>209667.392</v>
      </c>
      <c r="AV9" s="15">
        <f t="shared" si="10"/>
        <v>114677.69918360001</v>
      </c>
      <c r="AW9" s="15">
        <f t="shared" si="11"/>
        <v>324345.0911836</v>
      </c>
      <c r="AX9" s="15">
        <v>12004</v>
      </c>
      <c r="AZ9" s="15">
        <f aca="true" t="shared" si="62" ref="AZ9:AZ39">AA9*3.15804/100</f>
        <v>111163.008</v>
      </c>
      <c r="BA9" s="15">
        <f t="shared" si="12"/>
        <v>60800.6703864</v>
      </c>
      <c r="BB9" s="15">
        <f t="shared" si="13"/>
        <v>171963.6783864</v>
      </c>
      <c r="BC9" s="15">
        <v>6364</v>
      </c>
      <c r="BE9" s="3">
        <f aca="true" t="shared" si="63" ref="BE9:BE39">AA9*2.2968/100</f>
        <v>80847.36000000002</v>
      </c>
      <c r="BF9" s="3">
        <f t="shared" si="14"/>
        <v>44219.509488</v>
      </c>
      <c r="BG9" s="3">
        <f t="shared" si="15"/>
        <v>125066.86948800003</v>
      </c>
      <c r="BH9" s="3">
        <v>4713</v>
      </c>
      <c r="BI9" s="15"/>
      <c r="BJ9" s="15">
        <f aca="true" t="shared" si="64" ref="BJ9:BJ39">AA9*0.26309/100</f>
        <v>9260.768</v>
      </c>
      <c r="BK9" s="15">
        <f t="shared" si="16"/>
        <v>5065.1823194</v>
      </c>
      <c r="BL9" s="15">
        <f t="shared" si="17"/>
        <v>14325.950319399999</v>
      </c>
      <c r="BM9" s="15">
        <v>530</v>
      </c>
      <c r="BN9" s="15"/>
      <c r="BO9" s="15">
        <f aca="true" t="shared" si="65" ref="BO9:BO39">AA9*4.16229/100</f>
        <v>146512.60799999998</v>
      </c>
      <c r="BP9" s="15">
        <f t="shared" si="18"/>
        <v>80135.15419139998</v>
      </c>
      <c r="BQ9" s="15">
        <f t="shared" si="19"/>
        <v>226647.76219139996</v>
      </c>
      <c r="BR9" s="15">
        <v>8388</v>
      </c>
      <c r="BS9" s="15"/>
      <c r="BT9" s="15">
        <f aca="true" t="shared" si="66" ref="BT9:BT39">AA9*0.45121/100</f>
        <v>15882.591999999999</v>
      </c>
      <c r="BU9" s="15">
        <f t="shared" si="20"/>
        <v>8686.9927186</v>
      </c>
      <c r="BV9" s="15">
        <f t="shared" si="21"/>
        <v>24569.5847186</v>
      </c>
      <c r="BW9" s="15">
        <v>909</v>
      </c>
      <c r="BX9" s="15"/>
      <c r="BY9" s="15">
        <f aca="true" t="shared" si="67" ref="BY9:BY39">AA9*1.41147/100</f>
        <v>49683.744000000006</v>
      </c>
      <c r="BZ9" s="15">
        <f t="shared" si="22"/>
        <v>27174.5520102</v>
      </c>
      <c r="CA9" s="15">
        <f t="shared" si="23"/>
        <v>76858.2960102</v>
      </c>
      <c r="CB9" s="15">
        <v>2844</v>
      </c>
      <c r="CC9" s="15"/>
      <c r="CD9" s="15">
        <f aca="true" t="shared" si="68" ref="CD9:CD39">AA9*0.71579/100</f>
        <v>25195.808000000005</v>
      </c>
      <c r="CE9" s="15">
        <f t="shared" si="24"/>
        <v>13780.8615014</v>
      </c>
      <c r="CF9" s="15">
        <f t="shared" si="25"/>
        <v>38976.66950140001</v>
      </c>
      <c r="CG9" s="15">
        <v>1442</v>
      </c>
      <c r="CH9" s="15"/>
      <c r="CI9" s="15">
        <f aca="true" t="shared" si="69" ref="CI9:CI39">AA9*0.13901/100</f>
        <v>4893.151999999999</v>
      </c>
      <c r="CJ9" s="15">
        <f t="shared" si="26"/>
        <v>2676.3122666</v>
      </c>
      <c r="CK9" s="15">
        <f t="shared" si="27"/>
        <v>7569.464266599999</v>
      </c>
      <c r="CL9" s="15">
        <v>280</v>
      </c>
      <c r="CM9" s="15"/>
      <c r="CN9" s="15">
        <f aca="true" t="shared" si="70" ref="CN9:CN39">AA9*0.55234/100</f>
        <v>19442.368000000002</v>
      </c>
      <c r="CO9" s="15">
        <f t="shared" si="28"/>
        <v>10634.014224400002</v>
      </c>
      <c r="CP9" s="15">
        <f t="shared" si="29"/>
        <v>30076.382224400004</v>
      </c>
      <c r="CQ9" s="15">
        <v>1113</v>
      </c>
      <c r="CR9" s="15"/>
      <c r="CS9" s="15">
        <f aca="true" t="shared" si="71" ref="CS9:CS39">AA9*1.34713/100</f>
        <v>47418.975999999995</v>
      </c>
      <c r="CT9" s="15">
        <f t="shared" si="30"/>
        <v>25935.8358658</v>
      </c>
      <c r="CU9" s="15">
        <f t="shared" si="31"/>
        <v>73354.8118658</v>
      </c>
      <c r="CV9" s="15">
        <v>2715</v>
      </c>
      <c r="CW9" s="15"/>
      <c r="CX9" s="15">
        <f aca="true" t="shared" si="72" ref="CX9:CX39">AA9*3.01524/100</f>
        <v>106136.44799999999</v>
      </c>
      <c r="CY9" s="15">
        <f t="shared" si="32"/>
        <v>58051.3905384</v>
      </c>
      <c r="CZ9" s="15">
        <f t="shared" si="33"/>
        <v>164187.83853839998</v>
      </c>
      <c r="DA9" s="15">
        <v>6076</v>
      </c>
      <c r="DB9" s="15"/>
      <c r="DC9" s="15">
        <f aca="true" t="shared" si="73" ref="DC9:DC39">AA9*0.45619/100</f>
        <v>16057.888</v>
      </c>
      <c r="DD9" s="15">
        <f t="shared" si="34"/>
        <v>8782.8709654</v>
      </c>
      <c r="DE9" s="15">
        <f t="shared" si="35"/>
        <v>24840.7589654</v>
      </c>
      <c r="DF9" s="15">
        <v>919</v>
      </c>
      <c r="DG9" s="15"/>
      <c r="DH9" s="15">
        <f aca="true" t="shared" si="74" ref="DH9:DH39">AA9*1.31079/100</f>
        <v>46139.808</v>
      </c>
      <c r="DI9" s="15">
        <f t="shared" si="36"/>
        <v>25236.194201399994</v>
      </c>
      <c r="DJ9" s="15">
        <f t="shared" si="37"/>
        <v>71376.0022014</v>
      </c>
      <c r="DK9" s="15">
        <v>2642</v>
      </c>
      <c r="DL9" s="15"/>
      <c r="DM9" s="15">
        <f aca="true" t="shared" si="75" ref="DM9:DM39">AA9*0.05051/100</f>
        <v>1777.9520000000002</v>
      </c>
      <c r="DN9" s="15">
        <f t="shared" si="38"/>
        <v>972.4518566</v>
      </c>
      <c r="DO9" s="15">
        <f t="shared" si="39"/>
        <v>2750.4038566000004</v>
      </c>
      <c r="DP9" s="15">
        <v>102</v>
      </c>
      <c r="DQ9" s="15"/>
      <c r="DR9" s="15">
        <f aca="true" t="shared" si="76" ref="DR9:DR39">AA9*2.76518/100</f>
        <v>97334.336</v>
      </c>
      <c r="DS9" s="15">
        <f t="shared" si="40"/>
        <v>53237.070378799996</v>
      </c>
      <c r="DT9" s="15">
        <f t="shared" si="41"/>
        <v>150571.4063788</v>
      </c>
      <c r="DU9" s="15">
        <v>5572</v>
      </c>
      <c r="DV9" s="15"/>
      <c r="DW9" s="15">
        <f aca="true" t="shared" si="77" ref="DW9:DW39">AA9*0.43534/100</f>
        <v>15323.968</v>
      </c>
      <c r="DX9" s="15">
        <f t="shared" si="42"/>
        <v>8381.4530044</v>
      </c>
      <c r="DY9" s="15">
        <f t="shared" si="43"/>
        <v>23705.4210044</v>
      </c>
      <c r="DZ9" s="15">
        <v>877</v>
      </c>
      <c r="EA9" s="15"/>
      <c r="EB9" s="15">
        <f aca="true" t="shared" si="78" ref="EB9:EB39">AA9*2.24029/100</f>
        <v>78858.208</v>
      </c>
      <c r="EC9" s="15">
        <f t="shared" si="44"/>
        <v>43131.541671399995</v>
      </c>
      <c r="ED9" s="15">
        <f t="shared" si="45"/>
        <v>121989.7496714</v>
      </c>
      <c r="EE9" s="15">
        <v>4515</v>
      </c>
      <c r="EF9" s="15"/>
      <c r="EG9" s="15">
        <f aca="true" t="shared" si="79" ref="EG9:EG39">AA9*0.63958/100</f>
        <v>22513.216</v>
      </c>
      <c r="EH9" s="15">
        <f t="shared" si="46"/>
        <v>12313.616282800001</v>
      </c>
      <c r="EI9" s="15">
        <f t="shared" si="47"/>
        <v>34826.8322828</v>
      </c>
      <c r="EJ9" s="15">
        <v>1289</v>
      </c>
      <c r="EK9" s="15"/>
      <c r="EL9" s="15">
        <f aca="true" t="shared" si="80" ref="EL9:EL39">AA9*0.00642/100</f>
        <v>225.984</v>
      </c>
      <c r="EM9" s="15">
        <f t="shared" si="48"/>
        <v>123.6020772</v>
      </c>
      <c r="EN9" s="15">
        <f t="shared" si="49"/>
        <v>349.5860772</v>
      </c>
      <c r="EO9" s="15">
        <v>13</v>
      </c>
      <c r="EP9" s="15"/>
      <c r="EQ9" s="15">
        <f aca="true" t="shared" si="81" ref="EQ9:EQ39">AA9*0.01192/100</f>
        <v>419.584</v>
      </c>
      <c r="ER9" s="15">
        <f t="shared" si="50"/>
        <v>229.4917072</v>
      </c>
      <c r="ES9" s="15">
        <f t="shared" si="51"/>
        <v>649.0757072</v>
      </c>
      <c r="ET9" s="15">
        <v>24</v>
      </c>
      <c r="EU9" s="15"/>
      <c r="EV9" s="15">
        <f aca="true" t="shared" si="82" ref="EV9:EV39">AA9*2.15476/100</f>
        <v>75847.552</v>
      </c>
      <c r="EW9" s="15">
        <f t="shared" si="52"/>
        <v>41484.8616616</v>
      </c>
      <c r="EX9" s="15">
        <f t="shared" si="53"/>
        <v>117332.4136616</v>
      </c>
      <c r="EY9" s="15">
        <v>4342</v>
      </c>
      <c r="EZ9" s="15"/>
      <c r="FA9" s="15">
        <f aca="true" t="shared" si="83" ref="FA9:FA39">AA9*4.00516/100</f>
        <v>140981.632</v>
      </c>
      <c r="FB9" s="15">
        <f t="shared" si="54"/>
        <v>77109.9837256</v>
      </c>
      <c r="FC9" s="15">
        <f t="shared" si="55"/>
        <v>218091.61572560002</v>
      </c>
      <c r="FD9" s="15">
        <v>8071</v>
      </c>
      <c r="FE9" s="15"/>
      <c r="FF9" s="22"/>
      <c r="FG9" s="15"/>
      <c r="FH9" s="15"/>
      <c r="FI9" s="15"/>
    </row>
    <row r="10" spans="1:165" ht="12.75">
      <c r="A10" s="2">
        <v>40087</v>
      </c>
      <c r="D10" s="16">
        <v>3048516</v>
      </c>
      <c r="E10" s="16">
        <f t="shared" si="0"/>
        <v>3048516</v>
      </c>
      <c r="F10" s="16">
        <f t="shared" si="56"/>
        <v>1119849</v>
      </c>
      <c r="G10" s="16">
        <f t="shared" si="57"/>
        <v>275437</v>
      </c>
      <c r="I10" s="16"/>
      <c r="J10" s="16"/>
      <c r="K10" s="16"/>
      <c r="L10" s="16"/>
      <c r="M10" s="16"/>
      <c r="P10" s="15">
        <v>585250</v>
      </c>
      <c r="Q10" s="15">
        <f t="shared" si="1"/>
        <v>585250</v>
      </c>
      <c r="R10" s="15">
        <v>784759</v>
      </c>
      <c r="S10" s="15">
        <v>174708</v>
      </c>
      <c r="V10" s="15">
        <v>626000</v>
      </c>
      <c r="W10" s="15">
        <f t="shared" si="2"/>
        <v>626000</v>
      </c>
      <c r="X10" s="15">
        <v>133485</v>
      </c>
      <c r="Y10" s="15">
        <v>100729</v>
      </c>
      <c r="AA10" s="16"/>
      <c r="AB10" s="16">
        <v>1837266</v>
      </c>
      <c r="AC10" s="16">
        <f t="shared" si="3"/>
        <v>1837266</v>
      </c>
      <c r="AD10" s="16">
        <f t="shared" si="58"/>
        <v>201605</v>
      </c>
      <c r="AF10" s="33"/>
      <c r="AG10" s="33">
        <v>997316</v>
      </c>
      <c r="AH10" s="33">
        <f t="shared" si="4"/>
        <v>997316</v>
      </c>
      <c r="AI10" s="33">
        <v>109392</v>
      </c>
      <c r="AK10" s="15">
        <f t="shared" si="5"/>
        <v>0</v>
      </c>
      <c r="AL10" s="22">
        <f t="shared" si="6"/>
        <v>839950.4300105999</v>
      </c>
      <c r="AM10" s="15">
        <f t="shared" si="7"/>
        <v>839950.4300105999</v>
      </c>
      <c r="AN10" s="15">
        <f t="shared" si="59"/>
        <v>92213</v>
      </c>
      <c r="AP10" s="15"/>
      <c r="AQ10" s="16">
        <f t="shared" si="8"/>
        <v>150148.726584</v>
      </c>
      <c r="AR10" s="15">
        <f t="shared" si="9"/>
        <v>150148.726584</v>
      </c>
      <c r="AS10" s="15">
        <v>16469</v>
      </c>
      <c r="AU10" s="15"/>
      <c r="AV10" s="15">
        <f t="shared" si="10"/>
        <v>109436.0143836</v>
      </c>
      <c r="AW10" s="15">
        <f t="shared" si="11"/>
        <v>109436.0143836</v>
      </c>
      <c r="AX10" s="15">
        <v>12004</v>
      </c>
      <c r="AZ10" s="15"/>
      <c r="BA10" s="15">
        <f t="shared" si="12"/>
        <v>58021.5951864</v>
      </c>
      <c r="BB10" s="15">
        <f t="shared" si="13"/>
        <v>58021.5951864</v>
      </c>
      <c r="BC10" s="15">
        <v>6364</v>
      </c>
      <c r="BE10" s="3"/>
      <c r="BF10" s="3">
        <f t="shared" si="14"/>
        <v>42198.325488</v>
      </c>
      <c r="BG10" s="3">
        <f t="shared" si="15"/>
        <v>42198.325488</v>
      </c>
      <c r="BH10" s="3">
        <v>4713</v>
      </c>
      <c r="BI10" s="15"/>
      <c r="BJ10" s="15"/>
      <c r="BK10" s="15">
        <f t="shared" si="16"/>
        <v>4833.6631194</v>
      </c>
      <c r="BL10" s="15">
        <f t="shared" si="17"/>
        <v>4833.6631194</v>
      </c>
      <c r="BM10" s="15">
        <v>530</v>
      </c>
      <c r="BN10" s="15"/>
      <c r="BO10" s="15"/>
      <c r="BP10" s="15">
        <f t="shared" si="18"/>
        <v>76472.3389914</v>
      </c>
      <c r="BQ10" s="15">
        <f t="shared" si="19"/>
        <v>76472.3389914</v>
      </c>
      <c r="BR10" s="15">
        <v>8388</v>
      </c>
      <c r="BS10" s="15"/>
      <c r="BT10" s="15"/>
      <c r="BU10" s="15">
        <f t="shared" si="20"/>
        <v>8289.9279186</v>
      </c>
      <c r="BV10" s="15">
        <f t="shared" si="21"/>
        <v>8289.9279186</v>
      </c>
      <c r="BW10" s="15">
        <v>909</v>
      </c>
      <c r="BX10" s="15"/>
      <c r="BY10" s="15"/>
      <c r="BZ10" s="15">
        <f t="shared" si="22"/>
        <v>25932.4584102</v>
      </c>
      <c r="CA10" s="15">
        <f t="shared" si="23"/>
        <v>25932.4584102</v>
      </c>
      <c r="CB10" s="15">
        <v>2844</v>
      </c>
      <c r="CC10" s="15"/>
      <c r="CD10" s="15"/>
      <c r="CE10" s="15">
        <f t="shared" si="24"/>
        <v>13150.9663014</v>
      </c>
      <c r="CF10" s="15">
        <f t="shared" si="25"/>
        <v>13150.9663014</v>
      </c>
      <c r="CG10" s="15">
        <v>1442</v>
      </c>
      <c r="CH10" s="15"/>
      <c r="CI10" s="15"/>
      <c r="CJ10" s="15">
        <f t="shared" si="26"/>
        <v>2553.9834665999997</v>
      </c>
      <c r="CK10" s="15">
        <f t="shared" si="27"/>
        <v>2553.9834665999997</v>
      </c>
      <c r="CL10" s="15">
        <v>280</v>
      </c>
      <c r="CM10" s="15"/>
      <c r="CN10" s="15"/>
      <c r="CO10" s="15">
        <f t="shared" si="28"/>
        <v>10147.9550244</v>
      </c>
      <c r="CP10" s="15">
        <f t="shared" si="29"/>
        <v>10147.9550244</v>
      </c>
      <c r="CQ10" s="15">
        <v>1113</v>
      </c>
      <c r="CR10" s="15"/>
      <c r="CS10" s="15"/>
      <c r="CT10" s="15">
        <f t="shared" si="30"/>
        <v>24750.3614658</v>
      </c>
      <c r="CU10" s="15">
        <f t="shared" si="31"/>
        <v>24750.3614658</v>
      </c>
      <c r="CV10" s="15">
        <v>2715</v>
      </c>
      <c r="CW10" s="15"/>
      <c r="CX10" s="15"/>
      <c r="CY10" s="15">
        <f t="shared" si="32"/>
        <v>55397.9793384</v>
      </c>
      <c r="CZ10" s="15">
        <f t="shared" si="33"/>
        <v>55397.9793384</v>
      </c>
      <c r="DA10" s="15">
        <v>6076</v>
      </c>
      <c r="DB10" s="15"/>
      <c r="DC10" s="15"/>
      <c r="DD10" s="15">
        <f t="shared" si="34"/>
        <v>8381.423765399999</v>
      </c>
      <c r="DE10" s="15">
        <f t="shared" si="35"/>
        <v>8381.423765399999</v>
      </c>
      <c r="DF10" s="15">
        <v>919</v>
      </c>
      <c r="DG10" s="15"/>
      <c r="DH10" s="15"/>
      <c r="DI10" s="15">
        <f t="shared" si="36"/>
        <v>24082.6990014</v>
      </c>
      <c r="DJ10" s="15">
        <f t="shared" si="37"/>
        <v>24082.6990014</v>
      </c>
      <c r="DK10" s="15">
        <v>2642</v>
      </c>
      <c r="DL10" s="15"/>
      <c r="DM10" s="15"/>
      <c r="DN10" s="15">
        <f t="shared" si="38"/>
        <v>928.0030566</v>
      </c>
      <c r="DO10" s="15">
        <f t="shared" si="39"/>
        <v>928.0030566</v>
      </c>
      <c r="DP10" s="15">
        <v>102</v>
      </c>
      <c r="DQ10" s="15"/>
      <c r="DR10" s="15"/>
      <c r="DS10" s="15">
        <f t="shared" si="40"/>
        <v>50803.7119788</v>
      </c>
      <c r="DT10" s="15">
        <f t="shared" si="41"/>
        <v>50803.7119788</v>
      </c>
      <c r="DU10" s="15">
        <v>5572</v>
      </c>
      <c r="DV10" s="15"/>
      <c r="DW10" s="15"/>
      <c r="DX10" s="15">
        <f t="shared" si="42"/>
        <v>7998.3538044</v>
      </c>
      <c r="DY10" s="15">
        <f t="shared" si="43"/>
        <v>7998.3538044</v>
      </c>
      <c r="DZ10" s="15">
        <v>877</v>
      </c>
      <c r="EA10" s="15"/>
      <c r="EB10" s="15"/>
      <c r="EC10" s="15">
        <f t="shared" si="44"/>
        <v>41160.0864714</v>
      </c>
      <c r="ED10" s="15">
        <f t="shared" si="45"/>
        <v>41160.0864714</v>
      </c>
      <c r="EE10" s="15">
        <v>4515</v>
      </c>
      <c r="EF10" s="15"/>
      <c r="EG10" s="15"/>
      <c r="EH10" s="15">
        <f t="shared" si="46"/>
        <v>11750.7858828</v>
      </c>
      <c r="EI10" s="15">
        <f t="shared" si="47"/>
        <v>11750.7858828</v>
      </c>
      <c r="EJ10" s="15">
        <v>1289</v>
      </c>
      <c r="EK10" s="15"/>
      <c r="EL10" s="15"/>
      <c r="EM10" s="15">
        <f t="shared" si="48"/>
        <v>117.95247720000002</v>
      </c>
      <c r="EN10" s="15">
        <f t="shared" si="49"/>
        <v>117.95247720000002</v>
      </c>
      <c r="EO10" s="15">
        <v>13</v>
      </c>
      <c r="EP10" s="15"/>
      <c r="EQ10" s="15"/>
      <c r="ER10" s="15">
        <f t="shared" si="50"/>
        <v>219.00210719999998</v>
      </c>
      <c r="ES10" s="15">
        <f t="shared" si="51"/>
        <v>219.00210719999998</v>
      </c>
      <c r="ET10" s="15">
        <v>24</v>
      </c>
      <c r="EU10" s="15"/>
      <c r="EV10" s="15"/>
      <c r="EW10" s="15">
        <f t="shared" si="52"/>
        <v>39588.672861600004</v>
      </c>
      <c r="EX10" s="15">
        <f t="shared" si="53"/>
        <v>39588.672861600004</v>
      </c>
      <c r="EY10" s="15">
        <v>4342</v>
      </c>
      <c r="EZ10" s="15"/>
      <c r="FA10" s="15"/>
      <c r="FB10" s="15">
        <f t="shared" si="54"/>
        <v>73585.4429256</v>
      </c>
      <c r="FC10" s="15">
        <f t="shared" si="55"/>
        <v>73585.4429256</v>
      </c>
      <c r="FD10" s="15">
        <v>8071</v>
      </c>
      <c r="FE10" s="15"/>
      <c r="FF10" s="22"/>
      <c r="FG10" s="15"/>
      <c r="FH10" s="15"/>
      <c r="FI10" s="15"/>
    </row>
    <row r="11" spans="1:165" ht="12.75">
      <c r="A11" s="2">
        <v>40269</v>
      </c>
      <c r="C11" s="16">
        <v>13440000</v>
      </c>
      <c r="D11" s="16">
        <v>3048516</v>
      </c>
      <c r="E11" s="16">
        <f t="shared" si="0"/>
        <v>16488516</v>
      </c>
      <c r="F11" s="16">
        <f t="shared" si="56"/>
        <v>1119849</v>
      </c>
      <c r="G11" s="16">
        <f t="shared" si="57"/>
        <v>275437</v>
      </c>
      <c r="I11" s="16"/>
      <c r="J11" s="16"/>
      <c r="K11" s="16"/>
      <c r="L11" s="16"/>
      <c r="M11" s="16"/>
      <c r="O11" s="15">
        <v>6665000</v>
      </c>
      <c r="P11" s="15">
        <v>585250</v>
      </c>
      <c r="Q11" s="15">
        <f t="shared" si="1"/>
        <v>7250250</v>
      </c>
      <c r="R11" s="15">
        <v>784759</v>
      </c>
      <c r="S11" s="15">
        <v>174708</v>
      </c>
      <c r="U11" s="15">
        <v>3075000</v>
      </c>
      <c r="V11" s="15">
        <v>626000</v>
      </c>
      <c r="W11" s="15">
        <f t="shared" si="2"/>
        <v>3701000</v>
      </c>
      <c r="X11" s="15">
        <v>133485</v>
      </c>
      <c r="Y11" s="15">
        <v>100729</v>
      </c>
      <c r="AA11" s="16">
        <v>3700000</v>
      </c>
      <c r="AB11" s="16">
        <v>1837266</v>
      </c>
      <c r="AC11" s="16">
        <f t="shared" si="3"/>
        <v>5537266</v>
      </c>
      <c r="AD11" s="16">
        <f t="shared" si="58"/>
        <v>201605</v>
      </c>
      <c r="AF11" s="33">
        <v>2008456</v>
      </c>
      <c r="AG11" s="33">
        <v>997316</v>
      </c>
      <c r="AH11" s="33">
        <f t="shared" si="4"/>
        <v>3005772</v>
      </c>
      <c r="AI11" s="33">
        <v>109392</v>
      </c>
      <c r="AK11" s="15">
        <f t="shared" si="5"/>
        <v>1691544.17</v>
      </c>
      <c r="AL11" s="22">
        <f t="shared" si="6"/>
        <v>839950.4300105999</v>
      </c>
      <c r="AM11" s="15">
        <f t="shared" si="7"/>
        <v>2531494.6000106</v>
      </c>
      <c r="AN11" s="15">
        <f t="shared" si="59"/>
        <v>92213</v>
      </c>
      <c r="AP11" s="15">
        <f t="shared" si="60"/>
        <v>302378.8</v>
      </c>
      <c r="AQ11" s="16">
        <f t="shared" si="8"/>
        <v>150148.726584</v>
      </c>
      <c r="AR11" s="15">
        <f t="shared" si="9"/>
        <v>452527.526584</v>
      </c>
      <c r="AS11" s="15">
        <v>16469</v>
      </c>
      <c r="AU11" s="15">
        <f t="shared" si="61"/>
        <v>220389.02</v>
      </c>
      <c r="AV11" s="15">
        <f t="shared" si="10"/>
        <v>109436.0143836</v>
      </c>
      <c r="AW11" s="15">
        <f t="shared" si="11"/>
        <v>329825.0343836</v>
      </c>
      <c r="AX11" s="15">
        <v>12004</v>
      </c>
      <c r="AZ11" s="15">
        <f t="shared" si="62"/>
        <v>116847.48</v>
      </c>
      <c r="BA11" s="15">
        <f t="shared" si="12"/>
        <v>58021.5951864</v>
      </c>
      <c r="BB11" s="15">
        <f t="shared" si="13"/>
        <v>174869.0751864</v>
      </c>
      <c r="BC11" s="15">
        <v>6364</v>
      </c>
      <c r="BE11" s="3">
        <f t="shared" si="63"/>
        <v>84981.6</v>
      </c>
      <c r="BF11" s="3">
        <f t="shared" si="14"/>
        <v>42198.325488</v>
      </c>
      <c r="BG11" s="3">
        <f t="shared" si="15"/>
        <v>127179.92548800001</v>
      </c>
      <c r="BH11" s="3">
        <v>4713</v>
      </c>
      <c r="BI11" s="15"/>
      <c r="BJ11" s="15">
        <f t="shared" si="64"/>
        <v>9734.33</v>
      </c>
      <c r="BK11" s="15">
        <f t="shared" si="16"/>
        <v>4833.6631194</v>
      </c>
      <c r="BL11" s="15">
        <f t="shared" si="17"/>
        <v>14567.9931194</v>
      </c>
      <c r="BM11" s="15">
        <v>530</v>
      </c>
      <c r="BN11" s="15"/>
      <c r="BO11" s="15">
        <f t="shared" si="65"/>
        <v>154004.72999999998</v>
      </c>
      <c r="BP11" s="15">
        <f t="shared" si="18"/>
        <v>76472.3389914</v>
      </c>
      <c r="BQ11" s="15">
        <f t="shared" si="19"/>
        <v>230477.06899139998</v>
      </c>
      <c r="BR11" s="15">
        <v>8388</v>
      </c>
      <c r="BS11" s="15"/>
      <c r="BT11" s="15">
        <f t="shared" si="66"/>
        <v>16694.77</v>
      </c>
      <c r="BU11" s="15">
        <f t="shared" si="20"/>
        <v>8289.9279186</v>
      </c>
      <c r="BV11" s="15">
        <f t="shared" si="21"/>
        <v>24984.697918600003</v>
      </c>
      <c r="BW11" s="15">
        <v>909</v>
      </c>
      <c r="BX11" s="15"/>
      <c r="BY11" s="15">
        <f t="shared" si="67"/>
        <v>52224.39</v>
      </c>
      <c r="BZ11" s="15">
        <f t="shared" si="22"/>
        <v>25932.4584102</v>
      </c>
      <c r="CA11" s="15">
        <f t="shared" si="23"/>
        <v>78156.84841020001</v>
      </c>
      <c r="CB11" s="15">
        <v>2844</v>
      </c>
      <c r="CC11" s="15"/>
      <c r="CD11" s="15">
        <f t="shared" si="68"/>
        <v>26484.23</v>
      </c>
      <c r="CE11" s="15">
        <f t="shared" si="24"/>
        <v>13150.9663014</v>
      </c>
      <c r="CF11" s="15">
        <f t="shared" si="25"/>
        <v>39635.1963014</v>
      </c>
      <c r="CG11" s="15">
        <v>1442</v>
      </c>
      <c r="CH11" s="15"/>
      <c r="CI11" s="15">
        <f t="shared" si="69"/>
        <v>5143.37</v>
      </c>
      <c r="CJ11" s="15">
        <f t="shared" si="26"/>
        <v>2553.9834665999997</v>
      </c>
      <c r="CK11" s="15">
        <f t="shared" si="27"/>
        <v>7697.3534666</v>
      </c>
      <c r="CL11" s="15">
        <v>280</v>
      </c>
      <c r="CM11" s="15"/>
      <c r="CN11" s="15">
        <f t="shared" si="70"/>
        <v>20436.58</v>
      </c>
      <c r="CO11" s="15">
        <f t="shared" si="28"/>
        <v>10147.9550244</v>
      </c>
      <c r="CP11" s="15">
        <f t="shared" si="29"/>
        <v>30584.5350244</v>
      </c>
      <c r="CQ11" s="15">
        <v>1113</v>
      </c>
      <c r="CR11" s="15"/>
      <c r="CS11" s="15">
        <f t="shared" si="71"/>
        <v>49843.81</v>
      </c>
      <c r="CT11" s="15">
        <f t="shared" si="30"/>
        <v>24750.3614658</v>
      </c>
      <c r="CU11" s="15">
        <f t="shared" si="31"/>
        <v>74594.1714658</v>
      </c>
      <c r="CV11" s="15">
        <v>2715</v>
      </c>
      <c r="CW11" s="15"/>
      <c r="CX11" s="15">
        <f t="shared" si="72"/>
        <v>111563.88</v>
      </c>
      <c r="CY11" s="15">
        <f t="shared" si="32"/>
        <v>55397.9793384</v>
      </c>
      <c r="CZ11" s="15">
        <f t="shared" si="33"/>
        <v>166961.8593384</v>
      </c>
      <c r="DA11" s="15">
        <v>6076</v>
      </c>
      <c r="DB11" s="15"/>
      <c r="DC11" s="15">
        <f t="shared" si="73"/>
        <v>16879.03</v>
      </c>
      <c r="DD11" s="15">
        <f t="shared" si="34"/>
        <v>8381.423765399999</v>
      </c>
      <c r="DE11" s="15">
        <f t="shared" si="35"/>
        <v>25260.453765399998</v>
      </c>
      <c r="DF11" s="15">
        <v>919</v>
      </c>
      <c r="DG11" s="15"/>
      <c r="DH11" s="15">
        <f t="shared" si="74"/>
        <v>48499.23</v>
      </c>
      <c r="DI11" s="15">
        <f t="shared" si="36"/>
        <v>24082.6990014</v>
      </c>
      <c r="DJ11" s="15">
        <f t="shared" si="37"/>
        <v>72581.9290014</v>
      </c>
      <c r="DK11" s="15">
        <v>2642</v>
      </c>
      <c r="DL11" s="15"/>
      <c r="DM11" s="15">
        <f t="shared" si="75"/>
        <v>1868.87</v>
      </c>
      <c r="DN11" s="15">
        <f t="shared" si="38"/>
        <v>928.0030566</v>
      </c>
      <c r="DO11" s="15">
        <f t="shared" si="39"/>
        <v>2796.8730566</v>
      </c>
      <c r="DP11" s="15">
        <v>102</v>
      </c>
      <c r="DQ11" s="15"/>
      <c r="DR11" s="15">
        <f t="shared" si="76"/>
        <v>102311.66</v>
      </c>
      <c r="DS11" s="15">
        <f t="shared" si="40"/>
        <v>50803.7119788</v>
      </c>
      <c r="DT11" s="15">
        <f t="shared" si="41"/>
        <v>153115.3719788</v>
      </c>
      <c r="DU11" s="15">
        <v>5572</v>
      </c>
      <c r="DV11" s="15"/>
      <c r="DW11" s="15">
        <f t="shared" si="77"/>
        <v>16107.58</v>
      </c>
      <c r="DX11" s="15">
        <f t="shared" si="42"/>
        <v>7998.3538044</v>
      </c>
      <c r="DY11" s="15">
        <f t="shared" si="43"/>
        <v>24105.9338044</v>
      </c>
      <c r="DZ11" s="15">
        <v>877</v>
      </c>
      <c r="EA11" s="15"/>
      <c r="EB11" s="15">
        <f t="shared" si="78"/>
        <v>82890.73</v>
      </c>
      <c r="EC11" s="15">
        <f t="shared" si="44"/>
        <v>41160.0864714</v>
      </c>
      <c r="ED11" s="15">
        <f t="shared" si="45"/>
        <v>124050.8164714</v>
      </c>
      <c r="EE11" s="15">
        <v>4515</v>
      </c>
      <c r="EF11" s="15"/>
      <c r="EG11" s="15">
        <f t="shared" si="79"/>
        <v>23664.46</v>
      </c>
      <c r="EH11" s="15">
        <f t="shared" si="46"/>
        <v>11750.7858828</v>
      </c>
      <c r="EI11" s="15">
        <f t="shared" si="47"/>
        <v>35415.2458828</v>
      </c>
      <c r="EJ11" s="15">
        <v>1289</v>
      </c>
      <c r="EK11" s="15"/>
      <c r="EL11" s="15">
        <f t="shared" si="80"/>
        <v>237.54</v>
      </c>
      <c r="EM11" s="15">
        <f t="shared" si="48"/>
        <v>117.95247720000002</v>
      </c>
      <c r="EN11" s="15">
        <f t="shared" si="49"/>
        <v>355.4924772</v>
      </c>
      <c r="EO11" s="15">
        <v>13</v>
      </c>
      <c r="EP11" s="15"/>
      <c r="EQ11" s="15">
        <f t="shared" si="81"/>
        <v>441.04</v>
      </c>
      <c r="ER11" s="15">
        <f t="shared" si="50"/>
        <v>219.00210719999998</v>
      </c>
      <c r="ES11" s="15">
        <f t="shared" si="51"/>
        <v>660.0421072</v>
      </c>
      <c r="ET11" s="15">
        <v>24</v>
      </c>
      <c r="EU11" s="15"/>
      <c r="EV11" s="15">
        <f t="shared" si="82"/>
        <v>79726.12</v>
      </c>
      <c r="EW11" s="15">
        <f t="shared" si="52"/>
        <v>39588.672861600004</v>
      </c>
      <c r="EX11" s="15">
        <f t="shared" si="53"/>
        <v>119314.7928616</v>
      </c>
      <c r="EY11" s="15">
        <v>4342</v>
      </c>
      <c r="EZ11" s="15"/>
      <c r="FA11" s="15">
        <f t="shared" si="83"/>
        <v>148190.92</v>
      </c>
      <c r="FB11" s="15">
        <f t="shared" si="54"/>
        <v>73585.4429256</v>
      </c>
      <c r="FC11" s="15">
        <f t="shared" si="55"/>
        <v>221776.36292560003</v>
      </c>
      <c r="FD11" s="15">
        <v>8071</v>
      </c>
      <c r="FE11" s="15"/>
      <c r="FF11" s="22"/>
      <c r="FG11" s="15"/>
      <c r="FH11" s="15"/>
      <c r="FI11" s="15"/>
    </row>
    <row r="12" spans="1:165" ht="12.75">
      <c r="A12" s="2">
        <v>40452</v>
      </c>
      <c r="D12" s="16">
        <v>2712516</v>
      </c>
      <c r="E12" s="16">
        <f t="shared" si="0"/>
        <v>2712516</v>
      </c>
      <c r="F12" s="16">
        <f t="shared" si="56"/>
        <v>1119849</v>
      </c>
      <c r="G12" s="16">
        <f t="shared" si="57"/>
        <v>275437</v>
      </c>
      <c r="I12" s="16"/>
      <c r="J12" s="16"/>
      <c r="K12" s="16"/>
      <c r="L12" s="16"/>
      <c r="M12" s="16"/>
      <c r="P12" s="15">
        <v>418625</v>
      </c>
      <c r="Q12" s="15">
        <f t="shared" si="1"/>
        <v>418625</v>
      </c>
      <c r="R12" s="15">
        <v>784759</v>
      </c>
      <c r="S12" s="15">
        <v>174708</v>
      </c>
      <c r="V12" s="15">
        <v>549125</v>
      </c>
      <c r="W12" s="15">
        <f t="shared" si="2"/>
        <v>549125</v>
      </c>
      <c r="X12" s="15">
        <v>133485</v>
      </c>
      <c r="Y12" s="15">
        <v>100729</v>
      </c>
      <c r="AA12" s="16"/>
      <c r="AB12" s="16">
        <v>1744766</v>
      </c>
      <c r="AC12" s="16">
        <f t="shared" si="3"/>
        <v>1744766</v>
      </c>
      <c r="AD12" s="16">
        <f t="shared" si="58"/>
        <v>201605</v>
      </c>
      <c r="AF12" s="33"/>
      <c r="AG12" s="33">
        <v>947104</v>
      </c>
      <c r="AH12" s="33">
        <f t="shared" si="4"/>
        <v>947104</v>
      </c>
      <c r="AI12" s="33">
        <v>109392</v>
      </c>
      <c r="AK12" s="15">
        <f t="shared" si="5"/>
        <v>0</v>
      </c>
      <c r="AL12" s="22">
        <f t="shared" si="6"/>
        <v>797661.8257605999</v>
      </c>
      <c r="AM12" s="15">
        <f t="shared" si="7"/>
        <v>797661.8257605999</v>
      </c>
      <c r="AN12" s="15">
        <f t="shared" si="59"/>
        <v>92213</v>
      </c>
      <c r="AP12" s="15"/>
      <c r="AQ12" s="16">
        <f t="shared" si="8"/>
        <v>142589.256584</v>
      </c>
      <c r="AR12" s="15">
        <f t="shared" si="9"/>
        <v>142589.256584</v>
      </c>
      <c r="AS12" s="15">
        <v>16469</v>
      </c>
      <c r="AU12" s="15"/>
      <c r="AV12" s="15">
        <f t="shared" si="10"/>
        <v>103926.28888359999</v>
      </c>
      <c r="AW12" s="15">
        <f t="shared" si="11"/>
        <v>103926.28888359999</v>
      </c>
      <c r="AX12" s="15">
        <v>12004</v>
      </c>
      <c r="AZ12" s="15"/>
      <c r="BA12" s="15">
        <f t="shared" si="12"/>
        <v>55100.4081864</v>
      </c>
      <c r="BB12" s="15">
        <f t="shared" si="13"/>
        <v>55100.4081864</v>
      </c>
      <c r="BC12" s="15">
        <v>6364</v>
      </c>
      <c r="BE12" s="3"/>
      <c r="BF12" s="3">
        <f t="shared" si="14"/>
        <v>40073.785488</v>
      </c>
      <c r="BG12" s="3">
        <f t="shared" si="15"/>
        <v>40073.785488</v>
      </c>
      <c r="BH12" s="3">
        <v>4713</v>
      </c>
      <c r="BI12" s="15"/>
      <c r="BJ12" s="15"/>
      <c r="BK12" s="15">
        <f t="shared" si="16"/>
        <v>4590.3048694</v>
      </c>
      <c r="BL12" s="15">
        <f t="shared" si="17"/>
        <v>4590.3048694</v>
      </c>
      <c r="BM12" s="15">
        <v>530</v>
      </c>
      <c r="BN12" s="15"/>
      <c r="BO12" s="15"/>
      <c r="BP12" s="15">
        <f t="shared" si="18"/>
        <v>72622.22074139999</v>
      </c>
      <c r="BQ12" s="15">
        <f t="shared" si="19"/>
        <v>72622.22074139999</v>
      </c>
      <c r="BR12" s="15">
        <v>8388</v>
      </c>
      <c r="BS12" s="15"/>
      <c r="BT12" s="15"/>
      <c r="BU12" s="15">
        <f t="shared" si="20"/>
        <v>7872.5586686</v>
      </c>
      <c r="BV12" s="15">
        <f t="shared" si="21"/>
        <v>7872.5586686</v>
      </c>
      <c r="BW12" s="15">
        <v>909</v>
      </c>
      <c r="BX12" s="15"/>
      <c r="BY12" s="15"/>
      <c r="BZ12" s="15">
        <f t="shared" si="22"/>
        <v>24626.8486602</v>
      </c>
      <c r="CA12" s="15">
        <f t="shared" si="23"/>
        <v>24626.8486602</v>
      </c>
      <c r="CB12" s="15">
        <v>2844</v>
      </c>
      <c r="CC12" s="15"/>
      <c r="CD12" s="15"/>
      <c r="CE12" s="15">
        <f t="shared" si="24"/>
        <v>12488.860551400001</v>
      </c>
      <c r="CF12" s="15">
        <f t="shared" si="25"/>
        <v>12488.860551400001</v>
      </c>
      <c r="CG12" s="15">
        <v>1442</v>
      </c>
      <c r="CH12" s="15"/>
      <c r="CI12" s="15"/>
      <c r="CJ12" s="15">
        <f t="shared" si="26"/>
        <v>2425.3992166</v>
      </c>
      <c r="CK12" s="15">
        <f t="shared" si="27"/>
        <v>2425.3992166</v>
      </c>
      <c r="CL12" s="15">
        <v>280</v>
      </c>
      <c r="CM12" s="15"/>
      <c r="CN12" s="15"/>
      <c r="CO12" s="15">
        <f t="shared" si="28"/>
        <v>9637.040524400001</v>
      </c>
      <c r="CP12" s="15">
        <f t="shared" si="29"/>
        <v>9637.040524400001</v>
      </c>
      <c r="CQ12" s="15">
        <v>1113</v>
      </c>
      <c r="CR12" s="15"/>
      <c r="CS12" s="15"/>
      <c r="CT12" s="15">
        <f t="shared" si="30"/>
        <v>23504.266215800002</v>
      </c>
      <c r="CU12" s="15">
        <f t="shared" si="31"/>
        <v>23504.266215800002</v>
      </c>
      <c r="CV12" s="15">
        <v>2715</v>
      </c>
      <c r="CW12" s="15"/>
      <c r="CX12" s="15"/>
      <c r="CY12" s="15">
        <f t="shared" si="32"/>
        <v>52608.8823384</v>
      </c>
      <c r="CZ12" s="15">
        <f t="shared" si="33"/>
        <v>52608.8823384</v>
      </c>
      <c r="DA12" s="15">
        <v>6076</v>
      </c>
      <c r="DB12" s="15"/>
      <c r="DC12" s="15"/>
      <c r="DD12" s="15">
        <f t="shared" si="34"/>
        <v>7959.4480154</v>
      </c>
      <c r="DE12" s="15">
        <f t="shared" si="35"/>
        <v>7959.4480154</v>
      </c>
      <c r="DF12" s="15">
        <v>919</v>
      </c>
      <c r="DG12" s="15"/>
      <c r="DH12" s="15"/>
      <c r="DI12" s="15">
        <f t="shared" si="36"/>
        <v>22870.218251399998</v>
      </c>
      <c r="DJ12" s="15">
        <f t="shared" si="37"/>
        <v>22870.218251399998</v>
      </c>
      <c r="DK12" s="15">
        <v>2642</v>
      </c>
      <c r="DL12" s="15"/>
      <c r="DM12" s="15"/>
      <c r="DN12" s="15">
        <f t="shared" si="38"/>
        <v>881.2813066</v>
      </c>
      <c r="DO12" s="15">
        <f t="shared" si="39"/>
        <v>881.2813066</v>
      </c>
      <c r="DP12" s="15">
        <v>102</v>
      </c>
      <c r="DQ12" s="15"/>
      <c r="DR12" s="15"/>
      <c r="DS12" s="15">
        <f t="shared" si="40"/>
        <v>48245.92047879999</v>
      </c>
      <c r="DT12" s="15">
        <f t="shared" si="41"/>
        <v>48245.92047879999</v>
      </c>
      <c r="DU12" s="15">
        <v>5572</v>
      </c>
      <c r="DV12" s="15"/>
      <c r="DW12" s="15"/>
      <c r="DX12" s="15">
        <f t="shared" si="42"/>
        <v>7595.6643044</v>
      </c>
      <c r="DY12" s="15">
        <f t="shared" si="43"/>
        <v>7595.6643044</v>
      </c>
      <c r="DZ12" s="15">
        <v>877</v>
      </c>
      <c r="EA12" s="15"/>
      <c r="EB12" s="15"/>
      <c r="EC12" s="15">
        <f t="shared" si="44"/>
        <v>39087.8182214</v>
      </c>
      <c r="ED12" s="15">
        <f t="shared" si="45"/>
        <v>39087.8182214</v>
      </c>
      <c r="EE12" s="15">
        <v>4515</v>
      </c>
      <c r="EF12" s="15"/>
      <c r="EG12" s="15"/>
      <c r="EH12" s="15">
        <f t="shared" si="46"/>
        <v>11159.174382800002</v>
      </c>
      <c r="EI12" s="15">
        <f t="shared" si="47"/>
        <v>11159.174382800002</v>
      </c>
      <c r="EJ12" s="15">
        <v>1289</v>
      </c>
      <c r="EK12" s="15"/>
      <c r="EL12" s="15"/>
      <c r="EM12" s="15">
        <f t="shared" si="48"/>
        <v>112.01397720000001</v>
      </c>
      <c r="EN12" s="15">
        <f t="shared" si="49"/>
        <v>112.01397720000001</v>
      </c>
      <c r="EO12" s="15">
        <v>13</v>
      </c>
      <c r="EP12" s="15"/>
      <c r="EQ12" s="15"/>
      <c r="ER12" s="15">
        <f t="shared" si="50"/>
        <v>207.9761072</v>
      </c>
      <c r="ES12" s="15">
        <f t="shared" si="51"/>
        <v>207.9761072</v>
      </c>
      <c r="ET12" s="15">
        <v>24</v>
      </c>
      <c r="EU12" s="15"/>
      <c r="EV12" s="15"/>
      <c r="EW12" s="15">
        <f t="shared" si="52"/>
        <v>37595.5198616</v>
      </c>
      <c r="EX12" s="15">
        <f t="shared" si="53"/>
        <v>37595.5198616</v>
      </c>
      <c r="EY12" s="15">
        <v>4342</v>
      </c>
      <c r="EZ12" s="15"/>
      <c r="FA12" s="15"/>
      <c r="FB12" s="15">
        <f t="shared" si="54"/>
        <v>69880.6699256</v>
      </c>
      <c r="FC12" s="15">
        <f t="shared" si="55"/>
        <v>69880.6699256</v>
      </c>
      <c r="FD12" s="15">
        <v>8071</v>
      </c>
      <c r="FE12" s="15"/>
      <c r="FF12" s="22"/>
      <c r="FG12" s="15"/>
      <c r="FH12" s="15"/>
      <c r="FI12" s="15"/>
    </row>
    <row r="13" spans="1:165" ht="12.75">
      <c r="A13" s="2">
        <v>40634</v>
      </c>
      <c r="C13" s="16">
        <v>15835000</v>
      </c>
      <c r="D13" s="16">
        <v>2712516</v>
      </c>
      <c r="E13" s="16">
        <f t="shared" si="0"/>
        <v>18547516</v>
      </c>
      <c r="F13" s="16">
        <f t="shared" si="56"/>
        <v>1119849</v>
      </c>
      <c r="G13" s="16">
        <f t="shared" si="57"/>
        <v>275437</v>
      </c>
      <c r="I13" s="16"/>
      <c r="J13" s="16"/>
      <c r="K13" s="16"/>
      <c r="L13" s="16"/>
      <c r="M13" s="16"/>
      <c r="O13" s="15">
        <v>8725000</v>
      </c>
      <c r="P13" s="15">
        <v>418625</v>
      </c>
      <c r="Q13" s="15">
        <f t="shared" si="1"/>
        <v>9143625</v>
      </c>
      <c r="R13" s="15">
        <v>784759</v>
      </c>
      <c r="S13" s="15">
        <v>174708</v>
      </c>
      <c r="U13" s="15">
        <v>3230000</v>
      </c>
      <c r="V13" s="15">
        <v>549125</v>
      </c>
      <c r="W13" s="15">
        <f t="shared" si="2"/>
        <v>3779125</v>
      </c>
      <c r="X13" s="15">
        <v>133485</v>
      </c>
      <c r="Y13" s="15">
        <v>100729</v>
      </c>
      <c r="AA13" s="16">
        <v>3880000</v>
      </c>
      <c r="AB13" s="16">
        <v>1744766</v>
      </c>
      <c r="AC13" s="16">
        <f t="shared" si="3"/>
        <v>5624766</v>
      </c>
      <c r="AD13" s="16">
        <f t="shared" si="58"/>
        <v>201605</v>
      </c>
      <c r="AF13" s="33">
        <v>2106164</v>
      </c>
      <c r="AG13" s="33">
        <v>947104</v>
      </c>
      <c r="AH13" s="33">
        <f t="shared" si="4"/>
        <v>3053268</v>
      </c>
      <c r="AI13" s="33">
        <v>109392</v>
      </c>
      <c r="AK13" s="15">
        <f t="shared" si="5"/>
        <v>1773835.508</v>
      </c>
      <c r="AL13" s="22">
        <f t="shared" si="6"/>
        <v>797661.8257605999</v>
      </c>
      <c r="AM13" s="15">
        <f t="shared" si="7"/>
        <v>2571497.3337605996</v>
      </c>
      <c r="AN13" s="15">
        <f t="shared" si="59"/>
        <v>92213</v>
      </c>
      <c r="AP13" s="15">
        <f t="shared" si="60"/>
        <v>317089.12</v>
      </c>
      <c r="AQ13" s="16">
        <f t="shared" si="8"/>
        <v>142589.256584</v>
      </c>
      <c r="AR13" s="15">
        <f t="shared" si="9"/>
        <v>459678.37658399995</v>
      </c>
      <c r="AS13" s="15">
        <v>16469</v>
      </c>
      <c r="AU13" s="15">
        <f t="shared" si="61"/>
        <v>231110.64800000002</v>
      </c>
      <c r="AV13" s="15">
        <f t="shared" si="10"/>
        <v>103926.28888359999</v>
      </c>
      <c r="AW13" s="15">
        <f t="shared" si="11"/>
        <v>335036.9368836</v>
      </c>
      <c r="AX13" s="15">
        <v>12004</v>
      </c>
      <c r="AZ13" s="15">
        <f t="shared" si="62"/>
        <v>122531.952</v>
      </c>
      <c r="BA13" s="15">
        <f t="shared" si="12"/>
        <v>55100.4081864</v>
      </c>
      <c r="BB13" s="15">
        <f t="shared" si="13"/>
        <v>177632.3601864</v>
      </c>
      <c r="BC13" s="15">
        <v>6364</v>
      </c>
      <c r="BE13" s="3">
        <f t="shared" si="63"/>
        <v>89115.84</v>
      </c>
      <c r="BF13" s="3">
        <f t="shared" si="14"/>
        <v>40073.785488</v>
      </c>
      <c r="BG13" s="3">
        <f t="shared" si="15"/>
        <v>129189.62548799999</v>
      </c>
      <c r="BH13" s="3">
        <v>4713</v>
      </c>
      <c r="BI13" s="15"/>
      <c r="BJ13" s="15">
        <f t="shared" si="64"/>
        <v>10207.892</v>
      </c>
      <c r="BK13" s="15">
        <f t="shared" si="16"/>
        <v>4590.3048694</v>
      </c>
      <c r="BL13" s="15">
        <f t="shared" si="17"/>
        <v>14798.196869399999</v>
      </c>
      <c r="BM13" s="15">
        <v>530</v>
      </c>
      <c r="BN13" s="15"/>
      <c r="BO13" s="15">
        <f t="shared" si="65"/>
        <v>161496.85199999998</v>
      </c>
      <c r="BP13" s="15">
        <f t="shared" si="18"/>
        <v>72622.22074139999</v>
      </c>
      <c r="BQ13" s="15">
        <f t="shared" si="19"/>
        <v>234119.07274139998</v>
      </c>
      <c r="BR13" s="15">
        <v>8388</v>
      </c>
      <c r="BS13" s="15"/>
      <c r="BT13" s="15">
        <f t="shared" si="66"/>
        <v>17506.948</v>
      </c>
      <c r="BU13" s="15">
        <f t="shared" si="20"/>
        <v>7872.5586686</v>
      </c>
      <c r="BV13" s="15">
        <f t="shared" si="21"/>
        <v>25379.5066686</v>
      </c>
      <c r="BW13" s="15">
        <v>909</v>
      </c>
      <c r="BX13" s="15"/>
      <c r="BY13" s="15">
        <f t="shared" si="67"/>
        <v>54765.03599999999</v>
      </c>
      <c r="BZ13" s="15">
        <f t="shared" si="22"/>
        <v>24626.8486602</v>
      </c>
      <c r="CA13" s="15">
        <f t="shared" si="23"/>
        <v>79391.8846602</v>
      </c>
      <c r="CB13" s="15">
        <v>2844</v>
      </c>
      <c r="CC13" s="15"/>
      <c r="CD13" s="15">
        <f t="shared" si="68"/>
        <v>27772.652000000002</v>
      </c>
      <c r="CE13" s="15">
        <f t="shared" si="24"/>
        <v>12488.860551400001</v>
      </c>
      <c r="CF13" s="15">
        <f t="shared" si="25"/>
        <v>40261.5125514</v>
      </c>
      <c r="CG13" s="15">
        <v>1442</v>
      </c>
      <c r="CH13" s="15"/>
      <c r="CI13" s="15">
        <f t="shared" si="69"/>
        <v>5393.588</v>
      </c>
      <c r="CJ13" s="15">
        <f t="shared" si="26"/>
        <v>2425.3992166</v>
      </c>
      <c r="CK13" s="15">
        <f t="shared" si="27"/>
        <v>7818.9872166</v>
      </c>
      <c r="CL13" s="15">
        <v>280</v>
      </c>
      <c r="CM13" s="15"/>
      <c r="CN13" s="15">
        <f t="shared" si="70"/>
        <v>21430.792</v>
      </c>
      <c r="CO13" s="15">
        <f t="shared" si="28"/>
        <v>9637.040524400001</v>
      </c>
      <c r="CP13" s="15">
        <f t="shared" si="29"/>
        <v>31067.8325244</v>
      </c>
      <c r="CQ13" s="15">
        <v>1113</v>
      </c>
      <c r="CR13" s="15"/>
      <c r="CS13" s="15">
        <f t="shared" si="71"/>
        <v>52268.64399999999</v>
      </c>
      <c r="CT13" s="15">
        <f t="shared" si="30"/>
        <v>23504.266215800002</v>
      </c>
      <c r="CU13" s="15">
        <f t="shared" si="31"/>
        <v>75772.91021579999</v>
      </c>
      <c r="CV13" s="15">
        <v>2715</v>
      </c>
      <c r="CW13" s="15"/>
      <c r="CX13" s="15">
        <f t="shared" si="72"/>
        <v>116991.31199999999</v>
      </c>
      <c r="CY13" s="15">
        <f t="shared" si="32"/>
        <v>52608.8823384</v>
      </c>
      <c r="CZ13" s="15">
        <f t="shared" si="33"/>
        <v>169600.19433839998</v>
      </c>
      <c r="DA13" s="15">
        <v>6076</v>
      </c>
      <c r="DB13" s="15"/>
      <c r="DC13" s="15">
        <f t="shared" si="73"/>
        <v>17700.172</v>
      </c>
      <c r="DD13" s="15">
        <f t="shared" si="34"/>
        <v>7959.4480154</v>
      </c>
      <c r="DE13" s="15">
        <f t="shared" si="35"/>
        <v>25659.6200154</v>
      </c>
      <c r="DF13" s="15">
        <v>919</v>
      </c>
      <c r="DG13" s="15"/>
      <c r="DH13" s="15">
        <f t="shared" si="74"/>
        <v>50858.651999999995</v>
      </c>
      <c r="DI13" s="15">
        <f t="shared" si="36"/>
        <v>22870.218251399998</v>
      </c>
      <c r="DJ13" s="15">
        <f t="shared" si="37"/>
        <v>73728.87025139999</v>
      </c>
      <c r="DK13" s="15">
        <v>2642</v>
      </c>
      <c r="DL13" s="15"/>
      <c r="DM13" s="15">
        <f t="shared" si="75"/>
        <v>1959.7879999999998</v>
      </c>
      <c r="DN13" s="15">
        <f t="shared" si="38"/>
        <v>881.2813066</v>
      </c>
      <c r="DO13" s="15">
        <f t="shared" si="39"/>
        <v>2841.0693066</v>
      </c>
      <c r="DP13" s="15">
        <v>102</v>
      </c>
      <c r="DQ13" s="15"/>
      <c r="DR13" s="15">
        <f t="shared" si="76"/>
        <v>107288.984</v>
      </c>
      <c r="DS13" s="15">
        <f t="shared" si="40"/>
        <v>48245.92047879999</v>
      </c>
      <c r="DT13" s="15">
        <f t="shared" si="41"/>
        <v>155534.9044788</v>
      </c>
      <c r="DU13" s="15">
        <v>5572</v>
      </c>
      <c r="DV13" s="15"/>
      <c r="DW13" s="15">
        <f t="shared" si="77"/>
        <v>16891.192</v>
      </c>
      <c r="DX13" s="15">
        <f t="shared" si="42"/>
        <v>7595.6643044</v>
      </c>
      <c r="DY13" s="15">
        <f t="shared" si="43"/>
        <v>24486.8563044</v>
      </c>
      <c r="DZ13" s="15">
        <v>877</v>
      </c>
      <c r="EA13" s="15"/>
      <c r="EB13" s="15">
        <f t="shared" si="78"/>
        <v>86923.252</v>
      </c>
      <c r="EC13" s="15">
        <f t="shared" si="44"/>
        <v>39087.8182214</v>
      </c>
      <c r="ED13" s="15">
        <f t="shared" si="45"/>
        <v>126011.07022139999</v>
      </c>
      <c r="EE13" s="15">
        <v>4515</v>
      </c>
      <c r="EF13" s="15"/>
      <c r="EG13" s="15">
        <f t="shared" si="79"/>
        <v>24815.704000000005</v>
      </c>
      <c r="EH13" s="15">
        <f t="shared" si="46"/>
        <v>11159.174382800002</v>
      </c>
      <c r="EI13" s="15">
        <f t="shared" si="47"/>
        <v>35974.87838280001</v>
      </c>
      <c r="EJ13" s="15">
        <v>1289</v>
      </c>
      <c r="EK13" s="15"/>
      <c r="EL13" s="15">
        <f t="shared" si="80"/>
        <v>249.09600000000003</v>
      </c>
      <c r="EM13" s="15">
        <f t="shared" si="48"/>
        <v>112.01397720000001</v>
      </c>
      <c r="EN13" s="15">
        <f t="shared" si="49"/>
        <v>361.10997720000006</v>
      </c>
      <c r="EO13" s="15">
        <v>13</v>
      </c>
      <c r="EP13" s="15"/>
      <c r="EQ13" s="15">
        <f t="shared" si="81"/>
        <v>462.496</v>
      </c>
      <c r="ER13" s="15">
        <f t="shared" si="50"/>
        <v>207.9761072</v>
      </c>
      <c r="ES13" s="15">
        <f t="shared" si="51"/>
        <v>670.4721072</v>
      </c>
      <c r="ET13" s="15">
        <v>24</v>
      </c>
      <c r="EU13" s="15"/>
      <c r="EV13" s="15">
        <f t="shared" si="82"/>
        <v>83604.688</v>
      </c>
      <c r="EW13" s="15">
        <f t="shared" si="52"/>
        <v>37595.5198616</v>
      </c>
      <c r="EX13" s="15">
        <f t="shared" si="53"/>
        <v>121200.20786159999</v>
      </c>
      <c r="EY13" s="15">
        <v>4342</v>
      </c>
      <c r="EZ13" s="15"/>
      <c r="FA13" s="15">
        <f t="shared" si="83"/>
        <v>155400.208</v>
      </c>
      <c r="FB13" s="15">
        <f t="shared" si="54"/>
        <v>69880.6699256</v>
      </c>
      <c r="FC13" s="15">
        <f t="shared" si="55"/>
        <v>225280.8779256</v>
      </c>
      <c r="FD13" s="15">
        <v>8071</v>
      </c>
      <c r="FE13" s="15"/>
      <c r="FF13" s="22"/>
      <c r="FG13" s="15"/>
      <c r="FH13" s="15"/>
      <c r="FI13" s="15"/>
    </row>
    <row r="14" spans="1:165" ht="12.75">
      <c r="A14" s="2">
        <v>40817</v>
      </c>
      <c r="D14" s="16">
        <v>2316641</v>
      </c>
      <c r="E14" s="16">
        <f t="shared" si="0"/>
        <v>2316641</v>
      </c>
      <c r="F14" s="16">
        <f t="shared" si="56"/>
        <v>1119849</v>
      </c>
      <c r="G14" s="16">
        <f t="shared" si="57"/>
        <v>275437</v>
      </c>
      <c r="I14" s="16"/>
      <c r="J14" s="16"/>
      <c r="K14" s="16"/>
      <c r="L14" s="16"/>
      <c r="M14" s="16"/>
      <c r="P14" s="15">
        <v>200500</v>
      </c>
      <c r="Q14" s="15">
        <f t="shared" si="1"/>
        <v>200500</v>
      </c>
      <c r="R14" s="15">
        <v>784759</v>
      </c>
      <c r="S14" s="15">
        <v>174708</v>
      </c>
      <c r="V14" s="15">
        <v>468375</v>
      </c>
      <c r="W14" s="15">
        <f t="shared" si="2"/>
        <v>468375</v>
      </c>
      <c r="X14" s="15">
        <v>133485</v>
      </c>
      <c r="Y14" s="15">
        <v>100729</v>
      </c>
      <c r="AA14" s="16"/>
      <c r="AB14" s="16">
        <v>1647766</v>
      </c>
      <c r="AC14" s="16">
        <f t="shared" si="3"/>
        <v>1647766</v>
      </c>
      <c r="AD14" s="16">
        <f t="shared" si="58"/>
        <v>201605</v>
      </c>
      <c r="AF14" s="33"/>
      <c r="AG14" s="33">
        <v>894450</v>
      </c>
      <c r="AH14" s="33">
        <f t="shared" si="4"/>
        <v>894450</v>
      </c>
      <c r="AI14" s="33">
        <v>109392</v>
      </c>
      <c r="AK14" s="15">
        <f t="shared" si="5"/>
        <v>0</v>
      </c>
      <c r="AL14" s="22">
        <f t="shared" si="6"/>
        <v>753315.9380606</v>
      </c>
      <c r="AM14" s="15">
        <f t="shared" si="7"/>
        <v>753315.9380606</v>
      </c>
      <c r="AN14" s="15">
        <f t="shared" si="59"/>
        <v>92213</v>
      </c>
      <c r="AP14" s="15"/>
      <c r="AQ14" s="16">
        <f t="shared" si="8"/>
        <v>134662.028584</v>
      </c>
      <c r="AR14" s="15">
        <f t="shared" si="9"/>
        <v>134662.028584</v>
      </c>
      <c r="AS14" s="15">
        <v>16469</v>
      </c>
      <c r="AU14" s="15"/>
      <c r="AV14" s="15">
        <f t="shared" si="10"/>
        <v>98148.52268360001</v>
      </c>
      <c r="AW14" s="15">
        <f t="shared" si="11"/>
        <v>98148.52268360001</v>
      </c>
      <c r="AX14" s="15">
        <v>12004</v>
      </c>
      <c r="AZ14" s="15"/>
      <c r="BA14" s="15">
        <f t="shared" si="12"/>
        <v>52037.1093864</v>
      </c>
      <c r="BB14" s="15">
        <f t="shared" si="13"/>
        <v>52037.1093864</v>
      </c>
      <c r="BC14" s="15">
        <v>6364</v>
      </c>
      <c r="BE14" s="3"/>
      <c r="BF14" s="3">
        <f t="shared" si="14"/>
        <v>37845.889488</v>
      </c>
      <c r="BG14" s="3">
        <f t="shared" si="15"/>
        <v>37845.889488</v>
      </c>
      <c r="BH14" s="3">
        <v>4713</v>
      </c>
      <c r="BI14" s="15"/>
      <c r="BJ14" s="15"/>
      <c r="BK14" s="15">
        <f t="shared" si="16"/>
        <v>4335.1075694</v>
      </c>
      <c r="BL14" s="15">
        <f t="shared" si="17"/>
        <v>4335.1075694</v>
      </c>
      <c r="BM14" s="15">
        <v>530</v>
      </c>
      <c r="BN14" s="15"/>
      <c r="BO14" s="15"/>
      <c r="BP14" s="15">
        <f t="shared" si="18"/>
        <v>68584.7994414</v>
      </c>
      <c r="BQ14" s="15">
        <f t="shared" si="19"/>
        <v>68584.7994414</v>
      </c>
      <c r="BR14" s="15">
        <v>8388</v>
      </c>
      <c r="BS14" s="15"/>
      <c r="BT14" s="15"/>
      <c r="BU14" s="15">
        <f t="shared" si="20"/>
        <v>7434.884968599999</v>
      </c>
      <c r="BV14" s="15">
        <f t="shared" si="21"/>
        <v>7434.884968599999</v>
      </c>
      <c r="BW14" s="15">
        <v>909</v>
      </c>
      <c r="BX14" s="15"/>
      <c r="BY14" s="15"/>
      <c r="BZ14" s="15">
        <f t="shared" si="22"/>
        <v>23257.722760200002</v>
      </c>
      <c r="CA14" s="15">
        <f t="shared" si="23"/>
        <v>23257.722760200002</v>
      </c>
      <c r="CB14" s="15">
        <v>2844</v>
      </c>
      <c r="CC14" s="15"/>
      <c r="CD14" s="15"/>
      <c r="CE14" s="15">
        <f t="shared" si="24"/>
        <v>11794.544251399999</v>
      </c>
      <c r="CF14" s="15">
        <f t="shared" si="25"/>
        <v>11794.544251399999</v>
      </c>
      <c r="CG14" s="15">
        <v>1442</v>
      </c>
      <c r="CH14" s="15"/>
      <c r="CI14" s="15"/>
      <c r="CJ14" s="15">
        <f t="shared" si="26"/>
        <v>2290.5595166</v>
      </c>
      <c r="CK14" s="15">
        <f t="shared" si="27"/>
        <v>2290.5595166</v>
      </c>
      <c r="CL14" s="15">
        <v>280</v>
      </c>
      <c r="CM14" s="15"/>
      <c r="CN14" s="15"/>
      <c r="CO14" s="15">
        <f t="shared" si="28"/>
        <v>9101.270724400001</v>
      </c>
      <c r="CP14" s="15">
        <f t="shared" si="29"/>
        <v>9101.270724400001</v>
      </c>
      <c r="CQ14" s="15">
        <v>1113</v>
      </c>
      <c r="CR14" s="15"/>
      <c r="CS14" s="15"/>
      <c r="CT14" s="15">
        <f t="shared" si="30"/>
        <v>22197.550115799997</v>
      </c>
      <c r="CU14" s="15">
        <f t="shared" si="31"/>
        <v>22197.550115799997</v>
      </c>
      <c r="CV14" s="15">
        <v>2715</v>
      </c>
      <c r="CW14" s="15"/>
      <c r="CX14" s="15"/>
      <c r="CY14" s="15">
        <f t="shared" si="32"/>
        <v>49684.0995384</v>
      </c>
      <c r="CZ14" s="15">
        <f t="shared" si="33"/>
        <v>49684.0995384</v>
      </c>
      <c r="DA14" s="15">
        <v>6076</v>
      </c>
      <c r="DB14" s="15"/>
      <c r="DC14" s="15"/>
      <c r="DD14" s="15">
        <f t="shared" si="34"/>
        <v>7516.9437154</v>
      </c>
      <c r="DE14" s="15">
        <f t="shared" si="35"/>
        <v>7516.9437154</v>
      </c>
      <c r="DF14" s="15">
        <v>919</v>
      </c>
      <c r="DG14" s="15"/>
      <c r="DH14" s="15"/>
      <c r="DI14" s="15">
        <f t="shared" si="36"/>
        <v>21598.7519514</v>
      </c>
      <c r="DJ14" s="15">
        <f t="shared" si="37"/>
        <v>21598.7519514</v>
      </c>
      <c r="DK14" s="15">
        <v>2642</v>
      </c>
      <c r="DL14" s="15"/>
      <c r="DM14" s="15"/>
      <c r="DN14" s="15">
        <f t="shared" si="38"/>
        <v>832.2866065999999</v>
      </c>
      <c r="DO14" s="15">
        <f t="shared" si="39"/>
        <v>832.2866065999999</v>
      </c>
      <c r="DP14" s="15">
        <v>102</v>
      </c>
      <c r="DQ14" s="15"/>
      <c r="DR14" s="15"/>
      <c r="DS14" s="15">
        <f t="shared" si="40"/>
        <v>45563.6958788</v>
      </c>
      <c r="DT14" s="15">
        <f t="shared" si="41"/>
        <v>45563.6958788</v>
      </c>
      <c r="DU14" s="15">
        <v>5572</v>
      </c>
      <c r="DV14" s="15"/>
      <c r="DW14" s="15"/>
      <c r="DX14" s="15">
        <f t="shared" si="42"/>
        <v>7173.384504400001</v>
      </c>
      <c r="DY14" s="15">
        <f t="shared" si="43"/>
        <v>7173.384504400001</v>
      </c>
      <c r="DZ14" s="15">
        <v>877</v>
      </c>
      <c r="EA14" s="15"/>
      <c r="EB14" s="15"/>
      <c r="EC14" s="15">
        <f t="shared" si="44"/>
        <v>36914.7369214</v>
      </c>
      <c r="ED14" s="15">
        <f t="shared" si="45"/>
        <v>36914.7369214</v>
      </c>
      <c r="EE14" s="15">
        <v>4515</v>
      </c>
      <c r="EF14" s="15"/>
      <c r="EG14" s="15"/>
      <c r="EH14" s="15">
        <f t="shared" si="46"/>
        <v>10538.7817828</v>
      </c>
      <c r="EI14" s="15">
        <f t="shared" si="47"/>
        <v>10538.7817828</v>
      </c>
      <c r="EJ14" s="15">
        <v>1289</v>
      </c>
      <c r="EK14" s="15"/>
      <c r="EL14" s="15"/>
      <c r="EM14" s="15">
        <f t="shared" si="48"/>
        <v>105.78657720000001</v>
      </c>
      <c r="EN14" s="15">
        <f t="shared" si="49"/>
        <v>105.78657720000001</v>
      </c>
      <c r="EO14" s="15">
        <v>13</v>
      </c>
      <c r="EP14" s="15"/>
      <c r="EQ14" s="15"/>
      <c r="ER14" s="15">
        <f t="shared" si="50"/>
        <v>196.41370719999998</v>
      </c>
      <c r="ES14" s="15">
        <f t="shared" si="51"/>
        <v>196.41370719999998</v>
      </c>
      <c r="ET14" s="15">
        <v>24</v>
      </c>
      <c r="EU14" s="15"/>
      <c r="EV14" s="15"/>
      <c r="EW14" s="15">
        <f t="shared" si="52"/>
        <v>35505.402661600005</v>
      </c>
      <c r="EX14" s="15">
        <f t="shared" si="53"/>
        <v>35505.402661600005</v>
      </c>
      <c r="EY14" s="15">
        <v>4342</v>
      </c>
      <c r="EZ14" s="15"/>
      <c r="FA14" s="15"/>
      <c r="FB14" s="15">
        <f t="shared" si="54"/>
        <v>65995.6647256</v>
      </c>
      <c r="FC14" s="15">
        <f t="shared" si="55"/>
        <v>65995.6647256</v>
      </c>
      <c r="FD14" s="15">
        <v>8071</v>
      </c>
      <c r="FE14" s="15"/>
      <c r="FF14" s="22"/>
      <c r="FG14" s="15"/>
      <c r="FH14" s="15"/>
      <c r="FI14" s="15"/>
    </row>
    <row r="15" spans="1:165" ht="12.75">
      <c r="A15" s="2">
        <v>41000</v>
      </c>
      <c r="C15" s="16">
        <v>15485000</v>
      </c>
      <c r="D15" s="16">
        <v>2316641</v>
      </c>
      <c r="E15" s="16">
        <f t="shared" si="0"/>
        <v>17801641</v>
      </c>
      <c r="F15" s="16">
        <f t="shared" si="56"/>
        <v>1119849</v>
      </c>
      <c r="G15" s="16">
        <f t="shared" si="57"/>
        <v>275437</v>
      </c>
      <c r="I15" s="16"/>
      <c r="J15" s="16"/>
      <c r="K15" s="16"/>
      <c r="L15" s="16"/>
      <c r="M15" s="16"/>
      <c r="O15" s="15">
        <v>8020000</v>
      </c>
      <c r="P15" s="15">
        <v>200500</v>
      </c>
      <c r="Q15" s="15">
        <f t="shared" si="1"/>
        <v>8220500</v>
      </c>
      <c r="R15" s="15">
        <v>784759</v>
      </c>
      <c r="S15" s="15">
        <v>174708</v>
      </c>
      <c r="U15" s="15">
        <v>3390000</v>
      </c>
      <c r="V15" s="15">
        <v>468375</v>
      </c>
      <c r="W15" s="15">
        <f t="shared" si="2"/>
        <v>3858375</v>
      </c>
      <c r="X15" s="15">
        <v>133485</v>
      </c>
      <c r="Y15" s="15">
        <v>100729</v>
      </c>
      <c r="AA15" s="16">
        <v>4075000</v>
      </c>
      <c r="AB15" s="16">
        <v>1647766</v>
      </c>
      <c r="AC15" s="16">
        <f t="shared" si="3"/>
        <v>5722766</v>
      </c>
      <c r="AD15" s="16">
        <f t="shared" si="58"/>
        <v>201605</v>
      </c>
      <c r="AF15" s="33">
        <v>2212016</v>
      </c>
      <c r="AG15" s="33">
        <v>894450</v>
      </c>
      <c r="AH15" s="33">
        <f t="shared" si="4"/>
        <v>3106466</v>
      </c>
      <c r="AI15" s="33">
        <v>109392</v>
      </c>
      <c r="AK15" s="15">
        <f t="shared" si="5"/>
        <v>1862984.4574999996</v>
      </c>
      <c r="AL15" s="22">
        <f t="shared" si="6"/>
        <v>753315.9380606</v>
      </c>
      <c r="AM15" s="15">
        <f t="shared" si="7"/>
        <v>2616300.3955605994</v>
      </c>
      <c r="AN15" s="15">
        <f t="shared" si="59"/>
        <v>92213</v>
      </c>
      <c r="AP15" s="15">
        <f t="shared" si="60"/>
        <v>333025.3</v>
      </c>
      <c r="AQ15" s="16">
        <f t="shared" si="8"/>
        <v>134662.028584</v>
      </c>
      <c r="AR15" s="15">
        <f t="shared" si="9"/>
        <v>467687.328584</v>
      </c>
      <c r="AS15" s="15">
        <v>16469</v>
      </c>
      <c r="AU15" s="15">
        <f t="shared" si="61"/>
        <v>242725.745</v>
      </c>
      <c r="AV15" s="15">
        <f t="shared" si="10"/>
        <v>98148.52268360001</v>
      </c>
      <c r="AW15" s="15">
        <f t="shared" si="11"/>
        <v>340874.2676836</v>
      </c>
      <c r="AX15" s="15">
        <v>12004</v>
      </c>
      <c r="AZ15" s="15">
        <f t="shared" si="62"/>
        <v>128690.13</v>
      </c>
      <c r="BA15" s="15">
        <f t="shared" si="12"/>
        <v>52037.1093864</v>
      </c>
      <c r="BB15" s="15">
        <f t="shared" si="13"/>
        <v>180727.2393864</v>
      </c>
      <c r="BC15" s="15">
        <v>6364</v>
      </c>
      <c r="BE15" s="3">
        <f t="shared" si="63"/>
        <v>93594.6</v>
      </c>
      <c r="BF15" s="3">
        <f t="shared" si="14"/>
        <v>37845.889488</v>
      </c>
      <c r="BG15" s="3">
        <f t="shared" si="15"/>
        <v>131440.489488</v>
      </c>
      <c r="BH15" s="3">
        <v>4713</v>
      </c>
      <c r="BI15" s="15"/>
      <c r="BJ15" s="15">
        <f t="shared" si="64"/>
        <v>10720.9175</v>
      </c>
      <c r="BK15" s="15">
        <f t="shared" si="16"/>
        <v>4335.1075694</v>
      </c>
      <c r="BL15" s="15">
        <f t="shared" si="17"/>
        <v>15056.025069399999</v>
      </c>
      <c r="BM15" s="15">
        <v>530</v>
      </c>
      <c r="BN15" s="15"/>
      <c r="BO15" s="15">
        <f t="shared" si="65"/>
        <v>169613.3175</v>
      </c>
      <c r="BP15" s="15">
        <f t="shared" si="18"/>
        <v>68584.7994414</v>
      </c>
      <c r="BQ15" s="15">
        <f t="shared" si="19"/>
        <v>238198.1169414</v>
      </c>
      <c r="BR15" s="15">
        <v>8388</v>
      </c>
      <c r="BS15" s="15"/>
      <c r="BT15" s="15">
        <f t="shared" si="66"/>
        <v>18386.8075</v>
      </c>
      <c r="BU15" s="15">
        <f t="shared" si="20"/>
        <v>7434.884968599999</v>
      </c>
      <c r="BV15" s="15">
        <f t="shared" si="21"/>
        <v>25821.6924686</v>
      </c>
      <c r="BW15" s="15">
        <v>909</v>
      </c>
      <c r="BX15" s="15"/>
      <c r="BY15" s="15">
        <f t="shared" si="67"/>
        <v>57517.4025</v>
      </c>
      <c r="BZ15" s="15">
        <f t="shared" si="22"/>
        <v>23257.722760200002</v>
      </c>
      <c r="CA15" s="15">
        <f t="shared" si="23"/>
        <v>80775.1252602</v>
      </c>
      <c r="CB15" s="15">
        <v>2844</v>
      </c>
      <c r="CC15" s="15"/>
      <c r="CD15" s="15">
        <f t="shared" si="68"/>
        <v>29168.4425</v>
      </c>
      <c r="CE15" s="15">
        <f t="shared" si="24"/>
        <v>11794.544251399999</v>
      </c>
      <c r="CF15" s="15">
        <f t="shared" si="25"/>
        <v>40962.9867514</v>
      </c>
      <c r="CG15" s="15">
        <v>1442</v>
      </c>
      <c r="CH15" s="15"/>
      <c r="CI15" s="15">
        <f t="shared" si="69"/>
        <v>5664.6575</v>
      </c>
      <c r="CJ15" s="15">
        <f t="shared" si="26"/>
        <v>2290.5595166</v>
      </c>
      <c r="CK15" s="15">
        <f t="shared" si="27"/>
        <v>7955.2170166</v>
      </c>
      <c r="CL15" s="15">
        <v>280</v>
      </c>
      <c r="CM15" s="15"/>
      <c r="CN15" s="15">
        <f t="shared" si="70"/>
        <v>22507.855</v>
      </c>
      <c r="CO15" s="15">
        <f t="shared" si="28"/>
        <v>9101.270724400001</v>
      </c>
      <c r="CP15" s="15">
        <f t="shared" si="29"/>
        <v>31609.1257244</v>
      </c>
      <c r="CQ15" s="15">
        <v>1113</v>
      </c>
      <c r="CR15" s="15"/>
      <c r="CS15" s="15">
        <f t="shared" si="71"/>
        <v>54895.5475</v>
      </c>
      <c r="CT15" s="15">
        <f t="shared" si="30"/>
        <v>22197.550115799997</v>
      </c>
      <c r="CU15" s="15">
        <f t="shared" si="31"/>
        <v>77093.0976158</v>
      </c>
      <c r="CV15" s="15">
        <v>2715</v>
      </c>
      <c r="CW15" s="15"/>
      <c r="CX15" s="15">
        <f t="shared" si="72"/>
        <v>122871.03</v>
      </c>
      <c r="CY15" s="15">
        <f t="shared" si="32"/>
        <v>49684.0995384</v>
      </c>
      <c r="CZ15" s="15">
        <f t="shared" si="33"/>
        <v>172555.12953839998</v>
      </c>
      <c r="DA15" s="15">
        <v>6076</v>
      </c>
      <c r="DB15" s="15"/>
      <c r="DC15" s="15">
        <f t="shared" si="73"/>
        <v>18589.7425</v>
      </c>
      <c r="DD15" s="15">
        <f t="shared" si="34"/>
        <v>7516.9437154</v>
      </c>
      <c r="DE15" s="15">
        <f t="shared" si="35"/>
        <v>26106.6862154</v>
      </c>
      <c r="DF15" s="15">
        <v>919</v>
      </c>
      <c r="DG15" s="15"/>
      <c r="DH15" s="15">
        <f t="shared" si="74"/>
        <v>53414.6925</v>
      </c>
      <c r="DI15" s="15">
        <f t="shared" si="36"/>
        <v>21598.7519514</v>
      </c>
      <c r="DJ15" s="15">
        <f t="shared" si="37"/>
        <v>75013.44445139999</v>
      </c>
      <c r="DK15" s="15">
        <v>2642</v>
      </c>
      <c r="DL15" s="15"/>
      <c r="DM15" s="15">
        <f t="shared" si="75"/>
        <v>2058.2825</v>
      </c>
      <c r="DN15" s="15">
        <f t="shared" si="38"/>
        <v>832.2866065999999</v>
      </c>
      <c r="DO15" s="15">
        <f t="shared" si="39"/>
        <v>2890.5691066</v>
      </c>
      <c r="DP15" s="15">
        <v>102</v>
      </c>
      <c r="DQ15" s="15"/>
      <c r="DR15" s="15">
        <f t="shared" si="76"/>
        <v>112681.085</v>
      </c>
      <c r="DS15" s="15">
        <f t="shared" si="40"/>
        <v>45563.6958788</v>
      </c>
      <c r="DT15" s="15">
        <f t="shared" si="41"/>
        <v>158244.7808788</v>
      </c>
      <c r="DU15" s="15">
        <v>5572</v>
      </c>
      <c r="DV15" s="15"/>
      <c r="DW15" s="15">
        <f t="shared" si="77"/>
        <v>17740.105</v>
      </c>
      <c r="DX15" s="15">
        <f t="shared" si="42"/>
        <v>7173.384504400001</v>
      </c>
      <c r="DY15" s="15">
        <f t="shared" si="43"/>
        <v>24913.4895044</v>
      </c>
      <c r="DZ15" s="15">
        <v>877</v>
      </c>
      <c r="EA15" s="15"/>
      <c r="EB15" s="15">
        <f t="shared" si="78"/>
        <v>91291.8175</v>
      </c>
      <c r="EC15" s="15">
        <f t="shared" si="44"/>
        <v>36914.7369214</v>
      </c>
      <c r="ED15" s="15">
        <f t="shared" si="45"/>
        <v>128206.55442140001</v>
      </c>
      <c r="EE15" s="15">
        <v>4515</v>
      </c>
      <c r="EF15" s="15"/>
      <c r="EG15" s="15">
        <f t="shared" si="79"/>
        <v>26062.885</v>
      </c>
      <c r="EH15" s="15">
        <f t="shared" si="46"/>
        <v>10538.7817828</v>
      </c>
      <c r="EI15" s="15">
        <f t="shared" si="47"/>
        <v>36601.6667828</v>
      </c>
      <c r="EJ15" s="15">
        <v>1289</v>
      </c>
      <c r="EK15" s="15"/>
      <c r="EL15" s="15">
        <f t="shared" si="80"/>
        <v>261.615</v>
      </c>
      <c r="EM15" s="15">
        <f t="shared" si="48"/>
        <v>105.78657720000001</v>
      </c>
      <c r="EN15" s="15">
        <f t="shared" si="49"/>
        <v>367.4015772</v>
      </c>
      <c r="EO15" s="15">
        <v>13</v>
      </c>
      <c r="EP15" s="15"/>
      <c r="EQ15" s="15">
        <f t="shared" si="81"/>
        <v>485.74</v>
      </c>
      <c r="ER15" s="15">
        <f t="shared" si="50"/>
        <v>196.41370719999998</v>
      </c>
      <c r="ES15" s="15">
        <f t="shared" si="51"/>
        <v>682.1537072</v>
      </c>
      <c r="ET15" s="15">
        <v>24</v>
      </c>
      <c r="EU15" s="15"/>
      <c r="EV15" s="15">
        <f t="shared" si="82"/>
        <v>87806.47</v>
      </c>
      <c r="EW15" s="15">
        <f t="shared" si="52"/>
        <v>35505.402661600005</v>
      </c>
      <c r="EX15" s="15">
        <f t="shared" si="53"/>
        <v>123311.8726616</v>
      </c>
      <c r="EY15" s="15">
        <v>4342</v>
      </c>
      <c r="EZ15" s="15"/>
      <c r="FA15" s="15">
        <f t="shared" si="83"/>
        <v>163210.27</v>
      </c>
      <c r="FB15" s="15">
        <f t="shared" si="54"/>
        <v>65995.6647256</v>
      </c>
      <c r="FC15" s="15">
        <f t="shared" si="55"/>
        <v>229205.9347256</v>
      </c>
      <c r="FD15" s="15">
        <v>8071</v>
      </c>
      <c r="FE15" s="15"/>
      <c r="FF15" s="22"/>
      <c r="FG15" s="15"/>
      <c r="FH15" s="15"/>
      <c r="FI15" s="15"/>
    </row>
    <row r="16" spans="1:165" ht="12.75">
      <c r="A16" s="2">
        <v>41183</v>
      </c>
      <c r="D16" s="16">
        <v>1929516</v>
      </c>
      <c r="E16" s="16">
        <f t="shared" si="0"/>
        <v>1929516</v>
      </c>
      <c r="F16" s="16">
        <f t="shared" si="56"/>
        <v>335090</v>
      </c>
      <c r="G16" s="16">
        <f t="shared" si="57"/>
        <v>100729</v>
      </c>
      <c r="I16" s="16"/>
      <c r="J16" s="16"/>
      <c r="K16" s="16"/>
      <c r="L16" s="16"/>
      <c r="M16" s="16"/>
      <c r="V16" s="15">
        <v>383625</v>
      </c>
      <c r="W16" s="15">
        <f t="shared" si="2"/>
        <v>383625</v>
      </c>
      <c r="X16" s="15">
        <v>133485</v>
      </c>
      <c r="Y16" s="15">
        <v>100729</v>
      </c>
      <c r="AA16" s="16"/>
      <c r="AB16" s="16">
        <v>1545891</v>
      </c>
      <c r="AC16" s="16">
        <f t="shared" si="3"/>
        <v>1545891</v>
      </c>
      <c r="AD16" s="16">
        <f t="shared" si="58"/>
        <v>201605</v>
      </c>
      <c r="AF16" s="33"/>
      <c r="AG16" s="33">
        <v>839150</v>
      </c>
      <c r="AH16" s="33">
        <f t="shared" si="4"/>
        <v>839150</v>
      </c>
      <c r="AI16" s="33">
        <v>109392</v>
      </c>
      <c r="AK16" s="15">
        <f t="shared" si="5"/>
        <v>0</v>
      </c>
      <c r="AL16" s="22">
        <f t="shared" si="6"/>
        <v>706741.3266231</v>
      </c>
      <c r="AM16" s="15">
        <f t="shared" si="7"/>
        <v>706741.3266231</v>
      </c>
      <c r="AN16" s="15">
        <f t="shared" si="59"/>
        <v>92213</v>
      </c>
      <c r="AP16" s="15"/>
      <c r="AQ16" s="16">
        <f t="shared" si="8"/>
        <v>126336.396084</v>
      </c>
      <c r="AR16" s="15">
        <f t="shared" si="9"/>
        <v>126336.396084</v>
      </c>
      <c r="AS16" s="15">
        <v>16469</v>
      </c>
      <c r="AU16" s="15"/>
      <c r="AV16" s="15">
        <f t="shared" si="10"/>
        <v>92080.3790586</v>
      </c>
      <c r="AW16" s="15">
        <f t="shared" si="11"/>
        <v>92080.3790586</v>
      </c>
      <c r="AX16" s="15">
        <v>12004</v>
      </c>
      <c r="AZ16" s="15"/>
      <c r="BA16" s="15">
        <f t="shared" si="12"/>
        <v>48819.8561364</v>
      </c>
      <c r="BB16" s="15">
        <f t="shared" si="13"/>
        <v>48819.8561364</v>
      </c>
      <c r="BC16" s="15">
        <v>6364</v>
      </c>
      <c r="BE16" s="3"/>
      <c r="BF16" s="3">
        <f t="shared" si="14"/>
        <v>35506.024488</v>
      </c>
      <c r="BG16" s="3">
        <f t="shared" si="15"/>
        <v>35506.024488</v>
      </c>
      <c r="BH16" s="3">
        <v>4713</v>
      </c>
      <c r="BI16" s="15"/>
      <c r="BJ16" s="15"/>
      <c r="BK16" s="15">
        <f t="shared" si="16"/>
        <v>4067.0846318999997</v>
      </c>
      <c r="BL16" s="15">
        <f t="shared" si="17"/>
        <v>4067.0846318999997</v>
      </c>
      <c r="BM16" s="15">
        <v>530</v>
      </c>
      <c r="BN16" s="15"/>
      <c r="BO16" s="15"/>
      <c r="BP16" s="15">
        <f t="shared" si="18"/>
        <v>64344.46650389999</v>
      </c>
      <c r="BQ16" s="15">
        <f t="shared" si="19"/>
        <v>64344.46650389999</v>
      </c>
      <c r="BR16" s="15">
        <v>8388</v>
      </c>
      <c r="BS16" s="15"/>
      <c r="BT16" s="15"/>
      <c r="BU16" s="15">
        <f t="shared" si="20"/>
        <v>6975.2147811</v>
      </c>
      <c r="BV16" s="15">
        <f t="shared" si="21"/>
        <v>6975.2147811</v>
      </c>
      <c r="BW16" s="15">
        <v>909</v>
      </c>
      <c r="BX16" s="15"/>
      <c r="BY16" s="15"/>
      <c r="BZ16" s="15">
        <f t="shared" si="22"/>
        <v>21819.7876977</v>
      </c>
      <c r="CA16" s="15">
        <f t="shared" si="23"/>
        <v>21819.7876977</v>
      </c>
      <c r="CB16" s="15">
        <v>2844</v>
      </c>
      <c r="CC16" s="15"/>
      <c r="CD16" s="15"/>
      <c r="CE16" s="15">
        <f t="shared" si="24"/>
        <v>11065.3331889</v>
      </c>
      <c r="CF16" s="15">
        <f t="shared" si="25"/>
        <v>11065.3331889</v>
      </c>
      <c r="CG16" s="15">
        <v>1442</v>
      </c>
      <c r="CH16" s="15"/>
      <c r="CI16" s="15"/>
      <c r="CJ16" s="15">
        <f t="shared" si="26"/>
        <v>2148.9430791</v>
      </c>
      <c r="CK16" s="15">
        <f t="shared" si="27"/>
        <v>2148.9430791</v>
      </c>
      <c r="CL16" s="15">
        <v>280</v>
      </c>
      <c r="CM16" s="15"/>
      <c r="CN16" s="15"/>
      <c r="CO16" s="15">
        <f t="shared" si="28"/>
        <v>8538.5743494</v>
      </c>
      <c r="CP16" s="15">
        <f t="shared" si="29"/>
        <v>8538.5743494</v>
      </c>
      <c r="CQ16" s="15">
        <v>1113</v>
      </c>
      <c r="CR16" s="15"/>
      <c r="CS16" s="15"/>
      <c r="CT16" s="15">
        <f t="shared" si="30"/>
        <v>20825.161428299998</v>
      </c>
      <c r="CU16" s="15">
        <f t="shared" si="31"/>
        <v>20825.161428299998</v>
      </c>
      <c r="CV16" s="15">
        <v>2715</v>
      </c>
      <c r="CW16" s="15"/>
      <c r="CX16" s="15"/>
      <c r="CY16" s="15">
        <f t="shared" si="32"/>
        <v>46612.3237884</v>
      </c>
      <c r="CZ16" s="15">
        <f t="shared" si="33"/>
        <v>46612.3237884</v>
      </c>
      <c r="DA16" s="15">
        <v>6076</v>
      </c>
      <c r="DB16" s="15"/>
      <c r="DC16" s="15"/>
      <c r="DD16" s="15">
        <f t="shared" si="34"/>
        <v>7052.2001529</v>
      </c>
      <c r="DE16" s="15">
        <f t="shared" si="35"/>
        <v>7052.2001529</v>
      </c>
      <c r="DF16" s="15">
        <v>919</v>
      </c>
      <c r="DG16" s="15"/>
      <c r="DH16" s="15"/>
      <c r="DI16" s="15">
        <f t="shared" si="36"/>
        <v>20263.3846389</v>
      </c>
      <c r="DJ16" s="15">
        <f t="shared" si="37"/>
        <v>20263.3846389</v>
      </c>
      <c r="DK16" s="15">
        <v>2642</v>
      </c>
      <c r="DL16" s="15"/>
      <c r="DM16" s="15"/>
      <c r="DN16" s="15">
        <f t="shared" si="38"/>
        <v>780.8295441</v>
      </c>
      <c r="DO16" s="15">
        <f t="shared" si="39"/>
        <v>780.8295441</v>
      </c>
      <c r="DP16" s="15">
        <v>102</v>
      </c>
      <c r="DQ16" s="15"/>
      <c r="DR16" s="15"/>
      <c r="DS16" s="15">
        <f t="shared" si="40"/>
        <v>42746.668753800004</v>
      </c>
      <c r="DT16" s="15">
        <f t="shared" si="41"/>
        <v>42746.668753800004</v>
      </c>
      <c r="DU16" s="15">
        <v>5572</v>
      </c>
      <c r="DV16" s="15"/>
      <c r="DW16" s="15"/>
      <c r="DX16" s="15">
        <f t="shared" si="42"/>
        <v>6729.8818794</v>
      </c>
      <c r="DY16" s="15">
        <f t="shared" si="43"/>
        <v>6729.8818794</v>
      </c>
      <c r="DZ16" s="15">
        <v>877</v>
      </c>
      <c r="EA16" s="15"/>
      <c r="EB16" s="15"/>
      <c r="EC16" s="15">
        <f t="shared" si="44"/>
        <v>34632.441483899995</v>
      </c>
      <c r="ED16" s="15">
        <f t="shared" si="45"/>
        <v>34632.441483899995</v>
      </c>
      <c r="EE16" s="15">
        <v>4515</v>
      </c>
      <c r="EF16" s="15"/>
      <c r="EG16" s="15"/>
      <c r="EH16" s="15">
        <f t="shared" si="46"/>
        <v>9887.2096578</v>
      </c>
      <c r="EI16" s="15">
        <f t="shared" si="47"/>
        <v>9887.2096578</v>
      </c>
      <c r="EJ16" s="15">
        <v>1289</v>
      </c>
      <c r="EK16" s="15"/>
      <c r="EL16" s="15"/>
      <c r="EM16" s="15">
        <f t="shared" si="48"/>
        <v>99.24620220000001</v>
      </c>
      <c r="EN16" s="15">
        <f t="shared" si="49"/>
        <v>99.24620220000001</v>
      </c>
      <c r="EO16" s="15">
        <v>13</v>
      </c>
      <c r="EP16" s="15"/>
      <c r="EQ16" s="15"/>
      <c r="ER16" s="15">
        <f t="shared" si="50"/>
        <v>184.27020720000002</v>
      </c>
      <c r="ES16" s="15">
        <f t="shared" si="51"/>
        <v>184.27020720000002</v>
      </c>
      <c r="ET16" s="15">
        <v>24</v>
      </c>
      <c r="EU16" s="15"/>
      <c r="EV16" s="15"/>
      <c r="EW16" s="15">
        <f t="shared" si="52"/>
        <v>33310.2409116</v>
      </c>
      <c r="EX16" s="15">
        <f t="shared" si="53"/>
        <v>33310.2409116</v>
      </c>
      <c r="EY16" s="15">
        <v>4342</v>
      </c>
      <c r="EZ16" s="15"/>
      <c r="FA16" s="15"/>
      <c r="FB16" s="15">
        <f t="shared" si="54"/>
        <v>61915.4079756</v>
      </c>
      <c r="FC16" s="15">
        <f t="shared" si="55"/>
        <v>61915.4079756</v>
      </c>
      <c r="FD16" s="15">
        <v>8071</v>
      </c>
      <c r="FE16" s="15"/>
      <c r="FF16" s="22"/>
      <c r="FG16" s="15"/>
      <c r="FH16" s="15"/>
      <c r="FI16" s="15"/>
    </row>
    <row r="17" spans="1:165" ht="12.75">
      <c r="A17" s="2">
        <v>41365</v>
      </c>
      <c r="C17" s="16">
        <v>7840000</v>
      </c>
      <c r="D17" s="16">
        <v>1929516</v>
      </c>
      <c r="E17" s="16">
        <f t="shared" si="0"/>
        <v>9769516</v>
      </c>
      <c r="F17" s="16">
        <f t="shared" si="56"/>
        <v>335090</v>
      </c>
      <c r="G17" s="16">
        <f t="shared" si="57"/>
        <v>100729</v>
      </c>
      <c r="I17" s="16"/>
      <c r="J17" s="16"/>
      <c r="K17" s="16"/>
      <c r="L17" s="16"/>
      <c r="M17" s="16"/>
      <c r="U17" s="15">
        <v>3560000</v>
      </c>
      <c r="V17" s="15">
        <v>383625</v>
      </c>
      <c r="W17" s="15">
        <f t="shared" si="2"/>
        <v>3943625</v>
      </c>
      <c r="X17" s="15">
        <v>133485</v>
      </c>
      <c r="Y17" s="15">
        <v>100729</v>
      </c>
      <c r="AA17" s="16">
        <v>4280000</v>
      </c>
      <c r="AB17" s="16">
        <v>1545891</v>
      </c>
      <c r="AC17" s="16">
        <f t="shared" si="3"/>
        <v>5825891</v>
      </c>
      <c r="AD17" s="16">
        <f t="shared" si="58"/>
        <v>201605</v>
      </c>
      <c r="AF17" s="33">
        <v>2323295</v>
      </c>
      <c r="AG17" s="33">
        <v>839150</v>
      </c>
      <c r="AH17" s="33">
        <f t="shared" si="4"/>
        <v>3162445</v>
      </c>
      <c r="AI17" s="33">
        <v>109392</v>
      </c>
      <c r="AK17" s="15">
        <f t="shared" si="5"/>
        <v>1956705.1479999998</v>
      </c>
      <c r="AL17" s="22">
        <f t="shared" si="6"/>
        <v>706741.3266231</v>
      </c>
      <c r="AM17" s="15">
        <f t="shared" si="7"/>
        <v>2663446.4746231</v>
      </c>
      <c r="AN17" s="15">
        <f t="shared" si="59"/>
        <v>92213</v>
      </c>
      <c r="AP17" s="15">
        <f t="shared" si="60"/>
        <v>349778.72</v>
      </c>
      <c r="AQ17" s="16">
        <f t="shared" si="8"/>
        <v>126336.396084</v>
      </c>
      <c r="AR17" s="15">
        <f t="shared" si="9"/>
        <v>476115.116084</v>
      </c>
      <c r="AS17" s="15">
        <v>16469</v>
      </c>
      <c r="AU17" s="15">
        <f t="shared" si="61"/>
        <v>254936.488</v>
      </c>
      <c r="AV17" s="15">
        <f t="shared" si="10"/>
        <v>92080.3790586</v>
      </c>
      <c r="AW17" s="15">
        <f t="shared" si="11"/>
        <v>347016.8670586</v>
      </c>
      <c r="AX17" s="15">
        <v>12004</v>
      </c>
      <c r="AZ17" s="15">
        <f t="shared" si="62"/>
        <v>135164.11200000002</v>
      </c>
      <c r="BA17" s="15">
        <f t="shared" si="12"/>
        <v>48819.8561364</v>
      </c>
      <c r="BB17" s="15">
        <f t="shared" si="13"/>
        <v>183983.9681364</v>
      </c>
      <c r="BC17" s="15">
        <v>6364</v>
      </c>
      <c r="BE17" s="3">
        <f t="shared" si="63"/>
        <v>98303.04</v>
      </c>
      <c r="BF17" s="3">
        <f t="shared" si="14"/>
        <v>35506.024488</v>
      </c>
      <c r="BG17" s="3">
        <f t="shared" si="15"/>
        <v>133809.064488</v>
      </c>
      <c r="BH17" s="3">
        <v>4713</v>
      </c>
      <c r="BI17" s="15"/>
      <c r="BJ17" s="15">
        <f t="shared" si="64"/>
        <v>11260.252</v>
      </c>
      <c r="BK17" s="15">
        <f t="shared" si="16"/>
        <v>4067.0846318999997</v>
      </c>
      <c r="BL17" s="15">
        <f t="shared" si="17"/>
        <v>15327.3366319</v>
      </c>
      <c r="BM17" s="15">
        <v>530</v>
      </c>
      <c r="BN17" s="15"/>
      <c r="BO17" s="15">
        <f t="shared" si="65"/>
        <v>178146.012</v>
      </c>
      <c r="BP17" s="15">
        <f t="shared" si="18"/>
        <v>64344.46650389999</v>
      </c>
      <c r="BQ17" s="15">
        <f t="shared" si="19"/>
        <v>242490.47850389997</v>
      </c>
      <c r="BR17" s="15">
        <v>8388</v>
      </c>
      <c r="BS17" s="15"/>
      <c r="BT17" s="15">
        <f t="shared" si="66"/>
        <v>19311.788</v>
      </c>
      <c r="BU17" s="15">
        <f t="shared" si="20"/>
        <v>6975.2147811</v>
      </c>
      <c r="BV17" s="15">
        <f t="shared" si="21"/>
        <v>26287.0027811</v>
      </c>
      <c r="BW17" s="15">
        <v>909</v>
      </c>
      <c r="BX17" s="15"/>
      <c r="BY17" s="15">
        <f t="shared" si="67"/>
        <v>60410.916</v>
      </c>
      <c r="BZ17" s="15">
        <f t="shared" si="22"/>
        <v>21819.7876977</v>
      </c>
      <c r="CA17" s="15">
        <f t="shared" si="23"/>
        <v>82230.7036977</v>
      </c>
      <c r="CB17" s="15">
        <v>2844</v>
      </c>
      <c r="CC17" s="15"/>
      <c r="CD17" s="15">
        <f t="shared" si="68"/>
        <v>30635.812</v>
      </c>
      <c r="CE17" s="15">
        <f t="shared" si="24"/>
        <v>11065.3331889</v>
      </c>
      <c r="CF17" s="15">
        <f t="shared" si="25"/>
        <v>41701.1451889</v>
      </c>
      <c r="CG17" s="15">
        <v>1442</v>
      </c>
      <c r="CH17" s="15"/>
      <c r="CI17" s="15">
        <f t="shared" si="69"/>
        <v>5949.628</v>
      </c>
      <c r="CJ17" s="15">
        <f t="shared" si="26"/>
        <v>2148.9430791</v>
      </c>
      <c r="CK17" s="15">
        <f t="shared" si="27"/>
        <v>8098.5710791</v>
      </c>
      <c r="CL17" s="15">
        <v>280</v>
      </c>
      <c r="CM17" s="15"/>
      <c r="CN17" s="15">
        <f t="shared" si="70"/>
        <v>23640.152000000002</v>
      </c>
      <c r="CO17" s="15">
        <f t="shared" si="28"/>
        <v>8538.5743494</v>
      </c>
      <c r="CP17" s="15">
        <f t="shared" si="29"/>
        <v>32178.7263494</v>
      </c>
      <c r="CQ17" s="15">
        <v>1113</v>
      </c>
      <c r="CR17" s="15"/>
      <c r="CS17" s="15">
        <f t="shared" si="71"/>
        <v>57657.164</v>
      </c>
      <c r="CT17" s="15">
        <f t="shared" si="30"/>
        <v>20825.161428299998</v>
      </c>
      <c r="CU17" s="15">
        <f t="shared" si="31"/>
        <v>78482.3254283</v>
      </c>
      <c r="CV17" s="15">
        <v>2715</v>
      </c>
      <c r="CW17" s="15"/>
      <c r="CX17" s="15">
        <f t="shared" si="72"/>
        <v>129052.272</v>
      </c>
      <c r="CY17" s="15">
        <f t="shared" si="32"/>
        <v>46612.3237884</v>
      </c>
      <c r="CZ17" s="15">
        <f t="shared" si="33"/>
        <v>175664.59578839998</v>
      </c>
      <c r="DA17" s="15">
        <v>6076</v>
      </c>
      <c r="DB17" s="15"/>
      <c r="DC17" s="15">
        <f t="shared" si="73"/>
        <v>19524.932</v>
      </c>
      <c r="DD17" s="15">
        <f t="shared" si="34"/>
        <v>7052.2001529</v>
      </c>
      <c r="DE17" s="15">
        <f t="shared" si="35"/>
        <v>26577.1321529</v>
      </c>
      <c r="DF17" s="15">
        <v>919</v>
      </c>
      <c r="DG17" s="15"/>
      <c r="DH17" s="15">
        <f t="shared" si="74"/>
        <v>56101.81199999999</v>
      </c>
      <c r="DI17" s="15">
        <f t="shared" si="36"/>
        <v>20263.3846389</v>
      </c>
      <c r="DJ17" s="15">
        <f t="shared" si="37"/>
        <v>76365.19663889999</v>
      </c>
      <c r="DK17" s="15">
        <v>2642</v>
      </c>
      <c r="DL17" s="15"/>
      <c r="DM17" s="15">
        <f t="shared" si="75"/>
        <v>2161.828</v>
      </c>
      <c r="DN17" s="15">
        <f t="shared" si="38"/>
        <v>780.8295441</v>
      </c>
      <c r="DO17" s="15">
        <f t="shared" si="39"/>
        <v>2942.6575441</v>
      </c>
      <c r="DP17" s="15">
        <v>102</v>
      </c>
      <c r="DQ17" s="15"/>
      <c r="DR17" s="15">
        <f t="shared" si="76"/>
        <v>118349.704</v>
      </c>
      <c r="DS17" s="15">
        <f t="shared" si="40"/>
        <v>42746.668753800004</v>
      </c>
      <c r="DT17" s="15">
        <f t="shared" si="41"/>
        <v>161096.3727538</v>
      </c>
      <c r="DU17" s="15">
        <v>5572</v>
      </c>
      <c r="DV17" s="15"/>
      <c r="DW17" s="15">
        <f t="shared" si="77"/>
        <v>18632.552</v>
      </c>
      <c r="DX17" s="15">
        <f t="shared" si="42"/>
        <v>6729.8818794</v>
      </c>
      <c r="DY17" s="15">
        <f t="shared" si="43"/>
        <v>25362.4338794</v>
      </c>
      <c r="DZ17" s="15">
        <v>877</v>
      </c>
      <c r="EA17" s="15"/>
      <c r="EB17" s="15">
        <f t="shared" si="78"/>
        <v>95884.412</v>
      </c>
      <c r="EC17" s="15">
        <f t="shared" si="44"/>
        <v>34632.441483899995</v>
      </c>
      <c r="ED17" s="15">
        <f t="shared" si="45"/>
        <v>130516.85348389999</v>
      </c>
      <c r="EE17" s="15">
        <v>4515</v>
      </c>
      <c r="EF17" s="15"/>
      <c r="EG17" s="15">
        <f t="shared" si="79"/>
        <v>27374.024000000005</v>
      </c>
      <c r="EH17" s="15">
        <f t="shared" si="46"/>
        <v>9887.2096578</v>
      </c>
      <c r="EI17" s="15">
        <f t="shared" si="47"/>
        <v>37261.2336578</v>
      </c>
      <c r="EJ17" s="15">
        <v>1289</v>
      </c>
      <c r="EK17" s="15"/>
      <c r="EL17" s="15">
        <f t="shared" si="80"/>
        <v>274.776</v>
      </c>
      <c r="EM17" s="15">
        <f t="shared" si="48"/>
        <v>99.24620220000001</v>
      </c>
      <c r="EN17" s="15">
        <f t="shared" si="49"/>
        <v>374.02220220000004</v>
      </c>
      <c r="EO17" s="15">
        <v>13</v>
      </c>
      <c r="EP17" s="15"/>
      <c r="EQ17" s="15">
        <f t="shared" si="81"/>
        <v>510.176</v>
      </c>
      <c r="ER17" s="15">
        <f t="shared" si="50"/>
        <v>184.27020720000002</v>
      </c>
      <c r="ES17" s="15">
        <f t="shared" si="51"/>
        <v>694.4462072</v>
      </c>
      <c r="ET17" s="15">
        <v>24</v>
      </c>
      <c r="EU17" s="15"/>
      <c r="EV17" s="15">
        <f t="shared" si="82"/>
        <v>92223.728</v>
      </c>
      <c r="EW17" s="15">
        <f t="shared" si="52"/>
        <v>33310.2409116</v>
      </c>
      <c r="EX17" s="15">
        <f t="shared" si="53"/>
        <v>125533.96891160001</v>
      </c>
      <c r="EY17" s="15">
        <v>4342</v>
      </c>
      <c r="EZ17" s="15"/>
      <c r="FA17" s="15">
        <f t="shared" si="83"/>
        <v>171420.848</v>
      </c>
      <c r="FB17" s="15">
        <f t="shared" si="54"/>
        <v>61915.4079756</v>
      </c>
      <c r="FC17" s="15">
        <f t="shared" si="55"/>
        <v>233336.25597559998</v>
      </c>
      <c r="FD17" s="15">
        <v>8071</v>
      </c>
      <c r="FE17" s="15"/>
      <c r="FF17" s="22"/>
      <c r="FG17" s="15"/>
      <c r="FH17" s="15"/>
      <c r="FI17" s="15"/>
    </row>
    <row r="18" spans="1:165" ht="12.75">
      <c r="A18" s="2">
        <v>41548</v>
      </c>
      <c r="B18" s="11"/>
      <c r="D18" s="16">
        <v>1733516</v>
      </c>
      <c r="E18" s="16">
        <f t="shared" si="0"/>
        <v>1733516</v>
      </c>
      <c r="F18" s="16">
        <f t="shared" si="56"/>
        <v>335090</v>
      </c>
      <c r="G18" s="16">
        <f t="shared" si="57"/>
        <v>100729</v>
      </c>
      <c r="I18" s="16"/>
      <c r="J18" s="16"/>
      <c r="K18" s="16"/>
      <c r="L18" s="16"/>
      <c r="M18" s="16"/>
      <c r="V18" s="15">
        <v>294625</v>
      </c>
      <c r="W18" s="15">
        <f t="shared" si="2"/>
        <v>294625</v>
      </c>
      <c r="X18" s="15">
        <v>133485</v>
      </c>
      <c r="Y18" s="15">
        <v>100729</v>
      </c>
      <c r="AA18" s="16"/>
      <c r="AB18" s="16">
        <v>1438891</v>
      </c>
      <c r="AC18" s="16">
        <f t="shared" si="3"/>
        <v>1438891</v>
      </c>
      <c r="AD18" s="16">
        <f t="shared" si="58"/>
        <v>201605</v>
      </c>
      <c r="AF18" s="33"/>
      <c r="AG18" s="33">
        <v>781067</v>
      </c>
      <c r="AH18" s="33">
        <f t="shared" si="4"/>
        <v>781067</v>
      </c>
      <c r="AI18" s="33">
        <v>109392</v>
      </c>
      <c r="AK18" s="15">
        <f t="shared" si="5"/>
        <v>0</v>
      </c>
      <c r="AL18" s="22">
        <f t="shared" si="6"/>
        <v>657823.6979231001</v>
      </c>
      <c r="AM18" s="15">
        <f t="shared" si="7"/>
        <v>657823.6979231001</v>
      </c>
      <c r="AN18" s="15">
        <f t="shared" si="59"/>
        <v>92213</v>
      </c>
      <c r="AP18" s="15"/>
      <c r="AQ18" s="16">
        <f t="shared" si="8"/>
        <v>117591.928084</v>
      </c>
      <c r="AR18" s="15">
        <f t="shared" si="9"/>
        <v>117591.928084</v>
      </c>
      <c r="AS18" s="15">
        <v>16469</v>
      </c>
      <c r="AT18" s="11"/>
      <c r="AU18" s="15"/>
      <c r="AV18" s="15">
        <f t="shared" si="10"/>
        <v>85706.9668586</v>
      </c>
      <c r="AW18" s="15">
        <f t="shared" si="11"/>
        <v>85706.9668586</v>
      </c>
      <c r="AX18" s="15">
        <v>12004</v>
      </c>
      <c r="AY18" s="11"/>
      <c r="AZ18" s="15"/>
      <c r="BA18" s="15">
        <f t="shared" si="12"/>
        <v>45440.7533364</v>
      </c>
      <c r="BB18" s="15">
        <f t="shared" si="13"/>
        <v>45440.7533364</v>
      </c>
      <c r="BC18" s="15">
        <v>6364</v>
      </c>
      <c r="BD18" s="11"/>
      <c r="BE18" s="3"/>
      <c r="BF18" s="3">
        <f t="shared" si="14"/>
        <v>33048.448488</v>
      </c>
      <c r="BG18" s="3">
        <f t="shared" si="15"/>
        <v>33048.448488</v>
      </c>
      <c r="BH18" s="3">
        <v>4713</v>
      </c>
      <c r="BI18" s="15"/>
      <c r="BJ18" s="15"/>
      <c r="BK18" s="15">
        <f t="shared" si="16"/>
        <v>3785.5783318999997</v>
      </c>
      <c r="BL18" s="15">
        <f t="shared" si="17"/>
        <v>3785.5783318999997</v>
      </c>
      <c r="BM18" s="15">
        <v>530</v>
      </c>
      <c r="BN18" s="15"/>
      <c r="BO18" s="15"/>
      <c r="BP18" s="15">
        <f t="shared" si="18"/>
        <v>59890.8162039</v>
      </c>
      <c r="BQ18" s="15">
        <f t="shared" si="19"/>
        <v>59890.8162039</v>
      </c>
      <c r="BR18" s="15">
        <v>8388</v>
      </c>
      <c r="BS18" s="15"/>
      <c r="BT18" s="15"/>
      <c r="BU18" s="15">
        <f t="shared" si="20"/>
        <v>6492.420081100001</v>
      </c>
      <c r="BV18" s="15">
        <f t="shared" si="21"/>
        <v>6492.420081100001</v>
      </c>
      <c r="BW18" s="15">
        <v>909</v>
      </c>
      <c r="BX18" s="15"/>
      <c r="BY18" s="15"/>
      <c r="BZ18" s="15">
        <f t="shared" si="22"/>
        <v>20309.5147977</v>
      </c>
      <c r="CA18" s="15">
        <f t="shared" si="23"/>
        <v>20309.5147977</v>
      </c>
      <c r="CB18" s="15">
        <v>2844</v>
      </c>
      <c r="CC18" s="15"/>
      <c r="CD18" s="15"/>
      <c r="CE18" s="15">
        <f t="shared" si="24"/>
        <v>10299.4378889</v>
      </c>
      <c r="CF18" s="15">
        <f t="shared" si="25"/>
        <v>10299.4378889</v>
      </c>
      <c r="CG18" s="15">
        <v>1442</v>
      </c>
      <c r="CH18" s="15"/>
      <c r="CI18" s="15"/>
      <c r="CJ18" s="15">
        <f t="shared" si="26"/>
        <v>2000.2023791</v>
      </c>
      <c r="CK18" s="15">
        <f t="shared" si="27"/>
        <v>2000.2023791</v>
      </c>
      <c r="CL18" s="15">
        <v>280</v>
      </c>
      <c r="CM18" s="15"/>
      <c r="CN18" s="15"/>
      <c r="CO18" s="15">
        <f t="shared" si="28"/>
        <v>7947.5705494</v>
      </c>
      <c r="CP18" s="15">
        <f t="shared" si="29"/>
        <v>7947.5705494</v>
      </c>
      <c r="CQ18" s="15">
        <v>1113</v>
      </c>
      <c r="CR18" s="15"/>
      <c r="CS18" s="15"/>
      <c r="CT18" s="15">
        <f t="shared" si="30"/>
        <v>19383.7323283</v>
      </c>
      <c r="CU18" s="15">
        <f t="shared" si="31"/>
        <v>19383.7323283</v>
      </c>
      <c r="CV18" s="15">
        <v>2715</v>
      </c>
      <c r="CW18" s="15"/>
      <c r="CX18" s="15"/>
      <c r="CY18" s="15">
        <f t="shared" si="32"/>
        <v>43386.0169884</v>
      </c>
      <c r="CZ18" s="15">
        <f t="shared" si="33"/>
        <v>43386.0169884</v>
      </c>
      <c r="DA18" s="15">
        <v>6076</v>
      </c>
      <c r="DB18" s="15"/>
      <c r="DC18" s="15"/>
      <c r="DD18" s="15">
        <f t="shared" si="34"/>
        <v>6564.0768529</v>
      </c>
      <c r="DE18" s="15">
        <f t="shared" si="35"/>
        <v>6564.0768529</v>
      </c>
      <c r="DF18" s="15">
        <v>919</v>
      </c>
      <c r="DG18" s="15"/>
      <c r="DH18" s="15"/>
      <c r="DI18" s="15">
        <f t="shared" si="36"/>
        <v>18860.839338899998</v>
      </c>
      <c r="DJ18" s="15">
        <f t="shared" si="37"/>
        <v>18860.839338899998</v>
      </c>
      <c r="DK18" s="15">
        <v>2642</v>
      </c>
      <c r="DL18" s="15"/>
      <c r="DM18" s="15"/>
      <c r="DN18" s="15">
        <f t="shared" si="38"/>
        <v>726.7838441</v>
      </c>
      <c r="DO18" s="15">
        <f t="shared" si="39"/>
        <v>726.7838441</v>
      </c>
      <c r="DP18" s="15">
        <v>102</v>
      </c>
      <c r="DQ18" s="15"/>
      <c r="DR18" s="15"/>
      <c r="DS18" s="15">
        <f t="shared" si="40"/>
        <v>39787.9261538</v>
      </c>
      <c r="DT18" s="15">
        <f t="shared" si="41"/>
        <v>39787.9261538</v>
      </c>
      <c r="DU18" s="15">
        <v>5572</v>
      </c>
      <c r="DV18" s="15"/>
      <c r="DW18" s="15"/>
      <c r="DX18" s="15">
        <f t="shared" si="42"/>
        <v>6264.0680794</v>
      </c>
      <c r="DY18" s="15">
        <f t="shared" si="43"/>
        <v>6264.0680794</v>
      </c>
      <c r="DZ18" s="15">
        <v>877</v>
      </c>
      <c r="EA18" s="15"/>
      <c r="EB18" s="15"/>
      <c r="EC18" s="15">
        <f t="shared" si="44"/>
        <v>32235.331183899998</v>
      </c>
      <c r="ED18" s="15">
        <f t="shared" si="45"/>
        <v>32235.331183899998</v>
      </c>
      <c r="EE18" s="15">
        <v>4515</v>
      </c>
      <c r="EF18" s="15"/>
      <c r="EG18" s="15"/>
      <c r="EH18" s="15">
        <f t="shared" si="46"/>
        <v>9202.8590578</v>
      </c>
      <c r="EI18" s="15">
        <f t="shared" si="47"/>
        <v>9202.8590578</v>
      </c>
      <c r="EJ18" s="15">
        <v>1289</v>
      </c>
      <c r="EK18" s="15"/>
      <c r="EL18" s="15"/>
      <c r="EM18" s="15">
        <f t="shared" si="48"/>
        <v>92.3768022</v>
      </c>
      <c r="EN18" s="15">
        <f t="shared" si="49"/>
        <v>92.3768022</v>
      </c>
      <c r="EO18" s="15">
        <v>13</v>
      </c>
      <c r="EP18" s="15"/>
      <c r="EQ18" s="15"/>
      <c r="ER18" s="15">
        <f t="shared" si="50"/>
        <v>171.5158072</v>
      </c>
      <c r="ES18" s="15">
        <f t="shared" si="51"/>
        <v>171.5158072</v>
      </c>
      <c r="ET18" s="15">
        <v>24</v>
      </c>
      <c r="EU18" s="15"/>
      <c r="EV18" s="15"/>
      <c r="EW18" s="15">
        <f t="shared" si="52"/>
        <v>31004.6477116</v>
      </c>
      <c r="EX18" s="15">
        <f t="shared" si="53"/>
        <v>31004.6477116</v>
      </c>
      <c r="EY18" s="15">
        <v>4342</v>
      </c>
      <c r="EZ18" s="15"/>
      <c r="FA18" s="15"/>
      <c r="FB18" s="15">
        <f t="shared" si="54"/>
        <v>57629.886775599996</v>
      </c>
      <c r="FC18" s="15">
        <f t="shared" si="55"/>
        <v>57629.886775599996</v>
      </c>
      <c r="FD18" s="15">
        <v>8071</v>
      </c>
      <c r="FE18" s="15"/>
      <c r="FF18" s="22"/>
      <c r="FG18" s="15"/>
      <c r="FH18" s="15"/>
      <c r="FI18" s="15"/>
    </row>
    <row r="19" spans="1:165" ht="12.75">
      <c r="A19" s="2">
        <v>41730</v>
      </c>
      <c r="C19" s="16">
        <v>8235000</v>
      </c>
      <c r="D19" s="16">
        <v>1733516</v>
      </c>
      <c r="E19" s="16">
        <f t="shared" si="0"/>
        <v>9968516</v>
      </c>
      <c r="F19" s="16">
        <f t="shared" si="56"/>
        <v>335090</v>
      </c>
      <c r="G19" s="16">
        <f t="shared" si="57"/>
        <v>100729</v>
      </c>
      <c r="I19" s="16"/>
      <c r="J19" s="16"/>
      <c r="K19" s="16"/>
      <c r="L19" s="16"/>
      <c r="M19" s="16"/>
      <c r="U19" s="15">
        <v>3740000</v>
      </c>
      <c r="V19" s="15">
        <v>294625</v>
      </c>
      <c r="W19" s="15">
        <f t="shared" si="2"/>
        <v>4034625</v>
      </c>
      <c r="X19" s="15">
        <v>133485</v>
      </c>
      <c r="Y19" s="15">
        <v>100729</v>
      </c>
      <c r="AA19" s="16">
        <v>4495000</v>
      </c>
      <c r="AB19" s="16">
        <v>1438891</v>
      </c>
      <c r="AC19" s="16">
        <f t="shared" si="3"/>
        <v>5933891</v>
      </c>
      <c r="AD19" s="16">
        <f t="shared" si="58"/>
        <v>201605</v>
      </c>
      <c r="AF19" s="33">
        <v>2440002</v>
      </c>
      <c r="AG19" s="33">
        <v>781067</v>
      </c>
      <c r="AH19" s="33">
        <f t="shared" si="4"/>
        <v>3221069</v>
      </c>
      <c r="AI19" s="33">
        <v>109392</v>
      </c>
      <c r="AK19" s="15">
        <f t="shared" si="5"/>
        <v>2054997.5795000002</v>
      </c>
      <c r="AL19" s="22">
        <f t="shared" si="6"/>
        <v>657823.6979231001</v>
      </c>
      <c r="AM19" s="15">
        <f t="shared" si="7"/>
        <v>2712821.2774231005</v>
      </c>
      <c r="AN19" s="15">
        <f t="shared" si="59"/>
        <v>92213</v>
      </c>
      <c r="AP19" s="15">
        <f t="shared" si="60"/>
        <v>367349.38</v>
      </c>
      <c r="AQ19" s="16">
        <f t="shared" si="8"/>
        <v>117591.928084</v>
      </c>
      <c r="AR19" s="15">
        <f t="shared" si="9"/>
        <v>484941.308084</v>
      </c>
      <c r="AS19" s="15">
        <v>16469</v>
      </c>
      <c r="AU19" s="15">
        <f t="shared" si="61"/>
        <v>267742.877</v>
      </c>
      <c r="AV19" s="15">
        <f t="shared" si="10"/>
        <v>85706.9668586</v>
      </c>
      <c r="AW19" s="15">
        <f t="shared" si="11"/>
        <v>353449.8438586</v>
      </c>
      <c r="AX19" s="15">
        <v>12004</v>
      </c>
      <c r="AZ19" s="15">
        <f t="shared" si="62"/>
        <v>141953.89800000002</v>
      </c>
      <c r="BA19" s="15">
        <f t="shared" si="12"/>
        <v>45440.7533364</v>
      </c>
      <c r="BB19" s="15">
        <f t="shared" si="13"/>
        <v>187394.6513364</v>
      </c>
      <c r="BC19" s="15">
        <v>6364</v>
      </c>
      <c r="BE19" s="3">
        <f t="shared" si="63"/>
        <v>103241.16</v>
      </c>
      <c r="BF19" s="3">
        <f t="shared" si="14"/>
        <v>33048.448488</v>
      </c>
      <c r="BG19" s="3">
        <f t="shared" si="15"/>
        <v>136289.608488</v>
      </c>
      <c r="BH19" s="3">
        <v>4713</v>
      </c>
      <c r="BI19" s="15"/>
      <c r="BJ19" s="15">
        <f t="shared" si="64"/>
        <v>11825.8955</v>
      </c>
      <c r="BK19" s="15">
        <f t="shared" si="16"/>
        <v>3785.5783318999997</v>
      </c>
      <c r="BL19" s="15">
        <f t="shared" si="17"/>
        <v>15611.4738319</v>
      </c>
      <c r="BM19" s="15">
        <v>530</v>
      </c>
      <c r="BN19" s="15"/>
      <c r="BO19" s="15">
        <f t="shared" si="65"/>
        <v>187094.93549999996</v>
      </c>
      <c r="BP19" s="15">
        <f t="shared" si="18"/>
        <v>59890.8162039</v>
      </c>
      <c r="BQ19" s="15">
        <f t="shared" si="19"/>
        <v>246985.75170389996</v>
      </c>
      <c r="BR19" s="15">
        <v>8388</v>
      </c>
      <c r="BS19" s="15"/>
      <c r="BT19" s="15">
        <f t="shared" si="66"/>
        <v>20281.8895</v>
      </c>
      <c r="BU19" s="15">
        <f t="shared" si="20"/>
        <v>6492.420081100001</v>
      </c>
      <c r="BV19" s="15">
        <f t="shared" si="21"/>
        <v>26774.309581100002</v>
      </c>
      <c r="BW19" s="15">
        <v>909</v>
      </c>
      <c r="BX19" s="15"/>
      <c r="BY19" s="15">
        <f t="shared" si="67"/>
        <v>63445.5765</v>
      </c>
      <c r="BZ19" s="15">
        <f t="shared" si="22"/>
        <v>20309.5147977</v>
      </c>
      <c r="CA19" s="15">
        <f t="shared" si="23"/>
        <v>83755.09129770001</v>
      </c>
      <c r="CB19" s="15">
        <v>2844</v>
      </c>
      <c r="CC19" s="15"/>
      <c r="CD19" s="15">
        <f t="shared" si="68"/>
        <v>32174.760500000004</v>
      </c>
      <c r="CE19" s="15">
        <f t="shared" si="24"/>
        <v>10299.4378889</v>
      </c>
      <c r="CF19" s="15">
        <f t="shared" si="25"/>
        <v>42474.198388900004</v>
      </c>
      <c r="CG19" s="15">
        <v>1442</v>
      </c>
      <c r="CH19" s="15"/>
      <c r="CI19" s="15">
        <f t="shared" si="69"/>
        <v>6248.4995</v>
      </c>
      <c r="CJ19" s="15">
        <f t="shared" si="26"/>
        <v>2000.2023791</v>
      </c>
      <c r="CK19" s="15">
        <f t="shared" si="27"/>
        <v>8248.7018791</v>
      </c>
      <c r="CL19" s="15">
        <v>280</v>
      </c>
      <c r="CM19" s="15"/>
      <c r="CN19" s="15">
        <f t="shared" si="70"/>
        <v>24827.683000000005</v>
      </c>
      <c r="CO19" s="15">
        <f t="shared" si="28"/>
        <v>7947.5705494</v>
      </c>
      <c r="CP19" s="15">
        <f t="shared" si="29"/>
        <v>32775.253549400004</v>
      </c>
      <c r="CQ19" s="15">
        <v>1113</v>
      </c>
      <c r="CR19" s="15"/>
      <c r="CS19" s="15">
        <f t="shared" si="71"/>
        <v>60553.4935</v>
      </c>
      <c r="CT19" s="15">
        <f t="shared" si="30"/>
        <v>19383.7323283</v>
      </c>
      <c r="CU19" s="15">
        <f t="shared" si="31"/>
        <v>79937.2258283</v>
      </c>
      <c r="CV19" s="15">
        <v>2715</v>
      </c>
      <c r="CW19" s="15"/>
      <c r="CX19" s="15">
        <f t="shared" si="72"/>
        <v>135535.038</v>
      </c>
      <c r="CY19" s="15">
        <f t="shared" si="32"/>
        <v>43386.0169884</v>
      </c>
      <c r="CZ19" s="15">
        <f t="shared" si="33"/>
        <v>178921.0549884</v>
      </c>
      <c r="DA19" s="15">
        <v>6076</v>
      </c>
      <c r="DB19" s="15"/>
      <c r="DC19" s="15">
        <f t="shared" si="73"/>
        <v>20505.7405</v>
      </c>
      <c r="DD19" s="15">
        <f t="shared" si="34"/>
        <v>6564.0768529</v>
      </c>
      <c r="DE19" s="15">
        <f t="shared" si="35"/>
        <v>27069.817352899998</v>
      </c>
      <c r="DF19" s="15">
        <v>919</v>
      </c>
      <c r="DG19" s="15"/>
      <c r="DH19" s="15">
        <f t="shared" si="74"/>
        <v>58920.0105</v>
      </c>
      <c r="DI19" s="15">
        <f t="shared" si="36"/>
        <v>18860.839338899998</v>
      </c>
      <c r="DJ19" s="15">
        <f t="shared" si="37"/>
        <v>77780.8498389</v>
      </c>
      <c r="DK19" s="15">
        <v>2642</v>
      </c>
      <c r="DL19" s="15"/>
      <c r="DM19" s="15">
        <f t="shared" si="75"/>
        <v>2270.4244999999996</v>
      </c>
      <c r="DN19" s="15">
        <f t="shared" si="38"/>
        <v>726.7838441</v>
      </c>
      <c r="DO19" s="15">
        <f t="shared" si="39"/>
        <v>2997.2083440999995</v>
      </c>
      <c r="DP19" s="15">
        <v>102</v>
      </c>
      <c r="DQ19" s="15"/>
      <c r="DR19" s="15">
        <f t="shared" si="76"/>
        <v>124294.841</v>
      </c>
      <c r="DS19" s="15">
        <f t="shared" si="40"/>
        <v>39787.9261538</v>
      </c>
      <c r="DT19" s="15">
        <f t="shared" si="41"/>
        <v>164082.7671538</v>
      </c>
      <c r="DU19" s="15">
        <v>5572</v>
      </c>
      <c r="DV19" s="15"/>
      <c r="DW19" s="15">
        <f t="shared" si="77"/>
        <v>19568.533</v>
      </c>
      <c r="DX19" s="15">
        <f t="shared" si="42"/>
        <v>6264.0680794</v>
      </c>
      <c r="DY19" s="15">
        <f t="shared" si="43"/>
        <v>25832.6010794</v>
      </c>
      <c r="DZ19" s="15">
        <v>877</v>
      </c>
      <c r="EA19" s="15"/>
      <c r="EB19" s="15">
        <f t="shared" si="78"/>
        <v>100701.03549999998</v>
      </c>
      <c r="EC19" s="15">
        <f t="shared" si="44"/>
        <v>32235.331183899998</v>
      </c>
      <c r="ED19" s="15">
        <f t="shared" si="45"/>
        <v>132936.36668389998</v>
      </c>
      <c r="EE19" s="15">
        <v>4515</v>
      </c>
      <c r="EF19" s="15"/>
      <c r="EG19" s="15">
        <f t="shared" si="79"/>
        <v>28749.121</v>
      </c>
      <c r="EH19" s="15">
        <f t="shared" si="46"/>
        <v>9202.8590578</v>
      </c>
      <c r="EI19" s="15">
        <f t="shared" si="47"/>
        <v>37951.9800578</v>
      </c>
      <c r="EJ19" s="15">
        <v>1289</v>
      </c>
      <c r="EK19" s="15"/>
      <c r="EL19" s="15">
        <f t="shared" si="80"/>
        <v>288.579</v>
      </c>
      <c r="EM19" s="15">
        <f t="shared" si="48"/>
        <v>92.3768022</v>
      </c>
      <c r="EN19" s="15">
        <f t="shared" si="49"/>
        <v>380.9558022</v>
      </c>
      <c r="EO19" s="15">
        <v>13</v>
      </c>
      <c r="EP19" s="15"/>
      <c r="EQ19" s="15">
        <f t="shared" si="81"/>
        <v>535.804</v>
      </c>
      <c r="ER19" s="15">
        <f t="shared" si="50"/>
        <v>171.5158072</v>
      </c>
      <c r="ES19" s="15">
        <f t="shared" si="51"/>
        <v>707.3198072</v>
      </c>
      <c r="ET19" s="15">
        <v>24</v>
      </c>
      <c r="EU19" s="15"/>
      <c r="EV19" s="15">
        <f t="shared" si="82"/>
        <v>96856.462</v>
      </c>
      <c r="EW19" s="15">
        <f t="shared" si="52"/>
        <v>31004.6477116</v>
      </c>
      <c r="EX19" s="15">
        <f t="shared" si="53"/>
        <v>127861.1097116</v>
      </c>
      <c r="EY19" s="15">
        <v>4342</v>
      </c>
      <c r="EZ19" s="15"/>
      <c r="FA19" s="15">
        <f t="shared" si="83"/>
        <v>180031.94199999998</v>
      </c>
      <c r="FB19" s="15">
        <f t="shared" si="54"/>
        <v>57629.886775599996</v>
      </c>
      <c r="FC19" s="15">
        <f t="shared" si="55"/>
        <v>237661.82877559998</v>
      </c>
      <c r="FD19" s="15">
        <v>8071</v>
      </c>
      <c r="FE19" s="15"/>
      <c r="FF19" s="22"/>
      <c r="FG19" s="15"/>
      <c r="FH19" s="15"/>
      <c r="FI19" s="15"/>
    </row>
    <row r="20" spans="1:165" ht="12.75">
      <c r="A20" s="2">
        <v>41913</v>
      </c>
      <c r="D20" s="16">
        <v>1527641</v>
      </c>
      <c r="E20" s="16">
        <f t="shared" si="0"/>
        <v>1527641</v>
      </c>
      <c r="F20" s="16">
        <f t="shared" si="56"/>
        <v>335090</v>
      </c>
      <c r="G20" s="16">
        <f t="shared" si="57"/>
        <v>100729</v>
      </c>
      <c r="I20" s="16"/>
      <c r="J20" s="16"/>
      <c r="K20" s="16"/>
      <c r="L20" s="16"/>
      <c r="M20" s="16"/>
      <c r="V20" s="15">
        <v>201125</v>
      </c>
      <c r="W20" s="15">
        <f t="shared" si="2"/>
        <v>201125</v>
      </c>
      <c r="X20" s="15">
        <v>133485</v>
      </c>
      <c r="Y20" s="15">
        <v>100729</v>
      </c>
      <c r="AA20" s="16"/>
      <c r="AB20" s="16">
        <v>1326516</v>
      </c>
      <c r="AC20" s="16">
        <f t="shared" si="3"/>
        <v>1326516</v>
      </c>
      <c r="AD20" s="16">
        <f t="shared" si="58"/>
        <v>201605</v>
      </c>
      <c r="AF20" s="33"/>
      <c r="AG20" s="33">
        <v>720067</v>
      </c>
      <c r="AH20" s="33">
        <f t="shared" si="4"/>
        <v>720067</v>
      </c>
      <c r="AI20" s="33">
        <v>109392</v>
      </c>
      <c r="AK20" s="15">
        <f t="shared" si="5"/>
        <v>0</v>
      </c>
      <c r="AL20" s="22">
        <f t="shared" si="6"/>
        <v>606448.7584356</v>
      </c>
      <c r="AM20" s="15">
        <f t="shared" si="7"/>
        <v>606448.7584356</v>
      </c>
      <c r="AN20" s="15">
        <f t="shared" si="59"/>
        <v>92213</v>
      </c>
      <c r="AP20" s="15"/>
      <c r="AQ20" s="16">
        <f t="shared" si="8"/>
        <v>108408.19358400001</v>
      </c>
      <c r="AR20" s="15">
        <f t="shared" si="9"/>
        <v>108408.19358400001</v>
      </c>
      <c r="AS20" s="15">
        <v>16469</v>
      </c>
      <c r="AU20" s="15"/>
      <c r="AV20" s="15">
        <f t="shared" si="10"/>
        <v>79013.3949336</v>
      </c>
      <c r="AW20" s="15">
        <f t="shared" si="11"/>
        <v>79013.3949336</v>
      </c>
      <c r="AX20" s="15">
        <v>12004</v>
      </c>
      <c r="AZ20" s="15"/>
      <c r="BA20" s="15">
        <f t="shared" si="12"/>
        <v>41891.9058864</v>
      </c>
      <c r="BB20" s="15">
        <f t="shared" si="13"/>
        <v>41891.9058864</v>
      </c>
      <c r="BC20" s="15">
        <v>6364</v>
      </c>
      <c r="BE20" s="3"/>
      <c r="BF20" s="3">
        <f t="shared" si="14"/>
        <v>30467.419488000003</v>
      </c>
      <c r="BG20" s="3">
        <f t="shared" si="15"/>
        <v>30467.419488000003</v>
      </c>
      <c r="BH20" s="3">
        <v>4713</v>
      </c>
      <c r="BI20" s="15"/>
      <c r="BJ20" s="15"/>
      <c r="BK20" s="15">
        <f t="shared" si="16"/>
        <v>3489.9309444</v>
      </c>
      <c r="BL20" s="15">
        <f t="shared" si="17"/>
        <v>3489.9309444</v>
      </c>
      <c r="BM20" s="15">
        <v>530</v>
      </c>
      <c r="BN20" s="15"/>
      <c r="BO20" s="15"/>
      <c r="BP20" s="15">
        <f t="shared" si="18"/>
        <v>55213.4428164</v>
      </c>
      <c r="BQ20" s="15">
        <f t="shared" si="19"/>
        <v>55213.4428164</v>
      </c>
      <c r="BR20" s="15">
        <v>8388</v>
      </c>
      <c r="BS20" s="15"/>
      <c r="BT20" s="15"/>
      <c r="BU20" s="15">
        <f t="shared" si="20"/>
        <v>5985.3728436</v>
      </c>
      <c r="BV20" s="15">
        <f t="shared" si="21"/>
        <v>5985.3728436</v>
      </c>
      <c r="BW20" s="15">
        <v>909</v>
      </c>
      <c r="BX20" s="15"/>
      <c r="BY20" s="15"/>
      <c r="BZ20" s="15">
        <f t="shared" si="22"/>
        <v>18723.3753852</v>
      </c>
      <c r="CA20" s="15">
        <f t="shared" si="23"/>
        <v>18723.3753852</v>
      </c>
      <c r="CB20" s="15">
        <v>2844</v>
      </c>
      <c r="CC20" s="15"/>
      <c r="CD20" s="15"/>
      <c r="CE20" s="15">
        <f t="shared" si="24"/>
        <v>9495.0688764</v>
      </c>
      <c r="CF20" s="15">
        <f t="shared" si="25"/>
        <v>9495.0688764</v>
      </c>
      <c r="CG20" s="15">
        <v>1442</v>
      </c>
      <c r="CH20" s="15"/>
      <c r="CI20" s="15"/>
      <c r="CJ20" s="15">
        <f t="shared" si="26"/>
        <v>1843.9898916</v>
      </c>
      <c r="CK20" s="15">
        <f t="shared" si="27"/>
        <v>1843.9898916</v>
      </c>
      <c r="CL20" s="15">
        <v>280</v>
      </c>
      <c r="CM20" s="15"/>
      <c r="CN20" s="15"/>
      <c r="CO20" s="15">
        <f t="shared" si="28"/>
        <v>7326.8784744</v>
      </c>
      <c r="CP20" s="15">
        <f t="shared" si="29"/>
        <v>7326.8784744</v>
      </c>
      <c r="CQ20" s="15">
        <v>1113</v>
      </c>
      <c r="CR20" s="15"/>
      <c r="CS20" s="15"/>
      <c r="CT20" s="15">
        <f t="shared" si="30"/>
        <v>17869.8949908</v>
      </c>
      <c r="CU20" s="15">
        <f t="shared" si="31"/>
        <v>17869.8949908</v>
      </c>
      <c r="CV20" s="15">
        <v>2715</v>
      </c>
      <c r="CW20" s="15"/>
      <c r="CX20" s="15"/>
      <c r="CY20" s="15">
        <f t="shared" si="32"/>
        <v>39997.6410384</v>
      </c>
      <c r="CZ20" s="15">
        <f t="shared" si="33"/>
        <v>39997.6410384</v>
      </c>
      <c r="DA20" s="15">
        <v>6076</v>
      </c>
      <c r="DB20" s="15"/>
      <c r="DC20" s="15"/>
      <c r="DD20" s="15">
        <f t="shared" si="34"/>
        <v>6051.4333404</v>
      </c>
      <c r="DE20" s="15">
        <f t="shared" si="35"/>
        <v>6051.4333404</v>
      </c>
      <c r="DF20" s="15">
        <v>919</v>
      </c>
      <c r="DG20" s="15"/>
      <c r="DH20" s="15"/>
      <c r="DI20" s="15">
        <f t="shared" si="36"/>
        <v>17387.8390764</v>
      </c>
      <c r="DJ20" s="15">
        <f t="shared" si="37"/>
        <v>17387.8390764</v>
      </c>
      <c r="DK20" s="15">
        <v>2642</v>
      </c>
      <c r="DL20" s="15"/>
      <c r="DM20" s="15"/>
      <c r="DN20" s="15">
        <f t="shared" si="38"/>
        <v>670.0232316</v>
      </c>
      <c r="DO20" s="15">
        <f t="shared" si="39"/>
        <v>670.0232316</v>
      </c>
      <c r="DP20" s="15">
        <v>102</v>
      </c>
      <c r="DQ20" s="15"/>
      <c r="DR20" s="15"/>
      <c r="DS20" s="15">
        <f t="shared" si="40"/>
        <v>36680.5551288</v>
      </c>
      <c r="DT20" s="15">
        <f t="shared" si="41"/>
        <v>36680.5551288</v>
      </c>
      <c r="DU20" s="15">
        <v>5572</v>
      </c>
      <c r="DV20" s="15"/>
      <c r="DW20" s="15"/>
      <c r="DX20" s="15">
        <f t="shared" si="42"/>
        <v>5774.854754399999</v>
      </c>
      <c r="DY20" s="15">
        <f t="shared" si="43"/>
        <v>5774.854754399999</v>
      </c>
      <c r="DZ20" s="15">
        <v>877</v>
      </c>
      <c r="EA20" s="15"/>
      <c r="EB20" s="15"/>
      <c r="EC20" s="15">
        <f t="shared" si="44"/>
        <v>29717.805296399998</v>
      </c>
      <c r="ED20" s="15">
        <f t="shared" si="45"/>
        <v>29717.805296399998</v>
      </c>
      <c r="EE20" s="15">
        <v>4515</v>
      </c>
      <c r="EF20" s="15"/>
      <c r="EG20" s="15"/>
      <c r="EH20" s="15">
        <f t="shared" si="46"/>
        <v>8484.1310328</v>
      </c>
      <c r="EI20" s="15">
        <f t="shared" si="47"/>
        <v>8484.1310328</v>
      </c>
      <c r="EJ20" s="15">
        <v>1289</v>
      </c>
      <c r="EK20" s="15"/>
      <c r="EL20" s="15"/>
      <c r="EM20" s="15">
        <f t="shared" si="48"/>
        <v>85.1623272</v>
      </c>
      <c r="EN20" s="15">
        <f t="shared" si="49"/>
        <v>85.1623272</v>
      </c>
      <c r="EO20" s="15">
        <v>13</v>
      </c>
      <c r="EP20" s="15"/>
      <c r="EQ20" s="15"/>
      <c r="ER20" s="15">
        <f t="shared" si="50"/>
        <v>158.1207072</v>
      </c>
      <c r="ES20" s="15">
        <f t="shared" si="51"/>
        <v>158.1207072</v>
      </c>
      <c r="ET20" s="15">
        <v>24</v>
      </c>
      <c r="EU20" s="15"/>
      <c r="EV20" s="15"/>
      <c r="EW20" s="15">
        <f t="shared" si="52"/>
        <v>28583.2361616</v>
      </c>
      <c r="EX20" s="15">
        <f t="shared" si="53"/>
        <v>28583.2361616</v>
      </c>
      <c r="EY20" s="15">
        <v>4342</v>
      </c>
      <c r="EZ20" s="15"/>
      <c r="FA20" s="15"/>
      <c r="FB20" s="15">
        <f t="shared" si="54"/>
        <v>53129.088225600004</v>
      </c>
      <c r="FC20" s="15">
        <f t="shared" si="55"/>
        <v>53129.088225600004</v>
      </c>
      <c r="FD20" s="15">
        <v>8071</v>
      </c>
      <c r="FE20" s="15"/>
      <c r="FF20" s="22"/>
      <c r="FG20" s="15"/>
      <c r="FH20" s="15"/>
      <c r="FI20" s="15"/>
    </row>
    <row r="21" spans="1:165" ht="12.75">
      <c r="A21" s="2">
        <v>42095</v>
      </c>
      <c r="C21" s="16">
        <v>8645000</v>
      </c>
      <c r="D21" s="16">
        <v>1527641</v>
      </c>
      <c r="E21" s="16">
        <f t="shared" si="0"/>
        <v>10172641</v>
      </c>
      <c r="F21" s="16">
        <f t="shared" si="56"/>
        <v>335090</v>
      </c>
      <c r="G21" s="16">
        <f t="shared" si="57"/>
        <v>100729</v>
      </c>
      <c r="I21" s="16"/>
      <c r="J21" s="16"/>
      <c r="K21" s="16"/>
      <c r="L21" s="16"/>
      <c r="M21" s="16"/>
      <c r="U21" s="15">
        <v>3925000</v>
      </c>
      <c r="V21" s="15">
        <v>201125</v>
      </c>
      <c r="W21" s="15">
        <f t="shared" si="2"/>
        <v>4126125</v>
      </c>
      <c r="X21" s="15">
        <v>133485</v>
      </c>
      <c r="Y21" s="15">
        <v>100729</v>
      </c>
      <c r="AA21" s="16">
        <v>4720000</v>
      </c>
      <c r="AB21" s="16">
        <v>1326516</v>
      </c>
      <c r="AC21" s="16">
        <f t="shared" si="3"/>
        <v>6046516</v>
      </c>
      <c r="AD21" s="16">
        <f t="shared" si="58"/>
        <v>201605</v>
      </c>
      <c r="AF21" s="33">
        <v>2562138</v>
      </c>
      <c r="AG21" s="33">
        <v>720067</v>
      </c>
      <c r="AH21" s="33">
        <f t="shared" si="4"/>
        <v>3282205</v>
      </c>
      <c r="AI21" s="33">
        <v>109392</v>
      </c>
      <c r="AK21" s="15">
        <f t="shared" si="5"/>
        <v>2157861.7520000003</v>
      </c>
      <c r="AL21" s="22">
        <f t="shared" si="6"/>
        <v>606448.7584356</v>
      </c>
      <c r="AM21" s="15">
        <f t="shared" si="7"/>
        <v>2764310.5104356003</v>
      </c>
      <c r="AN21" s="15">
        <f t="shared" si="59"/>
        <v>92213</v>
      </c>
      <c r="AP21" s="15">
        <f t="shared" si="60"/>
        <v>385737.28</v>
      </c>
      <c r="AQ21" s="16">
        <f t="shared" si="8"/>
        <v>108408.19358400001</v>
      </c>
      <c r="AR21" s="15">
        <f t="shared" si="9"/>
        <v>494145.473584</v>
      </c>
      <c r="AS21" s="15">
        <v>16469</v>
      </c>
      <c r="AU21" s="15">
        <f t="shared" si="61"/>
        <v>281144.912</v>
      </c>
      <c r="AV21" s="15">
        <f t="shared" si="10"/>
        <v>79013.3949336</v>
      </c>
      <c r="AW21" s="15">
        <f t="shared" si="11"/>
        <v>360158.3069336</v>
      </c>
      <c r="AX21" s="15">
        <v>12004</v>
      </c>
      <c r="AZ21" s="15">
        <f t="shared" si="62"/>
        <v>149059.488</v>
      </c>
      <c r="BA21" s="15">
        <f t="shared" si="12"/>
        <v>41891.9058864</v>
      </c>
      <c r="BB21" s="15">
        <f t="shared" si="13"/>
        <v>190951.3938864</v>
      </c>
      <c r="BC21" s="15">
        <v>6364</v>
      </c>
      <c r="BE21" s="3">
        <f t="shared" si="63"/>
        <v>108408.96</v>
      </c>
      <c r="BF21" s="3">
        <f t="shared" si="14"/>
        <v>30467.419488000003</v>
      </c>
      <c r="BG21" s="3">
        <f t="shared" si="15"/>
        <v>138876.379488</v>
      </c>
      <c r="BH21" s="3">
        <v>4713</v>
      </c>
      <c r="BI21" s="15"/>
      <c r="BJ21" s="15">
        <f t="shared" si="64"/>
        <v>12417.848</v>
      </c>
      <c r="BK21" s="15">
        <f t="shared" si="16"/>
        <v>3489.9309444</v>
      </c>
      <c r="BL21" s="15">
        <f t="shared" si="17"/>
        <v>15907.778944400001</v>
      </c>
      <c r="BM21" s="15">
        <v>530</v>
      </c>
      <c r="BN21" s="15"/>
      <c r="BO21" s="15">
        <f t="shared" si="65"/>
        <v>196460.08799999996</v>
      </c>
      <c r="BP21" s="15">
        <f t="shared" si="18"/>
        <v>55213.4428164</v>
      </c>
      <c r="BQ21" s="15">
        <f t="shared" si="19"/>
        <v>251673.53081639996</v>
      </c>
      <c r="BR21" s="15">
        <v>8388</v>
      </c>
      <c r="BS21" s="15"/>
      <c r="BT21" s="15">
        <f t="shared" si="66"/>
        <v>21297.112</v>
      </c>
      <c r="BU21" s="15">
        <f t="shared" si="20"/>
        <v>5985.3728436</v>
      </c>
      <c r="BV21" s="15">
        <f t="shared" si="21"/>
        <v>27282.484843600003</v>
      </c>
      <c r="BW21" s="15">
        <v>909</v>
      </c>
      <c r="BX21" s="15"/>
      <c r="BY21" s="15">
        <f t="shared" si="67"/>
        <v>66621.384</v>
      </c>
      <c r="BZ21" s="15">
        <f t="shared" si="22"/>
        <v>18723.3753852</v>
      </c>
      <c r="CA21" s="15">
        <f t="shared" si="23"/>
        <v>85344.75938520001</v>
      </c>
      <c r="CB21" s="15">
        <v>2844</v>
      </c>
      <c r="CC21" s="15"/>
      <c r="CD21" s="15">
        <f t="shared" si="68"/>
        <v>33785.288</v>
      </c>
      <c r="CE21" s="15">
        <f t="shared" si="24"/>
        <v>9495.0688764</v>
      </c>
      <c r="CF21" s="15">
        <f t="shared" si="25"/>
        <v>43280.3568764</v>
      </c>
      <c r="CG21" s="15">
        <v>1442</v>
      </c>
      <c r="CH21" s="15"/>
      <c r="CI21" s="15">
        <f t="shared" si="69"/>
        <v>6561.272</v>
      </c>
      <c r="CJ21" s="15">
        <f t="shared" si="26"/>
        <v>1843.9898916</v>
      </c>
      <c r="CK21" s="15">
        <f t="shared" si="27"/>
        <v>8405.2618916</v>
      </c>
      <c r="CL21" s="15">
        <v>280</v>
      </c>
      <c r="CM21" s="15"/>
      <c r="CN21" s="15">
        <f t="shared" si="70"/>
        <v>26070.448000000004</v>
      </c>
      <c r="CO21" s="15">
        <f t="shared" si="28"/>
        <v>7326.8784744</v>
      </c>
      <c r="CP21" s="15">
        <f t="shared" si="29"/>
        <v>33397.326474400004</v>
      </c>
      <c r="CQ21" s="15">
        <v>1113</v>
      </c>
      <c r="CR21" s="15"/>
      <c r="CS21" s="15">
        <f t="shared" si="71"/>
        <v>63584.53599999999</v>
      </c>
      <c r="CT21" s="15">
        <f t="shared" si="30"/>
        <v>17869.8949908</v>
      </c>
      <c r="CU21" s="15">
        <f t="shared" si="31"/>
        <v>81454.4309908</v>
      </c>
      <c r="CV21" s="15">
        <v>2715</v>
      </c>
      <c r="CW21" s="15"/>
      <c r="CX21" s="15">
        <f t="shared" si="72"/>
        <v>142319.32799999998</v>
      </c>
      <c r="CY21" s="15">
        <f t="shared" si="32"/>
        <v>39997.6410384</v>
      </c>
      <c r="CZ21" s="15">
        <f t="shared" si="33"/>
        <v>182316.96903839998</v>
      </c>
      <c r="DA21" s="15">
        <v>6076</v>
      </c>
      <c r="DB21" s="15"/>
      <c r="DC21" s="15">
        <f t="shared" si="73"/>
        <v>21532.167999999998</v>
      </c>
      <c r="DD21" s="15">
        <f t="shared" si="34"/>
        <v>6051.4333404</v>
      </c>
      <c r="DE21" s="15">
        <f t="shared" si="35"/>
        <v>27583.601340399997</v>
      </c>
      <c r="DF21" s="15">
        <v>919</v>
      </c>
      <c r="DG21" s="15"/>
      <c r="DH21" s="15">
        <f t="shared" si="74"/>
        <v>61869.288</v>
      </c>
      <c r="DI21" s="15">
        <f t="shared" si="36"/>
        <v>17387.8390764</v>
      </c>
      <c r="DJ21" s="15">
        <f t="shared" si="37"/>
        <v>79257.12707640001</v>
      </c>
      <c r="DK21" s="15">
        <v>2642</v>
      </c>
      <c r="DL21" s="15"/>
      <c r="DM21" s="15">
        <f t="shared" si="75"/>
        <v>2384.0719999999997</v>
      </c>
      <c r="DN21" s="15">
        <f t="shared" si="38"/>
        <v>670.0232316</v>
      </c>
      <c r="DO21" s="15">
        <f t="shared" si="39"/>
        <v>3054.0952316</v>
      </c>
      <c r="DP21" s="15">
        <v>102</v>
      </c>
      <c r="DQ21" s="15"/>
      <c r="DR21" s="15">
        <f t="shared" si="76"/>
        <v>130516.496</v>
      </c>
      <c r="DS21" s="15">
        <f t="shared" si="40"/>
        <v>36680.5551288</v>
      </c>
      <c r="DT21" s="15">
        <f t="shared" si="41"/>
        <v>167197.0511288</v>
      </c>
      <c r="DU21" s="15">
        <v>5572</v>
      </c>
      <c r="DV21" s="15"/>
      <c r="DW21" s="15">
        <f t="shared" si="77"/>
        <v>20548.048</v>
      </c>
      <c r="DX21" s="15">
        <f t="shared" si="42"/>
        <v>5774.854754399999</v>
      </c>
      <c r="DY21" s="15">
        <f t="shared" si="43"/>
        <v>26322.9027544</v>
      </c>
      <c r="DZ21" s="15">
        <v>877</v>
      </c>
      <c r="EA21" s="15"/>
      <c r="EB21" s="15">
        <f t="shared" si="78"/>
        <v>105741.688</v>
      </c>
      <c r="EC21" s="15">
        <f t="shared" si="44"/>
        <v>29717.805296399998</v>
      </c>
      <c r="ED21" s="15">
        <f t="shared" si="45"/>
        <v>135459.4932964</v>
      </c>
      <c r="EE21" s="15">
        <v>4515</v>
      </c>
      <c r="EF21" s="15"/>
      <c r="EG21" s="15">
        <f t="shared" si="79"/>
        <v>30188.176</v>
      </c>
      <c r="EH21" s="15">
        <f t="shared" si="46"/>
        <v>8484.1310328</v>
      </c>
      <c r="EI21" s="15">
        <f t="shared" si="47"/>
        <v>38672.3070328</v>
      </c>
      <c r="EJ21" s="15">
        <v>1289</v>
      </c>
      <c r="EK21" s="15"/>
      <c r="EL21" s="15">
        <f t="shared" si="80"/>
        <v>303.024</v>
      </c>
      <c r="EM21" s="15">
        <f t="shared" si="48"/>
        <v>85.1623272</v>
      </c>
      <c r="EN21" s="15">
        <f t="shared" si="49"/>
        <v>388.1863272</v>
      </c>
      <c r="EO21" s="15">
        <v>13</v>
      </c>
      <c r="EP21" s="15"/>
      <c r="EQ21" s="15">
        <f t="shared" si="81"/>
        <v>562.624</v>
      </c>
      <c r="ER21" s="15">
        <f t="shared" si="50"/>
        <v>158.1207072</v>
      </c>
      <c r="ES21" s="15">
        <f t="shared" si="51"/>
        <v>720.7447072</v>
      </c>
      <c r="ET21" s="15">
        <v>24</v>
      </c>
      <c r="EU21" s="15"/>
      <c r="EV21" s="15">
        <f t="shared" si="82"/>
        <v>101704.67199999999</v>
      </c>
      <c r="EW21" s="15">
        <f t="shared" si="52"/>
        <v>28583.2361616</v>
      </c>
      <c r="EX21" s="15">
        <f t="shared" si="53"/>
        <v>130287.90816159999</v>
      </c>
      <c r="EY21" s="15">
        <v>4342</v>
      </c>
      <c r="EZ21" s="15"/>
      <c r="FA21" s="15">
        <f t="shared" si="83"/>
        <v>189043.552</v>
      </c>
      <c r="FB21" s="15">
        <f t="shared" si="54"/>
        <v>53129.088225600004</v>
      </c>
      <c r="FC21" s="15">
        <f t="shared" si="55"/>
        <v>242172.6402256</v>
      </c>
      <c r="FD21" s="15">
        <v>8071</v>
      </c>
      <c r="FE21" s="15"/>
      <c r="FF21" s="22"/>
      <c r="FG21" s="15"/>
      <c r="FH21" s="15"/>
      <c r="FI21" s="15"/>
    </row>
    <row r="22" spans="1:165" ht="12.75">
      <c r="A22" s="2">
        <v>42278</v>
      </c>
      <c r="D22" s="16">
        <v>1311516</v>
      </c>
      <c r="E22" s="16">
        <f t="shared" si="0"/>
        <v>1311516</v>
      </c>
      <c r="F22" s="16">
        <f t="shared" si="56"/>
        <v>335090</v>
      </c>
      <c r="G22" s="16">
        <f t="shared" si="57"/>
        <v>100729</v>
      </c>
      <c r="I22" s="16"/>
      <c r="J22" s="16"/>
      <c r="K22" s="16"/>
      <c r="L22" s="16"/>
      <c r="M22" s="16"/>
      <c r="V22" s="15">
        <v>103000</v>
      </c>
      <c r="W22" s="15">
        <f t="shared" si="2"/>
        <v>103000</v>
      </c>
      <c r="X22" s="15">
        <v>133485</v>
      </c>
      <c r="Y22" s="15">
        <v>100729</v>
      </c>
      <c r="AA22" s="16"/>
      <c r="AB22" s="16">
        <v>1208516</v>
      </c>
      <c r="AC22" s="16">
        <f t="shared" si="3"/>
        <v>1208516</v>
      </c>
      <c r="AD22" s="16">
        <f t="shared" si="58"/>
        <v>201605</v>
      </c>
      <c r="AF22" s="33"/>
      <c r="AG22" s="33">
        <v>656014</v>
      </c>
      <c r="AH22" s="33">
        <f t="shared" si="4"/>
        <v>656014</v>
      </c>
      <c r="AI22" s="33">
        <v>109392</v>
      </c>
      <c r="AK22" s="15">
        <f t="shared" si="5"/>
        <v>0</v>
      </c>
      <c r="AL22" s="22">
        <f t="shared" si="6"/>
        <v>552502.2146356001</v>
      </c>
      <c r="AM22" s="15">
        <f t="shared" si="7"/>
        <v>552502.2146356001</v>
      </c>
      <c r="AN22" s="15">
        <f t="shared" si="59"/>
        <v>92213</v>
      </c>
      <c r="AP22" s="15"/>
      <c r="AQ22" s="16">
        <f t="shared" si="8"/>
        <v>98764.76158399999</v>
      </c>
      <c r="AR22" s="15">
        <f t="shared" si="9"/>
        <v>98764.76158399999</v>
      </c>
      <c r="AS22" s="15">
        <v>16469</v>
      </c>
      <c r="AU22" s="15"/>
      <c r="AV22" s="15">
        <f t="shared" si="10"/>
        <v>71984.7721336</v>
      </c>
      <c r="AW22" s="15">
        <f t="shared" si="11"/>
        <v>71984.7721336</v>
      </c>
      <c r="AX22" s="15">
        <v>12004</v>
      </c>
      <c r="AZ22" s="15"/>
      <c r="BA22" s="15">
        <f t="shared" si="12"/>
        <v>38165.4186864</v>
      </c>
      <c r="BB22" s="15">
        <f t="shared" si="13"/>
        <v>38165.4186864</v>
      </c>
      <c r="BC22" s="15">
        <v>6364</v>
      </c>
      <c r="BE22" s="3"/>
      <c r="BF22" s="3">
        <f t="shared" si="14"/>
        <v>27757.195488</v>
      </c>
      <c r="BG22" s="3">
        <f t="shared" si="15"/>
        <v>27757.195488</v>
      </c>
      <c r="BH22" s="3">
        <v>4713</v>
      </c>
      <c r="BI22" s="15"/>
      <c r="BJ22" s="15"/>
      <c r="BK22" s="15">
        <f t="shared" si="16"/>
        <v>3179.4847443999997</v>
      </c>
      <c r="BL22" s="15">
        <f t="shared" si="17"/>
        <v>3179.4847443999997</v>
      </c>
      <c r="BM22" s="15">
        <v>530</v>
      </c>
      <c r="BN22" s="15"/>
      <c r="BO22" s="15"/>
      <c r="BP22" s="15">
        <f t="shared" si="18"/>
        <v>50301.9406164</v>
      </c>
      <c r="BQ22" s="15">
        <f t="shared" si="19"/>
        <v>50301.9406164</v>
      </c>
      <c r="BR22" s="15">
        <v>8388</v>
      </c>
      <c r="BS22" s="15"/>
      <c r="BT22" s="15"/>
      <c r="BU22" s="15">
        <f t="shared" si="20"/>
        <v>5452.945043600001</v>
      </c>
      <c r="BV22" s="15">
        <f t="shared" si="21"/>
        <v>5452.945043600001</v>
      </c>
      <c r="BW22" s="15">
        <v>909</v>
      </c>
      <c r="BX22" s="15"/>
      <c r="BY22" s="15"/>
      <c r="BZ22" s="15">
        <f t="shared" si="22"/>
        <v>17057.8407852</v>
      </c>
      <c r="CA22" s="15">
        <f t="shared" si="23"/>
        <v>17057.8407852</v>
      </c>
      <c r="CB22" s="15">
        <v>2844</v>
      </c>
      <c r="CC22" s="15"/>
      <c r="CD22" s="15"/>
      <c r="CE22" s="15">
        <f t="shared" si="24"/>
        <v>8650.4366764</v>
      </c>
      <c r="CF22" s="15">
        <f t="shared" si="25"/>
        <v>8650.4366764</v>
      </c>
      <c r="CG22" s="15">
        <v>1442</v>
      </c>
      <c r="CH22" s="15"/>
      <c r="CI22" s="15"/>
      <c r="CJ22" s="15">
        <f t="shared" si="26"/>
        <v>1679.9580916</v>
      </c>
      <c r="CK22" s="15">
        <f t="shared" si="27"/>
        <v>1679.9580916</v>
      </c>
      <c r="CL22" s="15">
        <v>280</v>
      </c>
      <c r="CM22" s="15"/>
      <c r="CN22" s="15"/>
      <c r="CO22" s="15">
        <f t="shared" si="28"/>
        <v>6675.1172744000005</v>
      </c>
      <c r="CP22" s="15">
        <f t="shared" si="29"/>
        <v>6675.1172744000005</v>
      </c>
      <c r="CQ22" s="15">
        <v>1113</v>
      </c>
      <c r="CR22" s="15"/>
      <c r="CS22" s="15"/>
      <c r="CT22" s="15">
        <f t="shared" si="30"/>
        <v>16280.2815908</v>
      </c>
      <c r="CU22" s="15">
        <f t="shared" si="31"/>
        <v>16280.2815908</v>
      </c>
      <c r="CV22" s="15">
        <v>2715</v>
      </c>
      <c r="CW22" s="15"/>
      <c r="CX22" s="15"/>
      <c r="CY22" s="15">
        <f t="shared" si="32"/>
        <v>36439.657838399995</v>
      </c>
      <c r="CZ22" s="15">
        <f t="shared" si="33"/>
        <v>36439.657838399995</v>
      </c>
      <c r="DA22" s="15">
        <v>6076</v>
      </c>
      <c r="DB22" s="15"/>
      <c r="DC22" s="15"/>
      <c r="DD22" s="15">
        <f t="shared" si="34"/>
        <v>5513.129140399999</v>
      </c>
      <c r="DE22" s="15">
        <f t="shared" si="35"/>
        <v>5513.129140399999</v>
      </c>
      <c r="DF22" s="15">
        <v>919</v>
      </c>
      <c r="DG22" s="15"/>
      <c r="DH22" s="15"/>
      <c r="DI22" s="15">
        <f t="shared" si="36"/>
        <v>15841.1068764</v>
      </c>
      <c r="DJ22" s="15">
        <f t="shared" si="37"/>
        <v>15841.1068764</v>
      </c>
      <c r="DK22" s="15">
        <v>2642</v>
      </c>
      <c r="DL22" s="15"/>
      <c r="DM22" s="15"/>
      <c r="DN22" s="15">
        <f t="shared" si="38"/>
        <v>610.4214316</v>
      </c>
      <c r="DO22" s="15">
        <f t="shared" si="39"/>
        <v>610.4214316</v>
      </c>
      <c r="DP22" s="15">
        <v>102</v>
      </c>
      <c r="DQ22" s="15"/>
      <c r="DR22" s="15"/>
      <c r="DS22" s="15">
        <f t="shared" si="40"/>
        <v>33417.6427288</v>
      </c>
      <c r="DT22" s="15">
        <f t="shared" si="41"/>
        <v>33417.6427288</v>
      </c>
      <c r="DU22" s="15">
        <v>5572</v>
      </c>
      <c r="DV22" s="15"/>
      <c r="DW22" s="15"/>
      <c r="DX22" s="15">
        <f t="shared" si="42"/>
        <v>5261.1535544</v>
      </c>
      <c r="DY22" s="15">
        <f t="shared" si="43"/>
        <v>5261.1535544</v>
      </c>
      <c r="DZ22" s="15">
        <v>877</v>
      </c>
      <c r="EA22" s="15"/>
      <c r="EB22" s="15"/>
      <c r="EC22" s="15">
        <f t="shared" si="44"/>
        <v>27074.263096399998</v>
      </c>
      <c r="ED22" s="15">
        <f t="shared" si="45"/>
        <v>27074.263096399998</v>
      </c>
      <c r="EE22" s="15">
        <v>4515</v>
      </c>
      <c r="EF22" s="15"/>
      <c r="EG22" s="15"/>
      <c r="EH22" s="15">
        <f t="shared" si="46"/>
        <v>7729.426632800001</v>
      </c>
      <c r="EI22" s="15">
        <f t="shared" si="47"/>
        <v>7729.426632800001</v>
      </c>
      <c r="EJ22" s="15">
        <v>1289</v>
      </c>
      <c r="EK22" s="15"/>
      <c r="EL22" s="15"/>
      <c r="EM22" s="15">
        <f t="shared" si="48"/>
        <v>77.5867272</v>
      </c>
      <c r="EN22" s="15">
        <f t="shared" si="49"/>
        <v>77.5867272</v>
      </c>
      <c r="EO22" s="15">
        <v>13</v>
      </c>
      <c r="EP22" s="15"/>
      <c r="EQ22" s="15"/>
      <c r="ER22" s="15">
        <f t="shared" si="50"/>
        <v>144.0551072</v>
      </c>
      <c r="ES22" s="15">
        <f t="shared" si="51"/>
        <v>144.0551072</v>
      </c>
      <c r="ET22" s="15">
        <v>24</v>
      </c>
      <c r="EU22" s="15"/>
      <c r="EV22" s="15"/>
      <c r="EW22" s="15">
        <f t="shared" si="52"/>
        <v>26040.619361600002</v>
      </c>
      <c r="EX22" s="15">
        <f t="shared" si="53"/>
        <v>26040.619361600002</v>
      </c>
      <c r="EY22" s="15">
        <v>4342</v>
      </c>
      <c r="EZ22" s="15"/>
      <c r="FA22" s="15"/>
      <c r="FB22" s="15">
        <f t="shared" si="54"/>
        <v>48402.999425600006</v>
      </c>
      <c r="FC22" s="15">
        <f t="shared" si="55"/>
        <v>48402.999425600006</v>
      </c>
      <c r="FD22" s="15">
        <v>8071</v>
      </c>
      <c r="FE22" s="15"/>
      <c r="FF22" s="22"/>
      <c r="FG22" s="15"/>
      <c r="FH22" s="15"/>
      <c r="FI22" s="15"/>
    </row>
    <row r="23" spans="1:165" ht="12.75">
      <c r="A23" s="2">
        <v>42461</v>
      </c>
      <c r="C23" s="16">
        <v>9075000</v>
      </c>
      <c r="D23" s="16">
        <v>1311516</v>
      </c>
      <c r="E23" s="16">
        <f t="shared" si="0"/>
        <v>10386516</v>
      </c>
      <c r="F23" s="16">
        <f t="shared" si="56"/>
        <v>335088</v>
      </c>
      <c r="G23" s="16">
        <f t="shared" si="57"/>
        <v>100734</v>
      </c>
      <c r="I23" s="16"/>
      <c r="J23" s="16"/>
      <c r="K23" s="16"/>
      <c r="L23" s="16"/>
      <c r="M23" s="16"/>
      <c r="U23" s="15">
        <v>4120000</v>
      </c>
      <c r="V23" s="15">
        <v>103000</v>
      </c>
      <c r="W23" s="15">
        <f t="shared" si="2"/>
        <v>4223000</v>
      </c>
      <c r="X23" s="15">
        <v>133483</v>
      </c>
      <c r="Y23" s="15">
        <v>100734</v>
      </c>
      <c r="AA23" s="16">
        <v>4955000</v>
      </c>
      <c r="AB23" s="16">
        <v>1208516</v>
      </c>
      <c r="AC23" s="16">
        <f t="shared" si="3"/>
        <v>6163516</v>
      </c>
      <c r="AD23" s="16">
        <f t="shared" si="58"/>
        <v>201605</v>
      </c>
      <c r="AF23" s="33">
        <v>2689702</v>
      </c>
      <c r="AG23" s="33">
        <v>656014</v>
      </c>
      <c r="AH23" s="33">
        <f t="shared" si="4"/>
        <v>3345716</v>
      </c>
      <c r="AI23" s="33">
        <v>109392</v>
      </c>
      <c r="AK23" s="15">
        <f t="shared" si="5"/>
        <v>2265297.6654999997</v>
      </c>
      <c r="AL23" s="22">
        <f t="shared" si="6"/>
        <v>552502.2146356001</v>
      </c>
      <c r="AM23" s="15">
        <f t="shared" si="7"/>
        <v>2817799.8801355995</v>
      </c>
      <c r="AN23" s="15">
        <f t="shared" si="59"/>
        <v>92213</v>
      </c>
      <c r="AP23" s="15">
        <f t="shared" si="60"/>
        <v>404942.42</v>
      </c>
      <c r="AQ23" s="16">
        <f t="shared" si="8"/>
        <v>98764.76158399999</v>
      </c>
      <c r="AR23" s="15">
        <f t="shared" si="9"/>
        <v>503707.181584</v>
      </c>
      <c r="AS23" s="15">
        <v>16469</v>
      </c>
      <c r="AU23" s="15">
        <f t="shared" si="61"/>
        <v>295142.593</v>
      </c>
      <c r="AV23" s="15">
        <f t="shared" si="10"/>
        <v>71984.7721336</v>
      </c>
      <c r="AW23" s="15">
        <f t="shared" si="11"/>
        <v>367127.36513359996</v>
      </c>
      <c r="AX23" s="15">
        <v>12004</v>
      </c>
      <c r="AZ23" s="15">
        <f t="shared" si="62"/>
        <v>156480.882</v>
      </c>
      <c r="BA23" s="15">
        <f t="shared" si="12"/>
        <v>38165.4186864</v>
      </c>
      <c r="BB23" s="15">
        <f t="shared" si="13"/>
        <v>194646.3006864</v>
      </c>
      <c r="BC23" s="15">
        <v>6364</v>
      </c>
      <c r="BE23" s="3">
        <f t="shared" si="63"/>
        <v>113806.44</v>
      </c>
      <c r="BF23" s="3">
        <f t="shared" si="14"/>
        <v>27757.195488</v>
      </c>
      <c r="BG23" s="3">
        <f t="shared" si="15"/>
        <v>141563.635488</v>
      </c>
      <c r="BH23" s="3">
        <v>4713</v>
      </c>
      <c r="BI23" s="15"/>
      <c r="BJ23" s="15">
        <f t="shared" si="64"/>
        <v>13036.109499999999</v>
      </c>
      <c r="BK23" s="15">
        <f t="shared" si="16"/>
        <v>3179.4847443999997</v>
      </c>
      <c r="BL23" s="15">
        <f t="shared" si="17"/>
        <v>16215.5942444</v>
      </c>
      <c r="BM23" s="15">
        <v>530</v>
      </c>
      <c r="BN23" s="15"/>
      <c r="BO23" s="15">
        <f t="shared" si="65"/>
        <v>206241.4695</v>
      </c>
      <c r="BP23" s="15">
        <f t="shared" si="18"/>
        <v>50301.9406164</v>
      </c>
      <c r="BQ23" s="15">
        <f t="shared" si="19"/>
        <v>256543.41011640002</v>
      </c>
      <c r="BR23" s="15">
        <v>8388</v>
      </c>
      <c r="BS23" s="15"/>
      <c r="BT23" s="15">
        <f t="shared" si="66"/>
        <v>22357.455499999996</v>
      </c>
      <c r="BU23" s="15">
        <f t="shared" si="20"/>
        <v>5452.945043600001</v>
      </c>
      <c r="BV23" s="15">
        <f t="shared" si="21"/>
        <v>27810.400543599997</v>
      </c>
      <c r="BW23" s="15">
        <v>909</v>
      </c>
      <c r="BX23" s="15"/>
      <c r="BY23" s="15">
        <f t="shared" si="67"/>
        <v>69938.3385</v>
      </c>
      <c r="BZ23" s="15">
        <f t="shared" si="22"/>
        <v>17057.8407852</v>
      </c>
      <c r="CA23" s="15">
        <f t="shared" si="23"/>
        <v>86996.17928519999</v>
      </c>
      <c r="CB23" s="15">
        <v>2844</v>
      </c>
      <c r="CC23" s="15"/>
      <c r="CD23" s="15">
        <f t="shared" si="68"/>
        <v>35467.3945</v>
      </c>
      <c r="CE23" s="15">
        <f t="shared" si="24"/>
        <v>8650.4366764</v>
      </c>
      <c r="CF23" s="15">
        <f t="shared" si="25"/>
        <v>44117.8311764</v>
      </c>
      <c r="CG23" s="15">
        <v>1442</v>
      </c>
      <c r="CH23" s="15"/>
      <c r="CI23" s="15">
        <f t="shared" si="69"/>
        <v>6887.945499999999</v>
      </c>
      <c r="CJ23" s="15">
        <f t="shared" si="26"/>
        <v>1679.9580916</v>
      </c>
      <c r="CK23" s="15">
        <f t="shared" si="27"/>
        <v>8567.9035916</v>
      </c>
      <c r="CL23" s="15">
        <v>280</v>
      </c>
      <c r="CM23" s="15"/>
      <c r="CN23" s="15">
        <f t="shared" si="70"/>
        <v>27368.447</v>
      </c>
      <c r="CO23" s="15">
        <f t="shared" si="28"/>
        <v>6675.1172744000005</v>
      </c>
      <c r="CP23" s="15">
        <f t="shared" si="29"/>
        <v>34043.5642744</v>
      </c>
      <c r="CQ23" s="15">
        <v>1113</v>
      </c>
      <c r="CR23" s="15"/>
      <c r="CS23" s="15">
        <f t="shared" si="71"/>
        <v>66750.29149999999</v>
      </c>
      <c r="CT23" s="15">
        <f t="shared" si="30"/>
        <v>16280.2815908</v>
      </c>
      <c r="CU23" s="15">
        <f t="shared" si="31"/>
        <v>83030.5730908</v>
      </c>
      <c r="CV23" s="15">
        <v>2715</v>
      </c>
      <c r="CW23" s="15"/>
      <c r="CX23" s="15">
        <f t="shared" si="72"/>
        <v>149405.142</v>
      </c>
      <c r="CY23" s="15">
        <f t="shared" si="32"/>
        <v>36439.657838399995</v>
      </c>
      <c r="CZ23" s="15">
        <f t="shared" si="33"/>
        <v>185844.79983839998</v>
      </c>
      <c r="DA23" s="15">
        <v>6076</v>
      </c>
      <c r="DB23" s="15"/>
      <c r="DC23" s="15">
        <f t="shared" si="73"/>
        <v>22604.2145</v>
      </c>
      <c r="DD23" s="15">
        <f t="shared" si="34"/>
        <v>5513.129140399999</v>
      </c>
      <c r="DE23" s="15">
        <f t="shared" si="35"/>
        <v>28117.3436404</v>
      </c>
      <c r="DF23" s="15">
        <v>919</v>
      </c>
      <c r="DG23" s="15"/>
      <c r="DH23" s="15">
        <f t="shared" si="74"/>
        <v>64949.644499999995</v>
      </c>
      <c r="DI23" s="15">
        <f t="shared" si="36"/>
        <v>15841.1068764</v>
      </c>
      <c r="DJ23" s="15">
        <f t="shared" si="37"/>
        <v>80790.75137639999</v>
      </c>
      <c r="DK23" s="15">
        <v>2642</v>
      </c>
      <c r="DL23" s="15"/>
      <c r="DM23" s="15">
        <f t="shared" si="75"/>
        <v>2502.7705</v>
      </c>
      <c r="DN23" s="15">
        <f t="shared" si="38"/>
        <v>610.4214316</v>
      </c>
      <c r="DO23" s="15">
        <f t="shared" si="39"/>
        <v>3113.1919316000003</v>
      </c>
      <c r="DP23" s="15">
        <v>102</v>
      </c>
      <c r="DQ23" s="15"/>
      <c r="DR23" s="15">
        <f t="shared" si="76"/>
        <v>137014.669</v>
      </c>
      <c r="DS23" s="15">
        <f t="shared" si="40"/>
        <v>33417.6427288</v>
      </c>
      <c r="DT23" s="15">
        <f t="shared" si="41"/>
        <v>170432.3117288</v>
      </c>
      <c r="DU23" s="15">
        <v>5572</v>
      </c>
      <c r="DV23" s="15"/>
      <c r="DW23" s="15">
        <f t="shared" si="77"/>
        <v>21571.097</v>
      </c>
      <c r="DX23" s="15">
        <f t="shared" si="42"/>
        <v>5261.1535544</v>
      </c>
      <c r="DY23" s="15">
        <f t="shared" si="43"/>
        <v>26832.2505544</v>
      </c>
      <c r="DZ23" s="15">
        <v>877</v>
      </c>
      <c r="EA23" s="15"/>
      <c r="EB23" s="15">
        <f t="shared" si="78"/>
        <v>111006.36949999999</v>
      </c>
      <c r="EC23" s="15">
        <f t="shared" si="44"/>
        <v>27074.263096399998</v>
      </c>
      <c r="ED23" s="15">
        <f t="shared" si="45"/>
        <v>138080.63259639998</v>
      </c>
      <c r="EE23" s="15">
        <v>4515</v>
      </c>
      <c r="EF23" s="15"/>
      <c r="EG23" s="15">
        <f t="shared" si="79"/>
        <v>31691.189000000002</v>
      </c>
      <c r="EH23" s="15">
        <f t="shared" si="46"/>
        <v>7729.426632800001</v>
      </c>
      <c r="EI23" s="15">
        <f t="shared" si="47"/>
        <v>39420.61563280001</v>
      </c>
      <c r="EJ23" s="15">
        <v>1289</v>
      </c>
      <c r="EK23" s="15"/>
      <c r="EL23" s="15">
        <f t="shared" si="80"/>
        <v>318.11100000000005</v>
      </c>
      <c r="EM23" s="15">
        <f t="shared" si="48"/>
        <v>77.5867272</v>
      </c>
      <c r="EN23" s="15">
        <f t="shared" si="49"/>
        <v>395.69772720000003</v>
      </c>
      <c r="EO23" s="15">
        <v>13</v>
      </c>
      <c r="EP23" s="15"/>
      <c r="EQ23" s="15">
        <f t="shared" si="81"/>
        <v>590.636</v>
      </c>
      <c r="ER23" s="15">
        <f t="shared" si="50"/>
        <v>144.0551072</v>
      </c>
      <c r="ES23" s="15">
        <f t="shared" si="51"/>
        <v>734.6911072</v>
      </c>
      <c r="ET23" s="15">
        <v>24</v>
      </c>
      <c r="EU23" s="15"/>
      <c r="EV23" s="15">
        <f t="shared" si="82"/>
        <v>106768.35800000001</v>
      </c>
      <c r="EW23" s="15">
        <f t="shared" si="52"/>
        <v>26040.619361600002</v>
      </c>
      <c r="EX23" s="15">
        <f t="shared" si="53"/>
        <v>132808.9773616</v>
      </c>
      <c r="EY23" s="15">
        <v>4342</v>
      </c>
      <c r="EZ23" s="15"/>
      <c r="FA23" s="15">
        <f t="shared" si="83"/>
        <v>198455.678</v>
      </c>
      <c r="FB23" s="15">
        <f t="shared" si="54"/>
        <v>48402.999425600006</v>
      </c>
      <c r="FC23" s="15">
        <f t="shared" si="55"/>
        <v>246858.6774256</v>
      </c>
      <c r="FD23" s="15">
        <v>8071</v>
      </c>
      <c r="FE23" s="15"/>
      <c r="FF23" s="22"/>
      <c r="FG23" s="15"/>
      <c r="FH23" s="15"/>
      <c r="FI23" s="15"/>
    </row>
    <row r="24" spans="1:165" ht="12.75">
      <c r="A24" s="2">
        <v>42644</v>
      </c>
      <c r="D24" s="16">
        <v>1084641</v>
      </c>
      <c r="E24" s="16">
        <f t="shared" si="0"/>
        <v>1084641</v>
      </c>
      <c r="F24" s="16">
        <f t="shared" si="56"/>
        <v>201605</v>
      </c>
      <c r="G24" s="16">
        <f t="shared" si="57"/>
        <v>0</v>
      </c>
      <c r="I24" s="16"/>
      <c r="J24" s="16"/>
      <c r="K24" s="16"/>
      <c r="L24" s="16"/>
      <c r="M24" s="16"/>
      <c r="AA24" s="16"/>
      <c r="AB24" s="16">
        <v>1084641</v>
      </c>
      <c r="AC24" s="16">
        <f t="shared" si="3"/>
        <v>1084641</v>
      </c>
      <c r="AD24" s="16">
        <f t="shared" si="58"/>
        <v>201605</v>
      </c>
      <c r="AF24" s="33"/>
      <c r="AG24" s="33">
        <v>588771</v>
      </c>
      <c r="AH24" s="33">
        <f t="shared" si="4"/>
        <v>588771</v>
      </c>
      <c r="AI24" s="33">
        <v>109392</v>
      </c>
      <c r="AK24" s="15">
        <f t="shared" si="5"/>
        <v>0</v>
      </c>
      <c r="AL24" s="22">
        <f t="shared" si="6"/>
        <v>495869.77299810003</v>
      </c>
      <c r="AM24" s="15">
        <f t="shared" si="7"/>
        <v>495869.77299810003</v>
      </c>
      <c r="AN24" s="15">
        <f t="shared" si="59"/>
        <v>92213</v>
      </c>
      <c r="AP24" s="15"/>
      <c r="AQ24" s="16">
        <f t="shared" si="8"/>
        <v>88641.201084</v>
      </c>
      <c r="AR24" s="15">
        <f t="shared" si="9"/>
        <v>88641.201084</v>
      </c>
      <c r="AS24" s="15">
        <v>16469</v>
      </c>
      <c r="AU24" s="15"/>
      <c r="AV24" s="15">
        <f t="shared" si="10"/>
        <v>64606.207308599995</v>
      </c>
      <c r="AW24" s="15">
        <f t="shared" si="11"/>
        <v>64606.207308599995</v>
      </c>
      <c r="AX24" s="15">
        <v>12004</v>
      </c>
      <c r="AZ24" s="15"/>
      <c r="BA24" s="15">
        <f t="shared" si="12"/>
        <v>34253.3966364</v>
      </c>
      <c r="BB24" s="15">
        <f t="shared" si="13"/>
        <v>34253.3966364</v>
      </c>
      <c r="BC24" s="15">
        <v>6364</v>
      </c>
      <c r="BE24" s="3"/>
      <c r="BF24" s="3">
        <f t="shared" si="14"/>
        <v>24912.034488000005</v>
      </c>
      <c r="BG24" s="3">
        <f t="shared" si="15"/>
        <v>24912.034488000005</v>
      </c>
      <c r="BH24" s="3">
        <v>4713</v>
      </c>
      <c r="BI24" s="15"/>
      <c r="BJ24" s="15"/>
      <c r="BK24" s="15">
        <f t="shared" si="16"/>
        <v>2853.5820068999997</v>
      </c>
      <c r="BL24" s="15">
        <f t="shared" si="17"/>
        <v>2853.5820068999997</v>
      </c>
      <c r="BM24" s="15">
        <v>530</v>
      </c>
      <c r="BN24" s="15"/>
      <c r="BO24" s="15"/>
      <c r="BP24" s="15">
        <f t="shared" si="18"/>
        <v>45145.9038789</v>
      </c>
      <c r="BQ24" s="15">
        <f t="shared" si="19"/>
        <v>45145.9038789</v>
      </c>
      <c r="BR24" s="15">
        <v>8388</v>
      </c>
      <c r="BS24" s="15"/>
      <c r="BT24" s="15"/>
      <c r="BU24" s="15">
        <f t="shared" si="20"/>
        <v>4894.0086561</v>
      </c>
      <c r="BV24" s="15">
        <f t="shared" si="21"/>
        <v>4894.0086561</v>
      </c>
      <c r="BW24" s="15">
        <v>909</v>
      </c>
      <c r="BX24" s="15"/>
      <c r="BY24" s="15"/>
      <c r="BZ24" s="15">
        <f t="shared" si="22"/>
        <v>15309.382322700001</v>
      </c>
      <c r="CA24" s="15">
        <f t="shared" si="23"/>
        <v>15309.382322700001</v>
      </c>
      <c r="CB24" s="15">
        <v>2844</v>
      </c>
      <c r="CC24" s="15"/>
      <c r="CD24" s="15"/>
      <c r="CE24" s="15">
        <f t="shared" si="24"/>
        <v>7763.7518139</v>
      </c>
      <c r="CF24" s="15">
        <f t="shared" si="25"/>
        <v>7763.7518139</v>
      </c>
      <c r="CG24" s="15">
        <v>1442</v>
      </c>
      <c r="CH24" s="15"/>
      <c r="CI24" s="15"/>
      <c r="CJ24" s="15">
        <f t="shared" si="26"/>
        <v>1507.7594540999999</v>
      </c>
      <c r="CK24" s="15">
        <f t="shared" si="27"/>
        <v>1507.7594540999999</v>
      </c>
      <c r="CL24" s="15">
        <v>280</v>
      </c>
      <c r="CM24" s="15"/>
      <c r="CN24" s="15"/>
      <c r="CO24" s="15">
        <f t="shared" si="28"/>
        <v>5990.906099400001</v>
      </c>
      <c r="CP24" s="15">
        <f t="shared" si="29"/>
        <v>5990.906099400001</v>
      </c>
      <c r="CQ24" s="15">
        <v>1113</v>
      </c>
      <c r="CR24" s="15"/>
      <c r="CS24" s="15"/>
      <c r="CT24" s="15">
        <f t="shared" si="30"/>
        <v>14611.524303299999</v>
      </c>
      <c r="CU24" s="15">
        <f t="shared" si="31"/>
        <v>14611.524303299999</v>
      </c>
      <c r="CV24" s="15">
        <v>2715</v>
      </c>
      <c r="CW24" s="15"/>
      <c r="CX24" s="15"/>
      <c r="CY24" s="15">
        <f t="shared" si="32"/>
        <v>32704.529288399997</v>
      </c>
      <c r="CZ24" s="15">
        <f t="shared" si="33"/>
        <v>32704.529288399997</v>
      </c>
      <c r="DA24" s="15">
        <v>6076</v>
      </c>
      <c r="DB24" s="15"/>
      <c r="DC24" s="15"/>
      <c r="DD24" s="15">
        <f t="shared" si="34"/>
        <v>4948.0237779</v>
      </c>
      <c r="DE24" s="15">
        <f t="shared" si="35"/>
        <v>4948.0237779</v>
      </c>
      <c r="DF24" s="15">
        <v>919</v>
      </c>
      <c r="DG24" s="15"/>
      <c r="DH24" s="15"/>
      <c r="DI24" s="15">
        <f t="shared" si="36"/>
        <v>14217.365763899998</v>
      </c>
      <c r="DJ24" s="15">
        <f t="shared" si="37"/>
        <v>14217.365763899998</v>
      </c>
      <c r="DK24" s="15">
        <v>2642</v>
      </c>
      <c r="DL24" s="15"/>
      <c r="DM24" s="15"/>
      <c r="DN24" s="15">
        <f t="shared" si="38"/>
        <v>547.8521691000001</v>
      </c>
      <c r="DO24" s="15">
        <f t="shared" si="39"/>
        <v>547.8521691000001</v>
      </c>
      <c r="DP24" s="15">
        <v>102</v>
      </c>
      <c r="DQ24" s="15"/>
      <c r="DR24" s="15"/>
      <c r="DS24" s="15">
        <f t="shared" si="40"/>
        <v>29992.2760038</v>
      </c>
      <c r="DT24" s="15">
        <f t="shared" si="41"/>
        <v>29992.2760038</v>
      </c>
      <c r="DU24" s="15">
        <v>5572</v>
      </c>
      <c r="DV24" s="15"/>
      <c r="DW24" s="15"/>
      <c r="DX24" s="15">
        <f t="shared" si="42"/>
        <v>4721.8761294000005</v>
      </c>
      <c r="DY24" s="15">
        <f t="shared" si="43"/>
        <v>4721.8761294000005</v>
      </c>
      <c r="DZ24" s="15">
        <v>877</v>
      </c>
      <c r="EA24" s="15"/>
      <c r="EB24" s="15"/>
      <c r="EC24" s="15">
        <f t="shared" si="44"/>
        <v>24299.1038589</v>
      </c>
      <c r="ED24" s="15">
        <f t="shared" si="45"/>
        <v>24299.1038589</v>
      </c>
      <c r="EE24" s="15">
        <v>4515</v>
      </c>
      <c r="EF24" s="15"/>
      <c r="EG24" s="15"/>
      <c r="EH24" s="15">
        <f t="shared" si="46"/>
        <v>6937.146907800001</v>
      </c>
      <c r="EI24" s="15">
        <f t="shared" si="47"/>
        <v>6937.146907800001</v>
      </c>
      <c r="EJ24" s="15">
        <v>1289</v>
      </c>
      <c r="EK24" s="15"/>
      <c r="EL24" s="15"/>
      <c r="EM24" s="15">
        <f t="shared" si="48"/>
        <v>69.63395220000001</v>
      </c>
      <c r="EN24" s="15">
        <f t="shared" si="49"/>
        <v>69.63395220000001</v>
      </c>
      <c r="EO24" s="15">
        <v>13</v>
      </c>
      <c r="EP24" s="15"/>
      <c r="EQ24" s="15"/>
      <c r="ER24" s="15">
        <f t="shared" si="50"/>
        <v>129.2892072</v>
      </c>
      <c r="ES24" s="15">
        <f t="shared" si="51"/>
        <v>129.2892072</v>
      </c>
      <c r="ET24" s="15">
        <v>24</v>
      </c>
      <c r="EU24" s="15"/>
      <c r="EV24" s="15"/>
      <c r="EW24" s="15">
        <f t="shared" si="52"/>
        <v>23371.4104116</v>
      </c>
      <c r="EX24" s="15">
        <f t="shared" si="53"/>
        <v>23371.4104116</v>
      </c>
      <c r="EY24" s="15">
        <v>4342</v>
      </c>
      <c r="EZ24" s="15"/>
      <c r="FA24" s="15"/>
      <c r="FB24" s="15">
        <f t="shared" si="54"/>
        <v>43441.6074756</v>
      </c>
      <c r="FC24" s="15">
        <f t="shared" si="55"/>
        <v>43441.6074756</v>
      </c>
      <c r="FD24" s="15">
        <v>8071</v>
      </c>
      <c r="FE24" s="15"/>
      <c r="FF24" s="22"/>
      <c r="FG24" s="15"/>
      <c r="FH24" s="15"/>
      <c r="FI24" s="15"/>
    </row>
    <row r="25" spans="1:165" ht="12.75">
      <c r="A25" s="2">
        <v>42826</v>
      </c>
      <c r="C25" s="16">
        <v>5205000</v>
      </c>
      <c r="D25" s="16">
        <v>1084641</v>
      </c>
      <c r="E25" s="16">
        <f t="shared" si="0"/>
        <v>6289641</v>
      </c>
      <c r="F25" s="16">
        <f t="shared" si="56"/>
        <v>201605</v>
      </c>
      <c r="G25" s="16">
        <f t="shared" si="57"/>
        <v>0</v>
      </c>
      <c r="I25" s="16"/>
      <c r="J25" s="16"/>
      <c r="K25" s="16"/>
      <c r="L25" s="16"/>
      <c r="M25" s="16"/>
      <c r="AA25" s="16">
        <v>5205000</v>
      </c>
      <c r="AB25" s="16">
        <v>1084641</v>
      </c>
      <c r="AC25" s="16">
        <f t="shared" si="3"/>
        <v>6289641</v>
      </c>
      <c r="AD25" s="16">
        <f t="shared" si="58"/>
        <v>201605</v>
      </c>
      <c r="AF25" s="33">
        <v>2825409</v>
      </c>
      <c r="AG25" s="33">
        <v>588771</v>
      </c>
      <c r="AH25" s="33">
        <f t="shared" si="4"/>
        <v>3414180</v>
      </c>
      <c r="AI25" s="33">
        <v>109392</v>
      </c>
      <c r="AK25" s="15">
        <f t="shared" si="5"/>
        <v>2379591.1905000005</v>
      </c>
      <c r="AL25" s="22">
        <f t="shared" si="6"/>
        <v>495869.77299810003</v>
      </c>
      <c r="AM25" s="15">
        <f t="shared" si="7"/>
        <v>2875460.9634981006</v>
      </c>
      <c r="AN25" s="15">
        <f t="shared" si="59"/>
        <v>92213</v>
      </c>
      <c r="AP25" s="15">
        <f t="shared" si="60"/>
        <v>425373.42</v>
      </c>
      <c r="AQ25" s="16">
        <f t="shared" si="8"/>
        <v>88641.201084</v>
      </c>
      <c r="AR25" s="15">
        <f t="shared" si="9"/>
        <v>514014.621084</v>
      </c>
      <c r="AS25" s="15">
        <v>16469</v>
      </c>
      <c r="AU25" s="15">
        <f t="shared" si="61"/>
        <v>310033.743</v>
      </c>
      <c r="AV25" s="15">
        <f t="shared" si="10"/>
        <v>64606.207308599995</v>
      </c>
      <c r="AW25" s="15">
        <f t="shared" si="11"/>
        <v>374639.95030860003</v>
      </c>
      <c r="AX25" s="15">
        <v>12004</v>
      </c>
      <c r="AZ25" s="15">
        <f t="shared" si="62"/>
        <v>164375.98200000002</v>
      </c>
      <c r="BA25" s="15">
        <f t="shared" si="12"/>
        <v>34253.3966364</v>
      </c>
      <c r="BB25" s="15">
        <f t="shared" si="13"/>
        <v>198629.3786364</v>
      </c>
      <c r="BC25" s="15">
        <v>6364</v>
      </c>
      <c r="BE25" s="3">
        <f t="shared" si="63"/>
        <v>119548.44</v>
      </c>
      <c r="BF25" s="3">
        <f t="shared" si="14"/>
        <v>24912.034488000005</v>
      </c>
      <c r="BG25" s="3">
        <f t="shared" si="15"/>
        <v>144460.474488</v>
      </c>
      <c r="BH25" s="3">
        <v>4713</v>
      </c>
      <c r="BI25" s="15"/>
      <c r="BJ25" s="15">
        <f t="shared" si="64"/>
        <v>13693.834499999999</v>
      </c>
      <c r="BK25" s="15">
        <f t="shared" si="16"/>
        <v>2853.5820068999997</v>
      </c>
      <c r="BL25" s="15">
        <f t="shared" si="17"/>
        <v>16547.416506899997</v>
      </c>
      <c r="BM25" s="15">
        <v>530</v>
      </c>
      <c r="BN25" s="15"/>
      <c r="BO25" s="15">
        <f t="shared" si="65"/>
        <v>216647.19449999998</v>
      </c>
      <c r="BP25" s="15">
        <f t="shared" si="18"/>
        <v>45145.9038789</v>
      </c>
      <c r="BQ25" s="15">
        <f t="shared" si="19"/>
        <v>261793.09837889997</v>
      </c>
      <c r="BR25" s="15">
        <v>8388</v>
      </c>
      <c r="BS25" s="15"/>
      <c r="BT25" s="15">
        <f t="shared" si="66"/>
        <v>23485.480499999998</v>
      </c>
      <c r="BU25" s="15">
        <f t="shared" si="20"/>
        <v>4894.0086561</v>
      </c>
      <c r="BV25" s="15">
        <f t="shared" si="21"/>
        <v>28379.489156099997</v>
      </c>
      <c r="BW25" s="15">
        <v>909</v>
      </c>
      <c r="BX25" s="15"/>
      <c r="BY25" s="15">
        <f t="shared" si="67"/>
        <v>73467.0135</v>
      </c>
      <c r="BZ25" s="15">
        <f t="shared" si="22"/>
        <v>15309.382322700001</v>
      </c>
      <c r="CA25" s="15">
        <f t="shared" si="23"/>
        <v>88776.3958227</v>
      </c>
      <c r="CB25" s="15">
        <v>2844</v>
      </c>
      <c r="CC25" s="15"/>
      <c r="CD25" s="15">
        <f t="shared" si="68"/>
        <v>37256.8695</v>
      </c>
      <c r="CE25" s="15">
        <f t="shared" si="24"/>
        <v>7763.7518139</v>
      </c>
      <c r="CF25" s="15">
        <f t="shared" si="25"/>
        <v>45020.6213139</v>
      </c>
      <c r="CG25" s="15">
        <v>1442</v>
      </c>
      <c r="CH25" s="15"/>
      <c r="CI25" s="15">
        <f t="shared" si="69"/>
        <v>7235.470499999999</v>
      </c>
      <c r="CJ25" s="15">
        <f t="shared" si="26"/>
        <v>1507.7594540999999</v>
      </c>
      <c r="CK25" s="15">
        <f t="shared" si="27"/>
        <v>8743.2299541</v>
      </c>
      <c r="CL25" s="15">
        <v>280</v>
      </c>
      <c r="CM25" s="15"/>
      <c r="CN25" s="15">
        <f t="shared" si="70"/>
        <v>28749.297000000002</v>
      </c>
      <c r="CO25" s="15">
        <f t="shared" si="28"/>
        <v>5990.906099400001</v>
      </c>
      <c r="CP25" s="15">
        <f t="shared" si="29"/>
        <v>34740.2030994</v>
      </c>
      <c r="CQ25" s="15">
        <v>1113</v>
      </c>
      <c r="CR25" s="15"/>
      <c r="CS25" s="15">
        <f t="shared" si="71"/>
        <v>70118.11649999999</v>
      </c>
      <c r="CT25" s="15">
        <f t="shared" si="30"/>
        <v>14611.524303299999</v>
      </c>
      <c r="CU25" s="15">
        <f t="shared" si="31"/>
        <v>84729.64080329999</v>
      </c>
      <c r="CV25" s="15">
        <v>2715</v>
      </c>
      <c r="CW25" s="15"/>
      <c r="CX25" s="15">
        <f t="shared" si="72"/>
        <v>156943.242</v>
      </c>
      <c r="CY25" s="15">
        <f t="shared" si="32"/>
        <v>32704.529288399997</v>
      </c>
      <c r="CZ25" s="15">
        <f t="shared" si="33"/>
        <v>189647.7712884</v>
      </c>
      <c r="DA25" s="15">
        <v>6076</v>
      </c>
      <c r="DB25" s="15"/>
      <c r="DC25" s="15">
        <f t="shared" si="73"/>
        <v>23744.689499999997</v>
      </c>
      <c r="DD25" s="15">
        <f t="shared" si="34"/>
        <v>4948.0237779</v>
      </c>
      <c r="DE25" s="15">
        <f t="shared" si="35"/>
        <v>28692.713277899995</v>
      </c>
      <c r="DF25" s="15">
        <v>919</v>
      </c>
      <c r="DG25" s="15"/>
      <c r="DH25" s="15">
        <f t="shared" si="74"/>
        <v>68226.61949999999</v>
      </c>
      <c r="DI25" s="15">
        <f t="shared" si="36"/>
        <v>14217.365763899998</v>
      </c>
      <c r="DJ25" s="15">
        <f t="shared" si="37"/>
        <v>82443.98526389999</v>
      </c>
      <c r="DK25" s="15">
        <v>2642</v>
      </c>
      <c r="DL25" s="15"/>
      <c r="DM25" s="15">
        <f t="shared" si="75"/>
        <v>2629.0454999999997</v>
      </c>
      <c r="DN25" s="15">
        <f t="shared" si="38"/>
        <v>547.8521691000001</v>
      </c>
      <c r="DO25" s="15">
        <f t="shared" si="39"/>
        <v>3176.8976691</v>
      </c>
      <c r="DP25" s="15">
        <v>102</v>
      </c>
      <c r="DQ25" s="15"/>
      <c r="DR25" s="15">
        <f t="shared" si="76"/>
        <v>143927.619</v>
      </c>
      <c r="DS25" s="15">
        <f t="shared" si="40"/>
        <v>29992.2760038</v>
      </c>
      <c r="DT25" s="15">
        <f t="shared" si="41"/>
        <v>173919.89500380002</v>
      </c>
      <c r="DU25" s="15">
        <v>5572</v>
      </c>
      <c r="DV25" s="15"/>
      <c r="DW25" s="15">
        <f t="shared" si="77"/>
        <v>22659.447</v>
      </c>
      <c r="DX25" s="15">
        <f t="shared" si="42"/>
        <v>4721.8761294000005</v>
      </c>
      <c r="DY25" s="15">
        <f t="shared" si="43"/>
        <v>27381.3231294</v>
      </c>
      <c r="DZ25" s="15">
        <v>877</v>
      </c>
      <c r="EA25" s="15"/>
      <c r="EB25" s="15">
        <f t="shared" si="78"/>
        <v>116607.09449999999</v>
      </c>
      <c r="EC25" s="15">
        <f t="shared" si="44"/>
        <v>24299.1038589</v>
      </c>
      <c r="ED25" s="15">
        <f t="shared" si="45"/>
        <v>140906.1983589</v>
      </c>
      <c r="EE25" s="15">
        <v>4515</v>
      </c>
      <c r="EF25" s="15"/>
      <c r="EG25" s="15">
        <f t="shared" si="79"/>
        <v>33290.139</v>
      </c>
      <c r="EH25" s="15">
        <f t="shared" si="46"/>
        <v>6937.146907800001</v>
      </c>
      <c r="EI25" s="15">
        <f t="shared" si="47"/>
        <v>40227.285907800004</v>
      </c>
      <c r="EJ25" s="15">
        <v>1289</v>
      </c>
      <c r="EK25" s="15"/>
      <c r="EL25" s="15">
        <f t="shared" si="80"/>
        <v>334.161</v>
      </c>
      <c r="EM25" s="15">
        <f t="shared" si="48"/>
        <v>69.63395220000001</v>
      </c>
      <c r="EN25" s="15">
        <f t="shared" si="49"/>
        <v>403.7949522</v>
      </c>
      <c r="EO25" s="15">
        <v>13</v>
      </c>
      <c r="EP25" s="15"/>
      <c r="EQ25" s="15">
        <f t="shared" si="81"/>
        <v>620.436</v>
      </c>
      <c r="ER25" s="15">
        <f t="shared" si="50"/>
        <v>129.2892072</v>
      </c>
      <c r="ES25" s="15">
        <f t="shared" si="51"/>
        <v>749.7252072</v>
      </c>
      <c r="ET25" s="15">
        <v>24</v>
      </c>
      <c r="EU25" s="15"/>
      <c r="EV25" s="15">
        <f t="shared" si="82"/>
        <v>112155.258</v>
      </c>
      <c r="EW25" s="15">
        <f t="shared" si="52"/>
        <v>23371.4104116</v>
      </c>
      <c r="EX25" s="15">
        <f t="shared" si="53"/>
        <v>135526.6684116</v>
      </c>
      <c r="EY25" s="15">
        <v>4342</v>
      </c>
      <c r="EZ25" s="15"/>
      <c r="FA25" s="15">
        <f t="shared" si="83"/>
        <v>208468.578</v>
      </c>
      <c r="FB25" s="15">
        <f t="shared" si="54"/>
        <v>43441.6074756</v>
      </c>
      <c r="FC25" s="15">
        <f t="shared" si="55"/>
        <v>251910.1854756</v>
      </c>
      <c r="FD25" s="15">
        <v>8071</v>
      </c>
      <c r="FE25" s="15"/>
      <c r="FF25" s="22"/>
      <c r="FG25" s="15"/>
      <c r="FH25" s="15"/>
      <c r="FI25" s="15"/>
    </row>
    <row r="26" spans="1:165" ht="12.75">
      <c r="A26" s="2">
        <v>43009</v>
      </c>
      <c r="D26" s="16">
        <v>954516</v>
      </c>
      <c r="E26" s="16">
        <f t="shared" si="0"/>
        <v>954516</v>
      </c>
      <c r="F26" s="16">
        <f t="shared" si="56"/>
        <v>201605</v>
      </c>
      <c r="G26" s="16">
        <f t="shared" si="57"/>
        <v>0</v>
      </c>
      <c r="I26" s="16"/>
      <c r="J26" s="16"/>
      <c r="K26" s="16"/>
      <c r="L26" s="16"/>
      <c r="M26" s="16"/>
      <c r="AA26" s="16"/>
      <c r="AB26" s="16">
        <v>954516</v>
      </c>
      <c r="AC26" s="16">
        <f t="shared" si="3"/>
        <v>954516</v>
      </c>
      <c r="AD26" s="16">
        <f t="shared" si="58"/>
        <v>201605</v>
      </c>
      <c r="AF26" s="33"/>
      <c r="AG26" s="33">
        <v>518136</v>
      </c>
      <c r="AH26" s="33">
        <f t="shared" si="4"/>
        <v>518136</v>
      </c>
      <c r="AI26" s="33">
        <v>109392</v>
      </c>
      <c r="AK26" s="15">
        <f t="shared" si="5"/>
        <v>0</v>
      </c>
      <c r="AL26" s="22">
        <f t="shared" si="6"/>
        <v>436379.9932355999</v>
      </c>
      <c r="AM26" s="15">
        <f t="shared" si="7"/>
        <v>436379.9932355999</v>
      </c>
      <c r="AN26" s="15">
        <f t="shared" si="59"/>
        <v>92213</v>
      </c>
      <c r="AP26" s="15"/>
      <c r="AQ26" s="16">
        <f t="shared" si="8"/>
        <v>78006.865584</v>
      </c>
      <c r="AR26" s="15">
        <f t="shared" si="9"/>
        <v>78006.865584</v>
      </c>
      <c r="AS26" s="15">
        <v>16469</v>
      </c>
      <c r="AU26" s="15"/>
      <c r="AV26" s="15">
        <f t="shared" si="10"/>
        <v>56855.363733599996</v>
      </c>
      <c r="AW26" s="15">
        <f t="shared" si="11"/>
        <v>56855.363733599996</v>
      </c>
      <c r="AX26" s="15">
        <v>12004</v>
      </c>
      <c r="AZ26" s="15"/>
      <c r="BA26" s="15">
        <f t="shared" si="12"/>
        <v>30143.997086400002</v>
      </c>
      <c r="BB26" s="15">
        <f t="shared" si="13"/>
        <v>30143.997086400002</v>
      </c>
      <c r="BC26" s="15">
        <v>6364</v>
      </c>
      <c r="BE26" s="3"/>
      <c r="BF26" s="3">
        <f t="shared" si="14"/>
        <v>21923.323488</v>
      </c>
      <c r="BG26" s="3">
        <f t="shared" si="15"/>
        <v>21923.323488</v>
      </c>
      <c r="BH26" s="3">
        <v>4713</v>
      </c>
      <c r="BI26" s="15"/>
      <c r="BJ26" s="15"/>
      <c r="BK26" s="15">
        <f t="shared" si="16"/>
        <v>2511.2361444</v>
      </c>
      <c r="BL26" s="15">
        <f t="shared" si="17"/>
        <v>2511.2361444</v>
      </c>
      <c r="BM26" s="15">
        <v>530</v>
      </c>
      <c r="BN26" s="15"/>
      <c r="BO26" s="15"/>
      <c r="BP26" s="15">
        <f t="shared" si="18"/>
        <v>39729.724016399996</v>
      </c>
      <c r="BQ26" s="15">
        <f t="shared" si="19"/>
        <v>39729.724016399996</v>
      </c>
      <c r="BR26" s="15">
        <v>8388</v>
      </c>
      <c r="BS26" s="15"/>
      <c r="BT26" s="15"/>
      <c r="BU26" s="15">
        <f t="shared" si="20"/>
        <v>4306.8716435999995</v>
      </c>
      <c r="BV26" s="15">
        <f t="shared" si="21"/>
        <v>4306.8716435999995</v>
      </c>
      <c r="BW26" s="15">
        <v>909</v>
      </c>
      <c r="BX26" s="15"/>
      <c r="BY26" s="15"/>
      <c r="BZ26" s="15">
        <f t="shared" si="22"/>
        <v>13472.7069852</v>
      </c>
      <c r="CA26" s="15">
        <f t="shared" si="23"/>
        <v>13472.7069852</v>
      </c>
      <c r="CB26" s="15">
        <v>2844</v>
      </c>
      <c r="CC26" s="15"/>
      <c r="CD26" s="15"/>
      <c r="CE26" s="15">
        <f t="shared" si="24"/>
        <v>6832.3300764000005</v>
      </c>
      <c r="CF26" s="15">
        <f t="shared" si="25"/>
        <v>6832.3300764000005</v>
      </c>
      <c r="CG26" s="15">
        <v>1442</v>
      </c>
      <c r="CH26" s="15"/>
      <c r="CI26" s="15"/>
      <c r="CJ26" s="15">
        <f t="shared" si="26"/>
        <v>1326.8726916</v>
      </c>
      <c r="CK26" s="15">
        <f t="shared" si="27"/>
        <v>1326.8726916</v>
      </c>
      <c r="CL26" s="15">
        <v>280</v>
      </c>
      <c r="CM26" s="15"/>
      <c r="CN26" s="15"/>
      <c r="CO26" s="15">
        <f t="shared" si="28"/>
        <v>5272.173674400001</v>
      </c>
      <c r="CP26" s="15">
        <f t="shared" si="29"/>
        <v>5272.173674400001</v>
      </c>
      <c r="CQ26" s="15">
        <v>1113</v>
      </c>
      <c r="CR26" s="15"/>
      <c r="CS26" s="15"/>
      <c r="CT26" s="15">
        <f t="shared" si="30"/>
        <v>12858.571390799998</v>
      </c>
      <c r="CU26" s="15">
        <f t="shared" si="31"/>
        <v>12858.571390799998</v>
      </c>
      <c r="CV26" s="15">
        <v>2715</v>
      </c>
      <c r="CW26" s="15"/>
      <c r="CX26" s="15"/>
      <c r="CY26" s="15">
        <f t="shared" si="32"/>
        <v>28780.948238399997</v>
      </c>
      <c r="CZ26" s="15">
        <f t="shared" si="33"/>
        <v>28780.948238399997</v>
      </c>
      <c r="DA26" s="15">
        <v>6076</v>
      </c>
      <c r="DB26" s="15"/>
      <c r="DC26" s="15"/>
      <c r="DD26" s="15">
        <f t="shared" si="34"/>
        <v>4354.4065404</v>
      </c>
      <c r="DE26" s="15">
        <f t="shared" si="35"/>
        <v>4354.4065404</v>
      </c>
      <c r="DF26" s="15">
        <v>919</v>
      </c>
      <c r="DG26" s="15"/>
      <c r="DH26" s="15"/>
      <c r="DI26" s="15">
        <f t="shared" si="36"/>
        <v>12511.700276399999</v>
      </c>
      <c r="DJ26" s="15">
        <f t="shared" si="37"/>
        <v>12511.700276399999</v>
      </c>
      <c r="DK26" s="15">
        <v>2642</v>
      </c>
      <c r="DL26" s="15"/>
      <c r="DM26" s="15"/>
      <c r="DN26" s="15">
        <f t="shared" si="38"/>
        <v>482.1260316</v>
      </c>
      <c r="DO26" s="15">
        <f t="shared" si="39"/>
        <v>482.1260316</v>
      </c>
      <c r="DP26" s="15">
        <v>102</v>
      </c>
      <c r="DQ26" s="15"/>
      <c r="DR26" s="15"/>
      <c r="DS26" s="15">
        <f t="shared" si="40"/>
        <v>26394.0855288</v>
      </c>
      <c r="DT26" s="15">
        <f t="shared" si="41"/>
        <v>26394.0855288</v>
      </c>
      <c r="DU26" s="15">
        <v>5572</v>
      </c>
      <c r="DV26" s="15"/>
      <c r="DW26" s="15"/>
      <c r="DX26" s="15">
        <f t="shared" si="42"/>
        <v>4155.3899544000005</v>
      </c>
      <c r="DY26" s="15">
        <f t="shared" si="43"/>
        <v>4155.3899544000005</v>
      </c>
      <c r="DZ26" s="15">
        <v>877</v>
      </c>
      <c r="EA26" s="15"/>
      <c r="EB26" s="15"/>
      <c r="EC26" s="15">
        <f t="shared" si="44"/>
        <v>21383.9264964</v>
      </c>
      <c r="ED26" s="15">
        <f t="shared" si="45"/>
        <v>21383.9264964</v>
      </c>
      <c r="EE26" s="15">
        <v>4515</v>
      </c>
      <c r="EF26" s="15"/>
      <c r="EG26" s="15"/>
      <c r="EH26" s="15">
        <f t="shared" si="46"/>
        <v>6104.8934328000005</v>
      </c>
      <c r="EI26" s="15">
        <f t="shared" si="47"/>
        <v>6104.8934328000005</v>
      </c>
      <c r="EJ26" s="15">
        <v>1289</v>
      </c>
      <c r="EK26" s="15"/>
      <c r="EL26" s="15"/>
      <c r="EM26" s="15">
        <f t="shared" si="48"/>
        <v>61.2799272</v>
      </c>
      <c r="EN26" s="15">
        <f t="shared" si="49"/>
        <v>61.2799272</v>
      </c>
      <c r="EO26" s="15">
        <v>13</v>
      </c>
      <c r="EP26" s="15"/>
      <c r="EQ26" s="15"/>
      <c r="ER26" s="15">
        <f t="shared" si="50"/>
        <v>113.7783072</v>
      </c>
      <c r="ES26" s="15">
        <f t="shared" si="51"/>
        <v>113.7783072</v>
      </c>
      <c r="ET26" s="15">
        <v>24</v>
      </c>
      <c r="EU26" s="15"/>
      <c r="EV26" s="15"/>
      <c r="EW26" s="15">
        <f t="shared" si="52"/>
        <v>20567.5289616</v>
      </c>
      <c r="EX26" s="15">
        <f t="shared" si="53"/>
        <v>20567.5289616</v>
      </c>
      <c r="EY26" s="15">
        <v>4342</v>
      </c>
      <c r="EZ26" s="15"/>
      <c r="FA26" s="15"/>
      <c r="FB26" s="15">
        <f t="shared" si="54"/>
        <v>38229.8930256</v>
      </c>
      <c r="FC26" s="15">
        <f t="shared" si="55"/>
        <v>38229.8930256</v>
      </c>
      <c r="FD26" s="15">
        <v>8071</v>
      </c>
      <c r="FE26" s="15"/>
      <c r="FF26" s="22"/>
      <c r="FG26" s="15"/>
      <c r="FH26" s="15"/>
      <c r="FI26" s="15"/>
    </row>
    <row r="27" spans="1:165" s="35" customFormat="1" ht="12.75">
      <c r="A27" s="34">
        <v>43191</v>
      </c>
      <c r="C27" s="22">
        <v>5465000</v>
      </c>
      <c r="D27" s="22">
        <v>954516</v>
      </c>
      <c r="E27" s="16">
        <f t="shared" si="0"/>
        <v>6419516</v>
      </c>
      <c r="F27" s="16">
        <f t="shared" si="56"/>
        <v>201605</v>
      </c>
      <c r="G27" s="16">
        <f t="shared" si="57"/>
        <v>0</v>
      </c>
      <c r="H27" s="33"/>
      <c r="I27" s="22"/>
      <c r="J27" s="22"/>
      <c r="K27" s="16"/>
      <c r="L27" s="16"/>
      <c r="M27" s="16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22">
        <v>5465000</v>
      </c>
      <c r="AB27" s="22">
        <v>954516</v>
      </c>
      <c r="AC27" s="16">
        <f t="shared" si="3"/>
        <v>6419516</v>
      </c>
      <c r="AD27" s="16">
        <f t="shared" si="58"/>
        <v>201605</v>
      </c>
      <c r="AE27" s="33"/>
      <c r="AF27" s="33">
        <v>2966544</v>
      </c>
      <c r="AG27" s="33">
        <v>518136</v>
      </c>
      <c r="AH27" s="33">
        <f t="shared" si="4"/>
        <v>3484680</v>
      </c>
      <c r="AI27" s="33">
        <v>109392</v>
      </c>
      <c r="AJ27" s="33"/>
      <c r="AK27" s="15">
        <f t="shared" si="5"/>
        <v>2498456.4565</v>
      </c>
      <c r="AL27" s="22">
        <f t="shared" si="6"/>
        <v>436379.9932355999</v>
      </c>
      <c r="AM27" s="15">
        <f t="shared" si="7"/>
        <v>2934836.4497355996</v>
      </c>
      <c r="AN27" s="15">
        <f t="shared" si="59"/>
        <v>92213</v>
      </c>
      <c r="AO27" s="33"/>
      <c r="AP27" s="15">
        <f t="shared" si="60"/>
        <v>446621.66</v>
      </c>
      <c r="AQ27" s="16">
        <f t="shared" si="8"/>
        <v>78006.865584</v>
      </c>
      <c r="AR27" s="15">
        <f t="shared" si="9"/>
        <v>524628.5255839999</v>
      </c>
      <c r="AS27" s="15">
        <v>16469</v>
      </c>
      <c r="AU27" s="15">
        <f t="shared" si="61"/>
        <v>325520.539</v>
      </c>
      <c r="AV27" s="15">
        <f t="shared" si="10"/>
        <v>56855.363733599996</v>
      </c>
      <c r="AW27" s="15">
        <f t="shared" si="11"/>
        <v>382375.9027336</v>
      </c>
      <c r="AX27" s="15">
        <v>12004</v>
      </c>
      <c r="AZ27" s="15">
        <f t="shared" si="62"/>
        <v>172586.88600000003</v>
      </c>
      <c r="BA27" s="15">
        <f t="shared" si="12"/>
        <v>30143.997086400002</v>
      </c>
      <c r="BB27" s="15">
        <f t="shared" si="13"/>
        <v>202730.88308640002</v>
      </c>
      <c r="BC27" s="15">
        <v>6364</v>
      </c>
      <c r="BE27" s="3">
        <f t="shared" si="63"/>
        <v>125520.12000000002</v>
      </c>
      <c r="BF27" s="3">
        <f t="shared" si="14"/>
        <v>21923.323488</v>
      </c>
      <c r="BG27" s="3">
        <f t="shared" si="15"/>
        <v>147443.44348800002</v>
      </c>
      <c r="BH27" s="3">
        <v>4713</v>
      </c>
      <c r="BI27" s="33"/>
      <c r="BJ27" s="15">
        <f t="shared" si="64"/>
        <v>14377.868499999999</v>
      </c>
      <c r="BK27" s="15">
        <f t="shared" si="16"/>
        <v>2511.2361444</v>
      </c>
      <c r="BL27" s="15">
        <f t="shared" si="17"/>
        <v>16889.1046444</v>
      </c>
      <c r="BM27" s="15">
        <v>530</v>
      </c>
      <c r="BN27" s="33"/>
      <c r="BO27" s="15">
        <f t="shared" si="65"/>
        <v>227469.14849999998</v>
      </c>
      <c r="BP27" s="15">
        <f t="shared" si="18"/>
        <v>39729.724016399996</v>
      </c>
      <c r="BQ27" s="15">
        <f t="shared" si="19"/>
        <v>267198.87251639995</v>
      </c>
      <c r="BR27" s="15">
        <v>8388</v>
      </c>
      <c r="BS27" s="33"/>
      <c r="BT27" s="15">
        <f t="shared" si="66"/>
        <v>24658.6265</v>
      </c>
      <c r="BU27" s="15">
        <f t="shared" si="20"/>
        <v>4306.8716435999995</v>
      </c>
      <c r="BV27" s="15">
        <f t="shared" si="21"/>
        <v>28965.498143599998</v>
      </c>
      <c r="BW27" s="15">
        <v>909</v>
      </c>
      <c r="BX27" s="33"/>
      <c r="BY27" s="15">
        <f t="shared" si="67"/>
        <v>77136.8355</v>
      </c>
      <c r="BZ27" s="15">
        <f t="shared" si="22"/>
        <v>13472.7069852</v>
      </c>
      <c r="CA27" s="15">
        <f t="shared" si="23"/>
        <v>90609.5424852</v>
      </c>
      <c r="CB27" s="15">
        <v>2844</v>
      </c>
      <c r="CC27" s="33"/>
      <c r="CD27" s="15">
        <f t="shared" si="68"/>
        <v>39117.923500000004</v>
      </c>
      <c r="CE27" s="15">
        <f t="shared" si="24"/>
        <v>6832.3300764000005</v>
      </c>
      <c r="CF27" s="15">
        <f t="shared" si="25"/>
        <v>45950.253576400006</v>
      </c>
      <c r="CG27" s="15">
        <v>1442</v>
      </c>
      <c r="CH27" s="33"/>
      <c r="CI27" s="15">
        <f t="shared" si="69"/>
        <v>7596.8965</v>
      </c>
      <c r="CJ27" s="15">
        <f t="shared" si="26"/>
        <v>1326.8726916</v>
      </c>
      <c r="CK27" s="15">
        <f t="shared" si="27"/>
        <v>8923.7691916</v>
      </c>
      <c r="CL27" s="15">
        <v>280</v>
      </c>
      <c r="CM27" s="33"/>
      <c r="CN27" s="15">
        <f t="shared" si="70"/>
        <v>30185.381</v>
      </c>
      <c r="CO27" s="15">
        <f t="shared" si="28"/>
        <v>5272.173674400001</v>
      </c>
      <c r="CP27" s="15">
        <f t="shared" si="29"/>
        <v>35457.5546744</v>
      </c>
      <c r="CQ27" s="15">
        <v>1113</v>
      </c>
      <c r="CR27" s="33"/>
      <c r="CS27" s="15">
        <f t="shared" si="71"/>
        <v>73620.65449999999</v>
      </c>
      <c r="CT27" s="15">
        <f t="shared" si="30"/>
        <v>12858.571390799998</v>
      </c>
      <c r="CU27" s="15">
        <f t="shared" si="31"/>
        <v>86479.2258908</v>
      </c>
      <c r="CV27" s="15">
        <v>2715</v>
      </c>
      <c r="CW27" s="33"/>
      <c r="CX27" s="15">
        <f t="shared" si="72"/>
        <v>164782.866</v>
      </c>
      <c r="CY27" s="15">
        <f t="shared" si="32"/>
        <v>28780.948238399997</v>
      </c>
      <c r="CZ27" s="15">
        <f t="shared" si="33"/>
        <v>193563.8142384</v>
      </c>
      <c r="DA27" s="15">
        <v>6076</v>
      </c>
      <c r="DB27" s="33"/>
      <c r="DC27" s="15">
        <f t="shared" si="73"/>
        <v>24930.7835</v>
      </c>
      <c r="DD27" s="15">
        <f t="shared" si="34"/>
        <v>4354.4065404</v>
      </c>
      <c r="DE27" s="15">
        <f t="shared" si="35"/>
        <v>29285.1900404</v>
      </c>
      <c r="DF27" s="15">
        <v>919</v>
      </c>
      <c r="DG27" s="33"/>
      <c r="DH27" s="15">
        <f t="shared" si="74"/>
        <v>71634.67349999999</v>
      </c>
      <c r="DI27" s="15">
        <f t="shared" si="36"/>
        <v>12511.700276399999</v>
      </c>
      <c r="DJ27" s="15">
        <f t="shared" si="37"/>
        <v>84146.3737764</v>
      </c>
      <c r="DK27" s="15">
        <v>2642</v>
      </c>
      <c r="DL27" s="33"/>
      <c r="DM27" s="15">
        <f t="shared" si="75"/>
        <v>2760.3715</v>
      </c>
      <c r="DN27" s="15">
        <f t="shared" si="38"/>
        <v>482.1260316</v>
      </c>
      <c r="DO27" s="15">
        <f t="shared" si="39"/>
        <v>3242.4975316</v>
      </c>
      <c r="DP27" s="15">
        <v>102</v>
      </c>
      <c r="DQ27" s="33"/>
      <c r="DR27" s="15">
        <f t="shared" si="76"/>
        <v>151117.087</v>
      </c>
      <c r="DS27" s="15">
        <f t="shared" si="40"/>
        <v>26394.0855288</v>
      </c>
      <c r="DT27" s="15">
        <f t="shared" si="41"/>
        <v>177511.1725288</v>
      </c>
      <c r="DU27" s="15">
        <v>5572</v>
      </c>
      <c r="DV27" s="33"/>
      <c r="DW27" s="15">
        <f t="shared" si="77"/>
        <v>23791.331000000002</v>
      </c>
      <c r="DX27" s="15">
        <f t="shared" si="42"/>
        <v>4155.3899544000005</v>
      </c>
      <c r="DY27" s="15">
        <f t="shared" si="43"/>
        <v>27946.720954400003</v>
      </c>
      <c r="DZ27" s="15">
        <v>877</v>
      </c>
      <c r="EA27" s="33"/>
      <c r="EB27" s="15">
        <f t="shared" si="78"/>
        <v>122431.8485</v>
      </c>
      <c r="EC27" s="15">
        <f t="shared" si="44"/>
        <v>21383.9264964</v>
      </c>
      <c r="ED27" s="15">
        <f t="shared" si="45"/>
        <v>143815.7749964</v>
      </c>
      <c r="EE27" s="15">
        <v>4515</v>
      </c>
      <c r="EF27" s="33"/>
      <c r="EG27" s="15">
        <f t="shared" si="79"/>
        <v>34953.047</v>
      </c>
      <c r="EH27" s="15">
        <f t="shared" si="46"/>
        <v>6104.8934328000005</v>
      </c>
      <c r="EI27" s="15">
        <f t="shared" si="47"/>
        <v>41057.9404328</v>
      </c>
      <c r="EJ27" s="15">
        <v>1289</v>
      </c>
      <c r="EK27" s="33"/>
      <c r="EL27" s="15">
        <f t="shared" si="80"/>
        <v>350.853</v>
      </c>
      <c r="EM27" s="15">
        <f t="shared" si="48"/>
        <v>61.2799272</v>
      </c>
      <c r="EN27" s="15">
        <f t="shared" si="49"/>
        <v>412.13292720000004</v>
      </c>
      <c r="EO27" s="15">
        <v>13</v>
      </c>
      <c r="EP27" s="33"/>
      <c r="EQ27" s="15">
        <f t="shared" si="81"/>
        <v>651.428</v>
      </c>
      <c r="ER27" s="15">
        <f t="shared" si="50"/>
        <v>113.7783072</v>
      </c>
      <c r="ES27" s="15">
        <f t="shared" si="51"/>
        <v>765.2063072</v>
      </c>
      <c r="ET27" s="15">
        <v>24</v>
      </c>
      <c r="EU27" s="33"/>
      <c r="EV27" s="15">
        <f t="shared" si="82"/>
        <v>117757.634</v>
      </c>
      <c r="EW27" s="15">
        <f t="shared" si="52"/>
        <v>20567.5289616</v>
      </c>
      <c r="EX27" s="15">
        <f t="shared" si="53"/>
        <v>138325.1629616</v>
      </c>
      <c r="EY27" s="15">
        <v>4342</v>
      </c>
      <c r="EZ27" s="33"/>
      <c r="FA27" s="15">
        <f t="shared" si="83"/>
        <v>218881.99399999998</v>
      </c>
      <c r="FB27" s="15">
        <f t="shared" si="54"/>
        <v>38229.8930256</v>
      </c>
      <c r="FC27" s="15">
        <f t="shared" si="55"/>
        <v>257111.88702559998</v>
      </c>
      <c r="FD27" s="15">
        <v>8071</v>
      </c>
      <c r="FE27" s="33"/>
      <c r="FF27" s="22"/>
      <c r="FG27" s="15"/>
      <c r="FH27" s="15"/>
      <c r="FI27" s="15"/>
    </row>
    <row r="28" spans="1:165" s="35" customFormat="1" ht="12.75">
      <c r="A28" s="34">
        <v>43374</v>
      </c>
      <c r="C28" s="22"/>
      <c r="D28" s="22">
        <v>845216</v>
      </c>
      <c r="E28" s="16">
        <f t="shared" si="0"/>
        <v>845216</v>
      </c>
      <c r="F28" s="16">
        <f t="shared" si="56"/>
        <v>201605</v>
      </c>
      <c r="G28" s="16">
        <f t="shared" si="57"/>
        <v>0</v>
      </c>
      <c r="H28" s="33"/>
      <c r="I28" s="22"/>
      <c r="J28" s="22"/>
      <c r="K28" s="16"/>
      <c r="L28" s="16"/>
      <c r="M28" s="16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22"/>
      <c r="AB28" s="22">
        <v>845216</v>
      </c>
      <c r="AC28" s="16">
        <f t="shared" si="3"/>
        <v>845216</v>
      </c>
      <c r="AD28" s="16">
        <f t="shared" si="58"/>
        <v>201605</v>
      </c>
      <c r="AE28" s="33"/>
      <c r="AF28" s="33"/>
      <c r="AG28" s="33">
        <v>458805</v>
      </c>
      <c r="AH28" s="33">
        <f t="shared" si="4"/>
        <v>458805</v>
      </c>
      <c r="AI28" s="33">
        <v>109392</v>
      </c>
      <c r="AJ28" s="33"/>
      <c r="AK28" s="15">
        <f t="shared" si="5"/>
        <v>0</v>
      </c>
      <c r="AL28" s="22">
        <f t="shared" si="6"/>
        <v>386410.86410559993</v>
      </c>
      <c r="AM28" s="15">
        <f t="shared" si="7"/>
        <v>386410.86410559993</v>
      </c>
      <c r="AN28" s="15">
        <f t="shared" si="59"/>
        <v>92213</v>
      </c>
      <c r="AO28" s="33"/>
      <c r="AP28" s="15"/>
      <c r="AQ28" s="16">
        <f t="shared" si="8"/>
        <v>69074.432384</v>
      </c>
      <c r="AR28" s="15">
        <f t="shared" si="9"/>
        <v>69074.432384</v>
      </c>
      <c r="AS28" s="15">
        <v>16469</v>
      </c>
      <c r="AU28" s="15"/>
      <c r="AV28" s="15">
        <f t="shared" si="10"/>
        <v>50344.9529536</v>
      </c>
      <c r="AW28" s="15">
        <f t="shared" si="11"/>
        <v>50344.9529536</v>
      </c>
      <c r="AX28" s="15">
        <v>12004</v>
      </c>
      <c r="AZ28" s="15"/>
      <c r="BA28" s="15">
        <f t="shared" si="12"/>
        <v>26692.2593664</v>
      </c>
      <c r="BB28" s="15">
        <f t="shared" si="13"/>
        <v>26692.2593664</v>
      </c>
      <c r="BC28" s="15">
        <v>6364</v>
      </c>
      <c r="BE28" s="3"/>
      <c r="BF28" s="3">
        <f t="shared" si="14"/>
        <v>19412.921088</v>
      </c>
      <c r="BG28" s="3">
        <f t="shared" si="15"/>
        <v>19412.921088</v>
      </c>
      <c r="BH28" s="3">
        <v>4713</v>
      </c>
      <c r="BI28" s="33"/>
      <c r="BJ28" s="15"/>
      <c r="BK28" s="15">
        <f t="shared" si="16"/>
        <v>2223.6787744</v>
      </c>
      <c r="BL28" s="15">
        <f t="shared" si="17"/>
        <v>2223.6787744</v>
      </c>
      <c r="BM28" s="15">
        <v>530</v>
      </c>
      <c r="BN28" s="33"/>
      <c r="BO28" s="15"/>
      <c r="BP28" s="15">
        <f t="shared" si="18"/>
        <v>35180.3410464</v>
      </c>
      <c r="BQ28" s="15">
        <f t="shared" si="19"/>
        <v>35180.3410464</v>
      </c>
      <c r="BR28" s="15">
        <v>8388</v>
      </c>
      <c r="BS28" s="33"/>
      <c r="BT28" s="15"/>
      <c r="BU28" s="15">
        <f t="shared" si="20"/>
        <v>3813.6991136</v>
      </c>
      <c r="BV28" s="15">
        <f t="shared" si="21"/>
        <v>3813.6991136</v>
      </c>
      <c r="BW28" s="15">
        <v>909</v>
      </c>
      <c r="BX28" s="33"/>
      <c r="BY28" s="15"/>
      <c r="BZ28" s="15">
        <f t="shared" si="22"/>
        <v>11929.9702752</v>
      </c>
      <c r="CA28" s="15">
        <f t="shared" si="23"/>
        <v>11929.9702752</v>
      </c>
      <c r="CB28" s="15">
        <v>2844</v>
      </c>
      <c r="CC28" s="33"/>
      <c r="CD28" s="15"/>
      <c r="CE28" s="15">
        <f t="shared" si="24"/>
        <v>6049.9716064</v>
      </c>
      <c r="CF28" s="15">
        <f t="shared" si="25"/>
        <v>6049.9716064</v>
      </c>
      <c r="CG28" s="15">
        <v>1442</v>
      </c>
      <c r="CH28" s="33"/>
      <c r="CI28" s="15"/>
      <c r="CJ28" s="15">
        <f t="shared" si="26"/>
        <v>1174.9347616</v>
      </c>
      <c r="CK28" s="15">
        <f t="shared" si="27"/>
        <v>1174.9347616</v>
      </c>
      <c r="CL28" s="15">
        <v>280</v>
      </c>
      <c r="CM28" s="33"/>
      <c r="CN28" s="15"/>
      <c r="CO28" s="15">
        <f t="shared" si="28"/>
        <v>4668.466054400001</v>
      </c>
      <c r="CP28" s="15">
        <f t="shared" si="29"/>
        <v>4668.466054400001</v>
      </c>
      <c r="CQ28" s="15">
        <v>1113</v>
      </c>
      <c r="CR28" s="33"/>
      <c r="CS28" s="15"/>
      <c r="CT28" s="15">
        <f t="shared" si="30"/>
        <v>11386.1583008</v>
      </c>
      <c r="CU28" s="15">
        <f t="shared" si="31"/>
        <v>11386.1583008</v>
      </c>
      <c r="CV28" s="15">
        <v>2715</v>
      </c>
      <c r="CW28" s="33"/>
      <c r="CX28" s="15"/>
      <c r="CY28" s="15">
        <f t="shared" si="32"/>
        <v>25485.2909184</v>
      </c>
      <c r="CZ28" s="15">
        <f t="shared" si="33"/>
        <v>25485.2909184</v>
      </c>
      <c r="DA28" s="15">
        <v>6076</v>
      </c>
      <c r="DB28" s="33"/>
      <c r="DC28" s="15"/>
      <c r="DD28" s="15">
        <f t="shared" si="34"/>
        <v>3855.7908704</v>
      </c>
      <c r="DE28" s="15">
        <f t="shared" si="35"/>
        <v>3855.7908704</v>
      </c>
      <c r="DF28" s="15">
        <v>919</v>
      </c>
      <c r="DG28" s="33"/>
      <c r="DH28" s="15"/>
      <c r="DI28" s="15">
        <f t="shared" si="36"/>
        <v>11079.006806399999</v>
      </c>
      <c r="DJ28" s="15">
        <f t="shared" si="37"/>
        <v>11079.006806399999</v>
      </c>
      <c r="DK28" s="15">
        <v>2642</v>
      </c>
      <c r="DL28" s="33"/>
      <c r="DM28" s="15"/>
      <c r="DN28" s="15">
        <f t="shared" si="38"/>
        <v>426.9186016</v>
      </c>
      <c r="DO28" s="15">
        <f t="shared" si="39"/>
        <v>426.9186016</v>
      </c>
      <c r="DP28" s="15">
        <v>102</v>
      </c>
      <c r="DQ28" s="33"/>
      <c r="DR28" s="15"/>
      <c r="DS28" s="15">
        <f t="shared" si="40"/>
        <v>23371.743788800002</v>
      </c>
      <c r="DT28" s="15">
        <f t="shared" si="41"/>
        <v>23371.743788800002</v>
      </c>
      <c r="DU28" s="15">
        <v>5572</v>
      </c>
      <c r="DV28" s="33"/>
      <c r="DW28" s="15"/>
      <c r="DX28" s="15">
        <f t="shared" si="42"/>
        <v>3679.5633344000003</v>
      </c>
      <c r="DY28" s="15">
        <f t="shared" si="43"/>
        <v>3679.5633344000003</v>
      </c>
      <c r="DZ28" s="15">
        <v>877</v>
      </c>
      <c r="EA28" s="33"/>
      <c r="EB28" s="15"/>
      <c r="EC28" s="15">
        <f t="shared" si="44"/>
        <v>18935.289526399996</v>
      </c>
      <c r="ED28" s="15">
        <f t="shared" si="45"/>
        <v>18935.289526399996</v>
      </c>
      <c r="EE28" s="15">
        <v>4515</v>
      </c>
      <c r="EF28" s="33"/>
      <c r="EG28" s="15"/>
      <c r="EH28" s="15">
        <f t="shared" si="46"/>
        <v>5405.8324928</v>
      </c>
      <c r="EI28" s="15">
        <f t="shared" si="47"/>
        <v>5405.8324928</v>
      </c>
      <c r="EJ28" s="15">
        <v>1289</v>
      </c>
      <c r="EK28" s="33"/>
      <c r="EL28" s="15"/>
      <c r="EM28" s="15">
        <f t="shared" si="48"/>
        <v>54.2628672</v>
      </c>
      <c r="EN28" s="15">
        <f t="shared" si="49"/>
        <v>54.2628672</v>
      </c>
      <c r="EO28" s="15">
        <v>13</v>
      </c>
      <c r="EP28" s="33"/>
      <c r="EQ28" s="15"/>
      <c r="ER28" s="15">
        <f t="shared" si="50"/>
        <v>100.7497472</v>
      </c>
      <c r="ES28" s="15">
        <f t="shared" si="51"/>
        <v>100.7497472</v>
      </c>
      <c r="ET28" s="15">
        <v>24</v>
      </c>
      <c r="EU28" s="33"/>
      <c r="EV28" s="15"/>
      <c r="EW28" s="15">
        <f t="shared" si="52"/>
        <v>18212.3762816</v>
      </c>
      <c r="EX28" s="15">
        <f t="shared" si="53"/>
        <v>18212.3762816</v>
      </c>
      <c r="EY28" s="15">
        <v>4342</v>
      </c>
      <c r="EZ28" s="33"/>
      <c r="FA28" s="15"/>
      <c r="FB28" s="15">
        <f t="shared" si="54"/>
        <v>33852.2531456</v>
      </c>
      <c r="FC28" s="15">
        <f t="shared" si="55"/>
        <v>33852.2531456</v>
      </c>
      <c r="FD28" s="15">
        <v>8071</v>
      </c>
      <c r="FE28" s="33"/>
      <c r="FF28" s="22"/>
      <c r="FG28" s="15"/>
      <c r="FH28" s="15"/>
      <c r="FI28" s="15"/>
    </row>
    <row r="29" spans="1:165" s="35" customFormat="1" ht="12.75">
      <c r="A29" s="34">
        <v>43556</v>
      </c>
      <c r="C29" s="22">
        <v>5680000</v>
      </c>
      <c r="D29" s="22">
        <v>845216</v>
      </c>
      <c r="E29" s="16">
        <f t="shared" si="0"/>
        <v>6525216</v>
      </c>
      <c r="F29" s="16">
        <f t="shared" si="56"/>
        <v>201605</v>
      </c>
      <c r="G29" s="16">
        <f t="shared" si="57"/>
        <v>0</v>
      </c>
      <c r="H29" s="33"/>
      <c r="I29" s="22"/>
      <c r="J29" s="22"/>
      <c r="K29" s="16"/>
      <c r="L29" s="16"/>
      <c r="M29" s="16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22">
        <v>5680000</v>
      </c>
      <c r="AB29" s="22">
        <v>845216</v>
      </c>
      <c r="AC29" s="16">
        <f t="shared" si="3"/>
        <v>6525216</v>
      </c>
      <c r="AD29" s="16">
        <f t="shared" si="58"/>
        <v>201605</v>
      </c>
      <c r="AE29" s="33"/>
      <c r="AF29" s="33">
        <v>3083251</v>
      </c>
      <c r="AG29" s="33">
        <v>458805</v>
      </c>
      <c r="AH29" s="33">
        <f t="shared" si="4"/>
        <v>3542056</v>
      </c>
      <c r="AI29" s="33">
        <v>109392</v>
      </c>
      <c r="AJ29" s="33"/>
      <c r="AK29" s="15">
        <f t="shared" si="5"/>
        <v>2596748.887999999</v>
      </c>
      <c r="AL29" s="22">
        <f t="shared" si="6"/>
        <v>386410.86410559993</v>
      </c>
      <c r="AM29" s="15">
        <f t="shared" si="7"/>
        <v>2983159.752105599</v>
      </c>
      <c r="AN29" s="15">
        <f t="shared" si="59"/>
        <v>92213</v>
      </c>
      <c r="AO29" s="33"/>
      <c r="AP29" s="15">
        <f t="shared" si="60"/>
        <v>464192.32</v>
      </c>
      <c r="AQ29" s="16">
        <f t="shared" si="8"/>
        <v>69074.432384</v>
      </c>
      <c r="AR29" s="15">
        <f t="shared" si="9"/>
        <v>533266.752384</v>
      </c>
      <c r="AS29" s="15">
        <v>16469</v>
      </c>
      <c r="AU29" s="15">
        <f t="shared" si="61"/>
        <v>338326.92799999996</v>
      </c>
      <c r="AV29" s="15">
        <f t="shared" si="10"/>
        <v>50344.9529536</v>
      </c>
      <c r="AW29" s="15">
        <f t="shared" si="11"/>
        <v>388671.88095359993</v>
      </c>
      <c r="AX29" s="15">
        <v>12004</v>
      </c>
      <c r="AZ29" s="15">
        <f t="shared" si="62"/>
        <v>179376.672</v>
      </c>
      <c r="BA29" s="15">
        <f t="shared" si="12"/>
        <v>26692.2593664</v>
      </c>
      <c r="BB29" s="15">
        <f t="shared" si="13"/>
        <v>206068.93136639998</v>
      </c>
      <c r="BC29" s="15">
        <v>6364</v>
      </c>
      <c r="BE29" s="3">
        <f t="shared" si="63"/>
        <v>130458.24000000002</v>
      </c>
      <c r="BF29" s="3">
        <f t="shared" si="14"/>
        <v>19412.921088</v>
      </c>
      <c r="BG29" s="3">
        <f t="shared" si="15"/>
        <v>149871.16108800002</v>
      </c>
      <c r="BH29" s="3">
        <v>4713</v>
      </c>
      <c r="BI29" s="33"/>
      <c r="BJ29" s="15">
        <f t="shared" si="64"/>
        <v>14943.511999999999</v>
      </c>
      <c r="BK29" s="15">
        <f t="shared" si="16"/>
        <v>2223.6787744</v>
      </c>
      <c r="BL29" s="15">
        <f t="shared" si="17"/>
        <v>17167.1907744</v>
      </c>
      <c r="BM29" s="15">
        <v>530</v>
      </c>
      <c r="BN29" s="33"/>
      <c r="BO29" s="15">
        <f t="shared" si="65"/>
        <v>236418.072</v>
      </c>
      <c r="BP29" s="15">
        <f t="shared" si="18"/>
        <v>35180.3410464</v>
      </c>
      <c r="BQ29" s="15">
        <f t="shared" si="19"/>
        <v>271598.4130464</v>
      </c>
      <c r="BR29" s="15">
        <v>8388</v>
      </c>
      <c r="BS29" s="33"/>
      <c r="BT29" s="15">
        <f t="shared" si="66"/>
        <v>25628.728</v>
      </c>
      <c r="BU29" s="15">
        <f t="shared" si="20"/>
        <v>3813.6991136</v>
      </c>
      <c r="BV29" s="15">
        <f t="shared" si="21"/>
        <v>29442.4271136</v>
      </c>
      <c r="BW29" s="15">
        <v>909</v>
      </c>
      <c r="BX29" s="33"/>
      <c r="BY29" s="15">
        <f t="shared" si="67"/>
        <v>80171.496</v>
      </c>
      <c r="BZ29" s="15">
        <f t="shared" si="22"/>
        <v>11929.9702752</v>
      </c>
      <c r="CA29" s="15">
        <f t="shared" si="23"/>
        <v>92101.4662752</v>
      </c>
      <c r="CB29" s="15">
        <v>2844</v>
      </c>
      <c r="CC29" s="33"/>
      <c r="CD29" s="15">
        <f t="shared" si="68"/>
        <v>40656.872</v>
      </c>
      <c r="CE29" s="15">
        <f t="shared" si="24"/>
        <v>6049.9716064</v>
      </c>
      <c r="CF29" s="15">
        <f t="shared" si="25"/>
        <v>46706.843606400005</v>
      </c>
      <c r="CG29" s="15">
        <v>1442</v>
      </c>
      <c r="CH29" s="33"/>
      <c r="CI29" s="15">
        <f t="shared" si="69"/>
        <v>7895.767999999999</v>
      </c>
      <c r="CJ29" s="15">
        <f t="shared" si="26"/>
        <v>1174.9347616</v>
      </c>
      <c r="CK29" s="15">
        <f t="shared" si="27"/>
        <v>9070.7027616</v>
      </c>
      <c r="CL29" s="15">
        <v>280</v>
      </c>
      <c r="CM29" s="33"/>
      <c r="CN29" s="15">
        <f t="shared" si="70"/>
        <v>31372.912</v>
      </c>
      <c r="CO29" s="15">
        <f t="shared" si="28"/>
        <v>4668.466054400001</v>
      </c>
      <c r="CP29" s="15">
        <f t="shared" si="29"/>
        <v>36041.378054400004</v>
      </c>
      <c r="CQ29" s="15">
        <v>1113</v>
      </c>
      <c r="CR29" s="33"/>
      <c r="CS29" s="15">
        <f t="shared" si="71"/>
        <v>76516.984</v>
      </c>
      <c r="CT29" s="15">
        <f t="shared" si="30"/>
        <v>11386.1583008</v>
      </c>
      <c r="CU29" s="15">
        <f t="shared" si="31"/>
        <v>87903.1423008</v>
      </c>
      <c r="CV29" s="15">
        <v>2715</v>
      </c>
      <c r="CW29" s="33"/>
      <c r="CX29" s="15">
        <f t="shared" si="72"/>
        <v>171265.63199999998</v>
      </c>
      <c r="CY29" s="15">
        <f t="shared" si="32"/>
        <v>25485.2909184</v>
      </c>
      <c r="CZ29" s="15">
        <f t="shared" si="33"/>
        <v>196750.92291839997</v>
      </c>
      <c r="DA29" s="15">
        <v>6076</v>
      </c>
      <c r="DB29" s="33"/>
      <c r="DC29" s="15">
        <f t="shared" si="73"/>
        <v>25911.591999999997</v>
      </c>
      <c r="DD29" s="15">
        <f t="shared" si="34"/>
        <v>3855.7908704</v>
      </c>
      <c r="DE29" s="15">
        <f t="shared" si="35"/>
        <v>29767.382870399997</v>
      </c>
      <c r="DF29" s="15">
        <v>919</v>
      </c>
      <c r="DG29" s="33"/>
      <c r="DH29" s="15">
        <f t="shared" si="74"/>
        <v>74452.87199999999</v>
      </c>
      <c r="DI29" s="15">
        <f t="shared" si="36"/>
        <v>11079.006806399999</v>
      </c>
      <c r="DJ29" s="15">
        <f t="shared" si="37"/>
        <v>85531.87880639998</v>
      </c>
      <c r="DK29" s="15">
        <v>2642</v>
      </c>
      <c r="DL29" s="33"/>
      <c r="DM29" s="15">
        <f t="shared" si="75"/>
        <v>2868.968</v>
      </c>
      <c r="DN29" s="15">
        <f t="shared" si="38"/>
        <v>426.9186016</v>
      </c>
      <c r="DO29" s="15">
        <f t="shared" si="39"/>
        <v>3295.8866015999997</v>
      </c>
      <c r="DP29" s="15">
        <v>102</v>
      </c>
      <c r="DQ29" s="33"/>
      <c r="DR29" s="15">
        <f t="shared" si="76"/>
        <v>157062.22400000002</v>
      </c>
      <c r="DS29" s="15">
        <f t="shared" si="40"/>
        <v>23371.743788800002</v>
      </c>
      <c r="DT29" s="15">
        <f t="shared" si="41"/>
        <v>180433.96778880002</v>
      </c>
      <c r="DU29" s="15">
        <v>5572</v>
      </c>
      <c r="DV29" s="33"/>
      <c r="DW29" s="15">
        <f t="shared" si="77"/>
        <v>24727.312</v>
      </c>
      <c r="DX29" s="15">
        <f t="shared" si="42"/>
        <v>3679.5633344000003</v>
      </c>
      <c r="DY29" s="15">
        <f t="shared" si="43"/>
        <v>28406.875334400003</v>
      </c>
      <c r="DZ29" s="15">
        <v>877</v>
      </c>
      <c r="EA29" s="33"/>
      <c r="EB29" s="15">
        <f t="shared" si="78"/>
        <v>127248.472</v>
      </c>
      <c r="EC29" s="15">
        <f t="shared" si="44"/>
        <v>18935.289526399996</v>
      </c>
      <c r="ED29" s="15">
        <f t="shared" si="45"/>
        <v>146183.7615264</v>
      </c>
      <c r="EE29" s="15">
        <v>4515</v>
      </c>
      <c r="EF29" s="33"/>
      <c r="EG29" s="15">
        <f t="shared" si="79"/>
        <v>36328.144</v>
      </c>
      <c r="EH29" s="15">
        <f t="shared" si="46"/>
        <v>5405.8324928</v>
      </c>
      <c r="EI29" s="15">
        <f t="shared" si="47"/>
        <v>41733.9764928</v>
      </c>
      <c r="EJ29" s="15">
        <v>1289</v>
      </c>
      <c r="EK29" s="33"/>
      <c r="EL29" s="15">
        <f t="shared" si="80"/>
        <v>364.656</v>
      </c>
      <c r="EM29" s="15">
        <f t="shared" si="48"/>
        <v>54.2628672</v>
      </c>
      <c r="EN29" s="15">
        <f t="shared" si="49"/>
        <v>418.9188672</v>
      </c>
      <c r="EO29" s="15">
        <v>13</v>
      </c>
      <c r="EP29" s="33"/>
      <c r="EQ29" s="15">
        <f t="shared" si="81"/>
        <v>677.056</v>
      </c>
      <c r="ER29" s="15">
        <f t="shared" si="50"/>
        <v>100.7497472</v>
      </c>
      <c r="ES29" s="15">
        <f t="shared" si="51"/>
        <v>777.8057472</v>
      </c>
      <c r="ET29" s="15">
        <v>24</v>
      </c>
      <c r="EU29" s="33"/>
      <c r="EV29" s="15">
        <f t="shared" si="82"/>
        <v>122390.368</v>
      </c>
      <c r="EW29" s="15">
        <f t="shared" si="52"/>
        <v>18212.3762816</v>
      </c>
      <c r="EX29" s="15">
        <f t="shared" si="53"/>
        <v>140602.7442816</v>
      </c>
      <c r="EY29" s="15">
        <v>4342</v>
      </c>
      <c r="EZ29" s="33"/>
      <c r="FA29" s="15">
        <f t="shared" si="83"/>
        <v>227493.08800000002</v>
      </c>
      <c r="FB29" s="15">
        <f t="shared" si="54"/>
        <v>33852.2531456</v>
      </c>
      <c r="FC29" s="15">
        <f t="shared" si="55"/>
        <v>261345.34114560002</v>
      </c>
      <c r="FD29" s="15">
        <v>8071</v>
      </c>
      <c r="FE29" s="33"/>
      <c r="FF29" s="22"/>
      <c r="FG29" s="15"/>
      <c r="FH29" s="15"/>
      <c r="FI29" s="15"/>
    </row>
    <row r="30" spans="1:165" s="35" customFormat="1" ht="12.75">
      <c r="A30" s="34">
        <v>43739</v>
      </c>
      <c r="C30" s="22"/>
      <c r="D30" s="22">
        <v>703216</v>
      </c>
      <c r="E30" s="16">
        <f t="shared" si="0"/>
        <v>703216</v>
      </c>
      <c r="F30" s="16">
        <f t="shared" si="56"/>
        <v>201605</v>
      </c>
      <c r="G30" s="16">
        <f t="shared" si="57"/>
        <v>0</v>
      </c>
      <c r="H30" s="33"/>
      <c r="I30" s="22"/>
      <c r="J30" s="22"/>
      <c r="K30" s="16"/>
      <c r="L30" s="16"/>
      <c r="M30" s="16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22"/>
      <c r="AB30" s="22">
        <v>703216</v>
      </c>
      <c r="AC30" s="16">
        <f t="shared" si="3"/>
        <v>703216</v>
      </c>
      <c r="AD30" s="16">
        <f t="shared" si="58"/>
        <v>201605</v>
      </c>
      <c r="AE30" s="33"/>
      <c r="AF30" s="33"/>
      <c r="AG30" s="33">
        <v>381724</v>
      </c>
      <c r="AH30" s="33">
        <f t="shared" si="4"/>
        <v>381724</v>
      </c>
      <c r="AI30" s="33">
        <v>109392</v>
      </c>
      <c r="AJ30" s="33"/>
      <c r="AK30" s="15">
        <f t="shared" si="5"/>
        <v>0</v>
      </c>
      <c r="AL30" s="22">
        <f t="shared" si="6"/>
        <v>321492.1419056</v>
      </c>
      <c r="AM30" s="15">
        <f t="shared" si="7"/>
        <v>321492.1419056</v>
      </c>
      <c r="AN30" s="15">
        <f t="shared" si="59"/>
        <v>92213</v>
      </c>
      <c r="AO30" s="33"/>
      <c r="AP30" s="15"/>
      <c r="AQ30" s="16">
        <f t="shared" si="8"/>
        <v>57469.624383999995</v>
      </c>
      <c r="AR30" s="15">
        <f t="shared" si="9"/>
        <v>57469.624383999995</v>
      </c>
      <c r="AS30" s="15">
        <v>16469</v>
      </c>
      <c r="AU30" s="15"/>
      <c r="AV30" s="15">
        <f t="shared" si="10"/>
        <v>41886.7797536</v>
      </c>
      <c r="AW30" s="15">
        <f t="shared" si="11"/>
        <v>41886.7797536</v>
      </c>
      <c r="AX30" s="15">
        <v>12004</v>
      </c>
      <c r="AZ30" s="15"/>
      <c r="BA30" s="15">
        <f t="shared" si="12"/>
        <v>22207.842566400002</v>
      </c>
      <c r="BB30" s="15">
        <f t="shared" si="13"/>
        <v>22207.842566400002</v>
      </c>
      <c r="BC30" s="15">
        <v>6364</v>
      </c>
      <c r="BE30" s="3"/>
      <c r="BF30" s="3">
        <f t="shared" si="14"/>
        <v>16151.465088000003</v>
      </c>
      <c r="BG30" s="3">
        <f t="shared" si="15"/>
        <v>16151.465088000003</v>
      </c>
      <c r="BH30" s="3">
        <v>4713</v>
      </c>
      <c r="BI30" s="33"/>
      <c r="BJ30" s="15"/>
      <c r="BK30" s="15">
        <f t="shared" si="16"/>
        <v>1850.0909743999998</v>
      </c>
      <c r="BL30" s="15">
        <f t="shared" si="17"/>
        <v>1850.0909743999998</v>
      </c>
      <c r="BM30" s="15">
        <v>530</v>
      </c>
      <c r="BN30" s="33"/>
      <c r="BO30" s="15"/>
      <c r="BP30" s="15">
        <f t="shared" si="18"/>
        <v>29269.8892464</v>
      </c>
      <c r="BQ30" s="15">
        <f t="shared" si="19"/>
        <v>29269.8892464</v>
      </c>
      <c r="BR30" s="15">
        <v>8388</v>
      </c>
      <c r="BS30" s="33"/>
      <c r="BT30" s="15"/>
      <c r="BU30" s="15">
        <f t="shared" si="20"/>
        <v>3172.9809136000003</v>
      </c>
      <c r="BV30" s="15">
        <f t="shared" si="21"/>
        <v>3172.9809136000003</v>
      </c>
      <c r="BW30" s="15">
        <v>909</v>
      </c>
      <c r="BX30" s="33"/>
      <c r="BY30" s="15"/>
      <c r="BZ30" s="15">
        <f t="shared" si="22"/>
        <v>9925.6828752</v>
      </c>
      <c r="CA30" s="15">
        <f t="shared" si="23"/>
        <v>9925.6828752</v>
      </c>
      <c r="CB30" s="15">
        <v>2844</v>
      </c>
      <c r="CC30" s="33"/>
      <c r="CD30" s="15"/>
      <c r="CE30" s="15">
        <f t="shared" si="24"/>
        <v>5033.5498064</v>
      </c>
      <c r="CF30" s="15">
        <f t="shared" si="25"/>
        <v>5033.5498064</v>
      </c>
      <c r="CG30" s="15">
        <v>1442</v>
      </c>
      <c r="CH30" s="33"/>
      <c r="CI30" s="15"/>
      <c r="CJ30" s="15">
        <f t="shared" si="26"/>
        <v>977.5405615999999</v>
      </c>
      <c r="CK30" s="15">
        <f t="shared" si="27"/>
        <v>977.5405615999999</v>
      </c>
      <c r="CL30" s="15">
        <v>280</v>
      </c>
      <c r="CM30" s="33"/>
      <c r="CN30" s="15"/>
      <c r="CO30" s="15">
        <f t="shared" si="28"/>
        <v>3884.1432544000004</v>
      </c>
      <c r="CP30" s="15">
        <f t="shared" si="29"/>
        <v>3884.1432544000004</v>
      </c>
      <c r="CQ30" s="15">
        <v>1113</v>
      </c>
      <c r="CR30" s="33"/>
      <c r="CS30" s="15"/>
      <c r="CT30" s="15">
        <f t="shared" si="30"/>
        <v>9473.2337008</v>
      </c>
      <c r="CU30" s="15">
        <f t="shared" si="31"/>
        <v>9473.2337008</v>
      </c>
      <c r="CV30" s="15">
        <v>2715</v>
      </c>
      <c r="CW30" s="33"/>
      <c r="CX30" s="15"/>
      <c r="CY30" s="15">
        <f t="shared" si="32"/>
        <v>21203.650118399997</v>
      </c>
      <c r="CZ30" s="15">
        <f t="shared" si="33"/>
        <v>21203.650118399997</v>
      </c>
      <c r="DA30" s="15">
        <v>6076</v>
      </c>
      <c r="DB30" s="33"/>
      <c r="DC30" s="15"/>
      <c r="DD30" s="15">
        <f t="shared" si="34"/>
        <v>3208.0010703999997</v>
      </c>
      <c r="DE30" s="15">
        <f t="shared" si="35"/>
        <v>3208.0010703999997</v>
      </c>
      <c r="DF30" s="15">
        <v>919</v>
      </c>
      <c r="DG30" s="33"/>
      <c r="DH30" s="15"/>
      <c r="DI30" s="15">
        <f t="shared" si="36"/>
        <v>9217.6850064</v>
      </c>
      <c r="DJ30" s="15">
        <f t="shared" si="37"/>
        <v>9217.6850064</v>
      </c>
      <c r="DK30" s="15">
        <v>2642</v>
      </c>
      <c r="DL30" s="33"/>
      <c r="DM30" s="15"/>
      <c r="DN30" s="15">
        <f t="shared" si="38"/>
        <v>355.1944016</v>
      </c>
      <c r="DO30" s="15">
        <f t="shared" si="39"/>
        <v>355.1944016</v>
      </c>
      <c r="DP30" s="15">
        <v>102</v>
      </c>
      <c r="DQ30" s="33"/>
      <c r="DR30" s="15"/>
      <c r="DS30" s="15">
        <f t="shared" si="40"/>
        <v>19445.1881888</v>
      </c>
      <c r="DT30" s="15">
        <f t="shared" si="41"/>
        <v>19445.1881888</v>
      </c>
      <c r="DU30" s="15">
        <v>5572</v>
      </c>
      <c r="DV30" s="33"/>
      <c r="DW30" s="15"/>
      <c r="DX30" s="15">
        <f t="shared" si="42"/>
        <v>3061.3805343999998</v>
      </c>
      <c r="DY30" s="15">
        <f t="shared" si="43"/>
        <v>3061.3805343999998</v>
      </c>
      <c r="DZ30" s="15">
        <v>877</v>
      </c>
      <c r="EA30" s="33"/>
      <c r="EB30" s="15"/>
      <c r="EC30" s="15">
        <f t="shared" si="44"/>
        <v>15754.077726399999</v>
      </c>
      <c r="ED30" s="15">
        <f t="shared" si="45"/>
        <v>15754.077726399999</v>
      </c>
      <c r="EE30" s="15">
        <v>4515</v>
      </c>
      <c r="EF30" s="33"/>
      <c r="EG30" s="15"/>
      <c r="EH30" s="15">
        <f t="shared" si="46"/>
        <v>4497.6288928</v>
      </c>
      <c r="EI30" s="15">
        <f t="shared" si="47"/>
        <v>4497.6288928</v>
      </c>
      <c r="EJ30" s="15">
        <v>1289</v>
      </c>
      <c r="EK30" s="33"/>
      <c r="EL30" s="15"/>
      <c r="EM30" s="15">
        <f t="shared" si="48"/>
        <v>45.146467200000004</v>
      </c>
      <c r="EN30" s="15">
        <f t="shared" si="49"/>
        <v>45.146467200000004</v>
      </c>
      <c r="EO30" s="15">
        <v>13</v>
      </c>
      <c r="EP30" s="33"/>
      <c r="EQ30" s="15"/>
      <c r="ER30" s="15">
        <f t="shared" si="50"/>
        <v>83.8233472</v>
      </c>
      <c r="ES30" s="15">
        <f t="shared" si="51"/>
        <v>83.8233472</v>
      </c>
      <c r="ET30" s="15">
        <v>24</v>
      </c>
      <c r="EU30" s="33"/>
      <c r="EV30" s="15"/>
      <c r="EW30" s="15">
        <f t="shared" si="52"/>
        <v>15152.6170816</v>
      </c>
      <c r="EX30" s="15">
        <f t="shared" si="53"/>
        <v>15152.6170816</v>
      </c>
      <c r="EY30" s="15">
        <v>4342</v>
      </c>
      <c r="EZ30" s="33"/>
      <c r="FA30" s="15"/>
      <c r="FB30" s="15">
        <f t="shared" si="54"/>
        <v>28164.9259456</v>
      </c>
      <c r="FC30" s="15">
        <f t="shared" si="55"/>
        <v>28164.9259456</v>
      </c>
      <c r="FD30" s="15">
        <v>8071</v>
      </c>
      <c r="FE30" s="33"/>
      <c r="FF30" s="22"/>
      <c r="FG30" s="15"/>
      <c r="FH30" s="15"/>
      <c r="FI30" s="15"/>
    </row>
    <row r="31" spans="1:165" s="35" customFormat="1" ht="12.75">
      <c r="A31" s="34">
        <v>43922</v>
      </c>
      <c r="C31" s="22">
        <v>5965000</v>
      </c>
      <c r="D31" s="22">
        <v>703216</v>
      </c>
      <c r="E31" s="16">
        <f t="shared" si="0"/>
        <v>6668216</v>
      </c>
      <c r="F31" s="16">
        <f t="shared" si="56"/>
        <v>201605</v>
      </c>
      <c r="G31" s="16">
        <f t="shared" si="57"/>
        <v>0</v>
      </c>
      <c r="H31" s="33"/>
      <c r="I31" s="22"/>
      <c r="J31" s="22"/>
      <c r="K31" s="16"/>
      <c r="L31" s="16"/>
      <c r="M31" s="16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22">
        <v>5965000</v>
      </c>
      <c r="AB31" s="22">
        <v>703216</v>
      </c>
      <c r="AC31" s="16">
        <f t="shared" si="3"/>
        <v>6668216</v>
      </c>
      <c r="AD31" s="16">
        <f t="shared" si="58"/>
        <v>201605</v>
      </c>
      <c r="AE31" s="33"/>
      <c r="AF31" s="33">
        <v>3237956</v>
      </c>
      <c r="AG31" s="33">
        <v>381724</v>
      </c>
      <c r="AH31" s="33">
        <f t="shared" si="4"/>
        <v>3619680</v>
      </c>
      <c r="AI31" s="33">
        <v>109392</v>
      </c>
      <c r="AJ31" s="33"/>
      <c r="AK31" s="15">
        <f t="shared" si="5"/>
        <v>2727043.5065</v>
      </c>
      <c r="AL31" s="22">
        <f t="shared" si="6"/>
        <v>321492.1419056</v>
      </c>
      <c r="AM31" s="15">
        <f t="shared" si="7"/>
        <v>3048535.6484056003</v>
      </c>
      <c r="AN31" s="15">
        <f t="shared" si="59"/>
        <v>92213</v>
      </c>
      <c r="AO31" s="33"/>
      <c r="AP31" s="15">
        <f t="shared" si="60"/>
        <v>487483.66</v>
      </c>
      <c r="AQ31" s="16">
        <f t="shared" si="8"/>
        <v>57469.624383999995</v>
      </c>
      <c r="AR31" s="15">
        <f t="shared" si="9"/>
        <v>544953.284384</v>
      </c>
      <c r="AS31" s="15">
        <v>16469</v>
      </c>
      <c r="AU31" s="15">
        <f t="shared" si="61"/>
        <v>355302.839</v>
      </c>
      <c r="AV31" s="15">
        <f t="shared" si="10"/>
        <v>41886.7797536</v>
      </c>
      <c r="AW31" s="15">
        <f t="shared" si="11"/>
        <v>397189.6187536</v>
      </c>
      <c r="AX31" s="15">
        <v>12004</v>
      </c>
      <c r="AZ31" s="15">
        <f t="shared" si="62"/>
        <v>188377.086</v>
      </c>
      <c r="BA31" s="15">
        <f t="shared" si="12"/>
        <v>22207.842566400002</v>
      </c>
      <c r="BB31" s="15">
        <f t="shared" si="13"/>
        <v>210584.92856640002</v>
      </c>
      <c r="BC31" s="15">
        <v>6364</v>
      </c>
      <c r="BE31" s="3">
        <f t="shared" si="63"/>
        <v>137004.12000000002</v>
      </c>
      <c r="BF31" s="3">
        <f t="shared" si="14"/>
        <v>16151.465088000003</v>
      </c>
      <c r="BG31" s="3">
        <f t="shared" si="15"/>
        <v>153155.58508800002</v>
      </c>
      <c r="BH31" s="3">
        <v>4713</v>
      </c>
      <c r="BI31" s="33"/>
      <c r="BJ31" s="15">
        <f t="shared" si="64"/>
        <v>15693.3185</v>
      </c>
      <c r="BK31" s="15">
        <f t="shared" si="16"/>
        <v>1850.0909743999998</v>
      </c>
      <c r="BL31" s="15">
        <f t="shared" si="17"/>
        <v>17543.4094744</v>
      </c>
      <c r="BM31" s="15">
        <v>530</v>
      </c>
      <c r="BN31" s="33"/>
      <c r="BO31" s="15">
        <f t="shared" si="65"/>
        <v>248280.59849999996</v>
      </c>
      <c r="BP31" s="15">
        <f t="shared" si="18"/>
        <v>29269.8892464</v>
      </c>
      <c r="BQ31" s="15">
        <f t="shared" si="19"/>
        <v>277550.48774639994</v>
      </c>
      <c r="BR31" s="15">
        <v>8388</v>
      </c>
      <c r="BS31" s="33"/>
      <c r="BT31" s="15">
        <f t="shared" si="66"/>
        <v>26914.676499999998</v>
      </c>
      <c r="BU31" s="15">
        <f t="shared" si="20"/>
        <v>3172.9809136000003</v>
      </c>
      <c r="BV31" s="15">
        <f t="shared" si="21"/>
        <v>30087.657413599998</v>
      </c>
      <c r="BW31" s="15">
        <v>909</v>
      </c>
      <c r="BX31" s="33"/>
      <c r="BY31" s="15">
        <f t="shared" si="67"/>
        <v>84194.1855</v>
      </c>
      <c r="BZ31" s="15">
        <f t="shared" si="22"/>
        <v>9925.6828752</v>
      </c>
      <c r="CA31" s="15">
        <f t="shared" si="23"/>
        <v>94119.8683752</v>
      </c>
      <c r="CB31" s="15">
        <v>2844</v>
      </c>
      <c r="CC31" s="33"/>
      <c r="CD31" s="15">
        <f t="shared" si="68"/>
        <v>42696.87350000001</v>
      </c>
      <c r="CE31" s="15">
        <f t="shared" si="24"/>
        <v>5033.5498064</v>
      </c>
      <c r="CF31" s="15">
        <f t="shared" si="25"/>
        <v>47730.42330640001</v>
      </c>
      <c r="CG31" s="15">
        <v>1442</v>
      </c>
      <c r="CH31" s="33"/>
      <c r="CI31" s="15">
        <f t="shared" si="69"/>
        <v>8291.9465</v>
      </c>
      <c r="CJ31" s="15">
        <f t="shared" si="26"/>
        <v>977.5405615999999</v>
      </c>
      <c r="CK31" s="15">
        <f t="shared" si="27"/>
        <v>9269.4870616</v>
      </c>
      <c r="CL31" s="15">
        <v>280</v>
      </c>
      <c r="CM31" s="33"/>
      <c r="CN31" s="15">
        <f t="shared" si="70"/>
        <v>32947.081</v>
      </c>
      <c r="CO31" s="15">
        <f t="shared" si="28"/>
        <v>3884.1432544000004</v>
      </c>
      <c r="CP31" s="15">
        <f t="shared" si="29"/>
        <v>36831.2242544</v>
      </c>
      <c r="CQ31" s="15">
        <v>1113</v>
      </c>
      <c r="CR31" s="33"/>
      <c r="CS31" s="15">
        <f t="shared" si="71"/>
        <v>80356.3045</v>
      </c>
      <c r="CT31" s="15">
        <f t="shared" si="30"/>
        <v>9473.2337008</v>
      </c>
      <c r="CU31" s="15">
        <f t="shared" si="31"/>
        <v>89829.5382008</v>
      </c>
      <c r="CV31" s="15">
        <v>2715</v>
      </c>
      <c r="CW31" s="33"/>
      <c r="CX31" s="15">
        <f t="shared" si="72"/>
        <v>179859.066</v>
      </c>
      <c r="CY31" s="15">
        <f t="shared" si="32"/>
        <v>21203.650118399997</v>
      </c>
      <c r="CZ31" s="15">
        <f t="shared" si="33"/>
        <v>201062.71611839999</v>
      </c>
      <c r="DA31" s="15">
        <v>6076</v>
      </c>
      <c r="DB31" s="33"/>
      <c r="DC31" s="15">
        <f t="shared" si="73"/>
        <v>27211.733500000002</v>
      </c>
      <c r="DD31" s="15">
        <f t="shared" si="34"/>
        <v>3208.0010703999997</v>
      </c>
      <c r="DE31" s="15">
        <f t="shared" si="35"/>
        <v>30419.734570400004</v>
      </c>
      <c r="DF31" s="15">
        <v>919</v>
      </c>
      <c r="DG31" s="33"/>
      <c r="DH31" s="15">
        <f t="shared" si="74"/>
        <v>78188.6235</v>
      </c>
      <c r="DI31" s="15">
        <f t="shared" si="36"/>
        <v>9217.6850064</v>
      </c>
      <c r="DJ31" s="15">
        <f t="shared" si="37"/>
        <v>87406.3085064</v>
      </c>
      <c r="DK31" s="15">
        <v>2642</v>
      </c>
      <c r="DL31" s="33"/>
      <c r="DM31" s="15">
        <f t="shared" si="75"/>
        <v>3012.9215000000004</v>
      </c>
      <c r="DN31" s="15">
        <f t="shared" si="38"/>
        <v>355.1944016</v>
      </c>
      <c r="DO31" s="15">
        <f t="shared" si="39"/>
        <v>3368.1159016</v>
      </c>
      <c r="DP31" s="15">
        <v>102</v>
      </c>
      <c r="DQ31" s="33"/>
      <c r="DR31" s="15">
        <f t="shared" si="76"/>
        <v>164942.987</v>
      </c>
      <c r="DS31" s="15">
        <f t="shared" si="40"/>
        <v>19445.1881888</v>
      </c>
      <c r="DT31" s="15">
        <f t="shared" si="41"/>
        <v>184388.1751888</v>
      </c>
      <c r="DU31" s="15">
        <v>5572</v>
      </c>
      <c r="DV31" s="33"/>
      <c r="DW31" s="15">
        <f t="shared" si="77"/>
        <v>25968.031000000003</v>
      </c>
      <c r="DX31" s="15">
        <f t="shared" si="42"/>
        <v>3061.3805343999998</v>
      </c>
      <c r="DY31" s="15">
        <f t="shared" si="43"/>
        <v>29029.411534400002</v>
      </c>
      <c r="DZ31" s="15">
        <v>877</v>
      </c>
      <c r="EA31" s="33"/>
      <c r="EB31" s="15">
        <f t="shared" si="78"/>
        <v>133633.2985</v>
      </c>
      <c r="EC31" s="15">
        <f t="shared" si="44"/>
        <v>15754.077726399999</v>
      </c>
      <c r="ED31" s="15">
        <f t="shared" si="45"/>
        <v>149387.3762264</v>
      </c>
      <c r="EE31" s="15">
        <v>4515</v>
      </c>
      <c r="EF31" s="33"/>
      <c r="EG31" s="15">
        <f t="shared" si="79"/>
        <v>38150.947</v>
      </c>
      <c r="EH31" s="15">
        <f t="shared" si="46"/>
        <v>4497.6288928</v>
      </c>
      <c r="EI31" s="15">
        <f t="shared" si="47"/>
        <v>42648.5758928</v>
      </c>
      <c r="EJ31" s="15">
        <v>1289</v>
      </c>
      <c r="EK31" s="33"/>
      <c r="EL31" s="15">
        <f t="shared" si="80"/>
        <v>382.95300000000003</v>
      </c>
      <c r="EM31" s="15">
        <f t="shared" si="48"/>
        <v>45.146467200000004</v>
      </c>
      <c r="EN31" s="15">
        <f t="shared" si="49"/>
        <v>428.09946720000005</v>
      </c>
      <c r="EO31" s="15">
        <v>13</v>
      </c>
      <c r="EP31" s="33"/>
      <c r="EQ31" s="15">
        <f t="shared" si="81"/>
        <v>711.028</v>
      </c>
      <c r="ER31" s="15">
        <f t="shared" si="50"/>
        <v>83.8233472</v>
      </c>
      <c r="ES31" s="15">
        <f t="shared" si="51"/>
        <v>794.8513472</v>
      </c>
      <c r="ET31" s="15">
        <v>24</v>
      </c>
      <c r="EU31" s="33"/>
      <c r="EV31" s="15">
        <f t="shared" si="82"/>
        <v>128531.43400000001</v>
      </c>
      <c r="EW31" s="15">
        <f t="shared" si="52"/>
        <v>15152.6170816</v>
      </c>
      <c r="EX31" s="15">
        <f t="shared" si="53"/>
        <v>143684.05108160002</v>
      </c>
      <c r="EY31" s="15">
        <v>4342</v>
      </c>
      <c r="EZ31" s="33"/>
      <c r="FA31" s="15">
        <f t="shared" si="83"/>
        <v>238907.794</v>
      </c>
      <c r="FB31" s="15">
        <f t="shared" si="54"/>
        <v>28164.9259456</v>
      </c>
      <c r="FC31" s="15">
        <f t="shared" si="55"/>
        <v>267072.7199456</v>
      </c>
      <c r="FD31" s="15">
        <v>8071</v>
      </c>
      <c r="FE31" s="33"/>
      <c r="FF31" s="22"/>
      <c r="FG31" s="15"/>
      <c r="FH31" s="15"/>
      <c r="FI31" s="15"/>
    </row>
    <row r="32" spans="1:165" s="35" customFormat="1" ht="12.75">
      <c r="A32" s="34">
        <v>44105</v>
      </c>
      <c r="C32" s="22"/>
      <c r="D32" s="22">
        <v>583916</v>
      </c>
      <c r="E32" s="16">
        <f t="shared" si="0"/>
        <v>583916</v>
      </c>
      <c r="F32" s="16">
        <f t="shared" si="56"/>
        <v>201605</v>
      </c>
      <c r="G32" s="16">
        <f t="shared" si="57"/>
        <v>0</v>
      </c>
      <c r="H32" s="33"/>
      <c r="I32" s="22"/>
      <c r="J32" s="22"/>
      <c r="K32" s="16"/>
      <c r="L32" s="16"/>
      <c r="M32" s="16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22"/>
      <c r="AB32" s="22">
        <v>583916</v>
      </c>
      <c r="AC32" s="16">
        <f t="shared" si="3"/>
        <v>583916</v>
      </c>
      <c r="AD32" s="16">
        <f t="shared" si="58"/>
        <v>201605</v>
      </c>
      <c r="AE32" s="33"/>
      <c r="AF32" s="33"/>
      <c r="AG32" s="33">
        <v>316965</v>
      </c>
      <c r="AH32" s="33">
        <f t="shared" si="4"/>
        <v>316965</v>
      </c>
      <c r="AI32" s="33">
        <v>109392</v>
      </c>
      <c r="AJ32" s="33"/>
      <c r="AK32" s="15">
        <f t="shared" si="5"/>
        <v>0</v>
      </c>
      <c r="AL32" s="22">
        <f t="shared" si="6"/>
        <v>266951.2717756</v>
      </c>
      <c r="AM32" s="15">
        <f t="shared" si="7"/>
        <v>266951.2717756</v>
      </c>
      <c r="AN32" s="15">
        <f t="shared" si="59"/>
        <v>92213</v>
      </c>
      <c r="AO32" s="33"/>
      <c r="AP32" s="15"/>
      <c r="AQ32" s="16">
        <f t="shared" si="8"/>
        <v>47719.951184</v>
      </c>
      <c r="AR32" s="15">
        <f t="shared" si="9"/>
        <v>47719.951184</v>
      </c>
      <c r="AS32" s="15">
        <v>16469</v>
      </c>
      <c r="AU32" s="15"/>
      <c r="AV32" s="15">
        <f t="shared" si="10"/>
        <v>34780.7229736</v>
      </c>
      <c r="AW32" s="15">
        <f t="shared" si="11"/>
        <v>34780.7229736</v>
      </c>
      <c r="AX32" s="15">
        <v>12004</v>
      </c>
      <c r="AZ32" s="15"/>
      <c r="BA32" s="15">
        <f t="shared" si="12"/>
        <v>18440.3008464</v>
      </c>
      <c r="BB32" s="15">
        <f t="shared" si="13"/>
        <v>18440.3008464</v>
      </c>
      <c r="BC32" s="15">
        <v>6364</v>
      </c>
      <c r="BE32" s="3"/>
      <c r="BF32" s="3">
        <f t="shared" si="14"/>
        <v>13411.382688000002</v>
      </c>
      <c r="BG32" s="3">
        <f t="shared" si="15"/>
        <v>13411.382688000002</v>
      </c>
      <c r="BH32" s="3">
        <v>4713</v>
      </c>
      <c r="BI32" s="33"/>
      <c r="BJ32" s="15"/>
      <c r="BK32" s="15">
        <f t="shared" si="16"/>
        <v>1536.2246043999999</v>
      </c>
      <c r="BL32" s="15">
        <f t="shared" si="17"/>
        <v>1536.2246043999999</v>
      </c>
      <c r="BM32" s="15">
        <v>530</v>
      </c>
      <c r="BN32" s="33"/>
      <c r="BO32" s="15"/>
      <c r="BP32" s="15">
        <f t="shared" si="18"/>
        <v>24304.277276399996</v>
      </c>
      <c r="BQ32" s="15">
        <f t="shared" si="19"/>
        <v>24304.277276399996</v>
      </c>
      <c r="BR32" s="15">
        <v>8388</v>
      </c>
      <c r="BS32" s="33"/>
      <c r="BT32" s="15"/>
      <c r="BU32" s="15">
        <f t="shared" si="20"/>
        <v>2634.6873836</v>
      </c>
      <c r="BV32" s="15">
        <f t="shared" si="21"/>
        <v>2634.6873836</v>
      </c>
      <c r="BW32" s="15">
        <v>909</v>
      </c>
      <c r="BX32" s="33"/>
      <c r="BY32" s="15"/>
      <c r="BZ32" s="15">
        <f t="shared" si="22"/>
        <v>8241.7991652</v>
      </c>
      <c r="CA32" s="15">
        <f t="shared" si="23"/>
        <v>8241.7991652</v>
      </c>
      <c r="CB32" s="15">
        <v>2844</v>
      </c>
      <c r="CC32" s="33"/>
      <c r="CD32" s="15"/>
      <c r="CE32" s="15">
        <f t="shared" si="24"/>
        <v>4179.6123364000005</v>
      </c>
      <c r="CF32" s="15">
        <f t="shared" si="25"/>
        <v>4179.6123364000005</v>
      </c>
      <c r="CG32" s="15">
        <v>1442</v>
      </c>
      <c r="CH32" s="33"/>
      <c r="CI32" s="15"/>
      <c r="CJ32" s="15">
        <f t="shared" si="26"/>
        <v>811.7016315999999</v>
      </c>
      <c r="CK32" s="15">
        <f t="shared" si="27"/>
        <v>811.7016315999999</v>
      </c>
      <c r="CL32" s="15">
        <v>280</v>
      </c>
      <c r="CM32" s="33"/>
      <c r="CN32" s="15"/>
      <c r="CO32" s="15">
        <f t="shared" si="28"/>
        <v>3225.2016344000003</v>
      </c>
      <c r="CP32" s="15">
        <f t="shared" si="29"/>
        <v>3225.2016344000003</v>
      </c>
      <c r="CQ32" s="15">
        <v>1113</v>
      </c>
      <c r="CR32" s="33"/>
      <c r="CS32" s="15"/>
      <c r="CT32" s="15">
        <f t="shared" si="30"/>
        <v>7866.1076108</v>
      </c>
      <c r="CU32" s="15">
        <f t="shared" si="31"/>
        <v>7866.1076108</v>
      </c>
      <c r="CV32" s="15">
        <v>2715</v>
      </c>
      <c r="CW32" s="33"/>
      <c r="CX32" s="15"/>
      <c r="CY32" s="15">
        <f t="shared" si="32"/>
        <v>17606.4687984</v>
      </c>
      <c r="CZ32" s="15">
        <f t="shared" si="33"/>
        <v>17606.4687984</v>
      </c>
      <c r="DA32" s="15">
        <v>6076</v>
      </c>
      <c r="DB32" s="33"/>
      <c r="DC32" s="15"/>
      <c r="DD32" s="15">
        <f t="shared" si="34"/>
        <v>2663.7664004</v>
      </c>
      <c r="DE32" s="15">
        <f t="shared" si="35"/>
        <v>2663.7664004</v>
      </c>
      <c r="DF32" s="15">
        <v>919</v>
      </c>
      <c r="DG32" s="33"/>
      <c r="DH32" s="15"/>
      <c r="DI32" s="15">
        <f t="shared" si="36"/>
        <v>7653.912536399999</v>
      </c>
      <c r="DJ32" s="15">
        <f t="shared" si="37"/>
        <v>7653.912536399999</v>
      </c>
      <c r="DK32" s="15">
        <v>2642</v>
      </c>
      <c r="DL32" s="33"/>
      <c r="DM32" s="15"/>
      <c r="DN32" s="15">
        <f t="shared" si="38"/>
        <v>294.9359716</v>
      </c>
      <c r="DO32" s="15">
        <f t="shared" si="39"/>
        <v>294.9359716</v>
      </c>
      <c r="DP32" s="15">
        <v>102</v>
      </c>
      <c r="DQ32" s="33"/>
      <c r="DR32" s="15"/>
      <c r="DS32" s="15">
        <f t="shared" si="40"/>
        <v>16146.328448799999</v>
      </c>
      <c r="DT32" s="15">
        <f t="shared" si="41"/>
        <v>16146.328448799999</v>
      </c>
      <c r="DU32" s="15">
        <v>5572</v>
      </c>
      <c r="DV32" s="33"/>
      <c r="DW32" s="15"/>
      <c r="DX32" s="15">
        <f t="shared" si="42"/>
        <v>2542.0199144000003</v>
      </c>
      <c r="DY32" s="15">
        <f t="shared" si="43"/>
        <v>2542.0199144000003</v>
      </c>
      <c r="DZ32" s="15">
        <v>877</v>
      </c>
      <c r="EA32" s="33"/>
      <c r="EB32" s="15"/>
      <c r="EC32" s="15">
        <f t="shared" si="44"/>
        <v>13081.4117564</v>
      </c>
      <c r="ED32" s="15">
        <f t="shared" si="45"/>
        <v>13081.4117564</v>
      </c>
      <c r="EE32" s="15">
        <v>4515</v>
      </c>
      <c r="EF32" s="33"/>
      <c r="EG32" s="15"/>
      <c r="EH32" s="15">
        <f t="shared" si="46"/>
        <v>3734.6099528000004</v>
      </c>
      <c r="EI32" s="15">
        <f t="shared" si="47"/>
        <v>3734.6099528000004</v>
      </c>
      <c r="EJ32" s="15">
        <v>1289</v>
      </c>
      <c r="EK32" s="33"/>
      <c r="EL32" s="15"/>
      <c r="EM32" s="15">
        <f t="shared" si="48"/>
        <v>37.4874072</v>
      </c>
      <c r="EN32" s="15">
        <f t="shared" si="49"/>
        <v>37.4874072</v>
      </c>
      <c r="EO32" s="15">
        <v>13</v>
      </c>
      <c r="EP32" s="33"/>
      <c r="EQ32" s="15"/>
      <c r="ER32" s="15">
        <f t="shared" si="50"/>
        <v>69.60278720000001</v>
      </c>
      <c r="ES32" s="15">
        <f t="shared" si="51"/>
        <v>69.60278720000001</v>
      </c>
      <c r="ET32" s="15">
        <v>24</v>
      </c>
      <c r="EU32" s="33"/>
      <c r="EV32" s="15"/>
      <c r="EW32" s="15">
        <f t="shared" si="52"/>
        <v>12581.9884016</v>
      </c>
      <c r="EX32" s="15">
        <f t="shared" si="53"/>
        <v>12581.9884016</v>
      </c>
      <c r="EY32" s="15">
        <v>4342</v>
      </c>
      <c r="EZ32" s="33"/>
      <c r="FA32" s="15"/>
      <c r="FB32" s="15">
        <f t="shared" si="54"/>
        <v>23386.7700656</v>
      </c>
      <c r="FC32" s="15">
        <f t="shared" si="55"/>
        <v>23386.7700656</v>
      </c>
      <c r="FD32" s="15">
        <v>8071</v>
      </c>
      <c r="FE32" s="33"/>
      <c r="FF32" s="22"/>
      <c r="FG32" s="15"/>
      <c r="FH32" s="15"/>
      <c r="FI32" s="15"/>
    </row>
    <row r="33" spans="1:165" s="35" customFormat="1" ht="12.75">
      <c r="A33" s="34">
        <v>44287</v>
      </c>
      <c r="C33" s="22">
        <v>6205000</v>
      </c>
      <c r="D33" s="22">
        <v>583916</v>
      </c>
      <c r="E33" s="16">
        <f t="shared" si="0"/>
        <v>6788916</v>
      </c>
      <c r="F33" s="16">
        <f t="shared" si="56"/>
        <v>201605</v>
      </c>
      <c r="G33" s="16">
        <f t="shared" si="57"/>
        <v>0</v>
      </c>
      <c r="H33" s="33"/>
      <c r="I33" s="22"/>
      <c r="J33" s="22"/>
      <c r="K33" s="16"/>
      <c r="L33" s="16"/>
      <c r="M33" s="16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22">
        <v>6205000</v>
      </c>
      <c r="AB33" s="22">
        <v>583916</v>
      </c>
      <c r="AC33" s="16">
        <f t="shared" si="3"/>
        <v>6788916</v>
      </c>
      <c r="AD33" s="16">
        <f t="shared" si="58"/>
        <v>201605</v>
      </c>
      <c r="AE33" s="33"/>
      <c r="AF33" s="33">
        <v>3368235</v>
      </c>
      <c r="AG33" s="33">
        <v>316965</v>
      </c>
      <c r="AH33" s="33">
        <f t="shared" si="4"/>
        <v>3685200</v>
      </c>
      <c r="AI33" s="33">
        <v>109392</v>
      </c>
      <c r="AJ33" s="33"/>
      <c r="AK33" s="15">
        <f t="shared" si="5"/>
        <v>2836765.2904999997</v>
      </c>
      <c r="AL33" s="22">
        <f t="shared" si="6"/>
        <v>266951.2717756</v>
      </c>
      <c r="AM33" s="15">
        <f t="shared" si="7"/>
        <v>3103716.5622755997</v>
      </c>
      <c r="AN33" s="15">
        <f t="shared" si="59"/>
        <v>92213</v>
      </c>
      <c r="AO33" s="33"/>
      <c r="AP33" s="15">
        <f t="shared" si="60"/>
        <v>507097.42</v>
      </c>
      <c r="AQ33" s="16">
        <f t="shared" si="8"/>
        <v>47719.951184</v>
      </c>
      <c r="AR33" s="15">
        <f t="shared" si="9"/>
        <v>554817.3711839999</v>
      </c>
      <c r="AS33" s="15">
        <v>16469</v>
      </c>
      <c r="AU33" s="15">
        <f t="shared" si="61"/>
        <v>369598.343</v>
      </c>
      <c r="AV33" s="15">
        <f t="shared" si="10"/>
        <v>34780.7229736</v>
      </c>
      <c r="AW33" s="15">
        <f t="shared" si="11"/>
        <v>404379.0659736</v>
      </c>
      <c r="AX33" s="15">
        <v>12004</v>
      </c>
      <c r="AZ33" s="15">
        <f t="shared" si="62"/>
        <v>195956.38200000004</v>
      </c>
      <c r="BA33" s="15">
        <f t="shared" si="12"/>
        <v>18440.3008464</v>
      </c>
      <c r="BB33" s="15">
        <f t="shared" si="13"/>
        <v>214396.68284640004</v>
      </c>
      <c r="BC33" s="15">
        <v>6364</v>
      </c>
      <c r="BE33" s="3">
        <f t="shared" si="63"/>
        <v>142516.44000000003</v>
      </c>
      <c r="BF33" s="3">
        <f t="shared" si="14"/>
        <v>13411.382688000002</v>
      </c>
      <c r="BG33" s="3">
        <f t="shared" si="15"/>
        <v>155927.82268800004</v>
      </c>
      <c r="BH33" s="3">
        <v>4713</v>
      </c>
      <c r="BI33" s="33"/>
      <c r="BJ33" s="15">
        <f t="shared" si="64"/>
        <v>16324.734499999999</v>
      </c>
      <c r="BK33" s="15">
        <f t="shared" si="16"/>
        <v>1536.2246043999999</v>
      </c>
      <c r="BL33" s="15">
        <f t="shared" si="17"/>
        <v>17860.959104399997</v>
      </c>
      <c r="BM33" s="15">
        <v>530</v>
      </c>
      <c r="BN33" s="33"/>
      <c r="BO33" s="15">
        <f t="shared" si="65"/>
        <v>258270.0945</v>
      </c>
      <c r="BP33" s="15">
        <f t="shared" si="18"/>
        <v>24304.277276399996</v>
      </c>
      <c r="BQ33" s="15">
        <f t="shared" si="19"/>
        <v>282574.3717764</v>
      </c>
      <c r="BR33" s="15">
        <v>8388</v>
      </c>
      <c r="BS33" s="33"/>
      <c r="BT33" s="15">
        <f t="shared" si="66"/>
        <v>27997.580499999996</v>
      </c>
      <c r="BU33" s="15">
        <f t="shared" si="20"/>
        <v>2634.6873836</v>
      </c>
      <c r="BV33" s="15">
        <f t="shared" si="21"/>
        <v>30632.267883599998</v>
      </c>
      <c r="BW33" s="15">
        <v>909</v>
      </c>
      <c r="BX33" s="33"/>
      <c r="BY33" s="15">
        <f t="shared" si="67"/>
        <v>87581.7135</v>
      </c>
      <c r="BZ33" s="15">
        <f t="shared" si="22"/>
        <v>8241.7991652</v>
      </c>
      <c r="CA33" s="15">
        <f t="shared" si="23"/>
        <v>95823.5126652</v>
      </c>
      <c r="CB33" s="15">
        <v>2844</v>
      </c>
      <c r="CC33" s="33"/>
      <c r="CD33" s="15">
        <f t="shared" si="68"/>
        <v>44414.7695</v>
      </c>
      <c r="CE33" s="15">
        <f t="shared" si="24"/>
        <v>4179.6123364000005</v>
      </c>
      <c r="CF33" s="15">
        <f t="shared" si="25"/>
        <v>48594.3818364</v>
      </c>
      <c r="CG33" s="15">
        <v>1442</v>
      </c>
      <c r="CH33" s="33"/>
      <c r="CI33" s="15">
        <f t="shared" si="69"/>
        <v>8625.5705</v>
      </c>
      <c r="CJ33" s="15">
        <f t="shared" si="26"/>
        <v>811.7016315999999</v>
      </c>
      <c r="CK33" s="15">
        <f t="shared" si="27"/>
        <v>9437.272131599999</v>
      </c>
      <c r="CL33" s="15">
        <v>280</v>
      </c>
      <c r="CM33" s="33"/>
      <c r="CN33" s="15">
        <f t="shared" si="70"/>
        <v>34272.697</v>
      </c>
      <c r="CO33" s="15">
        <f t="shared" si="28"/>
        <v>3225.2016344000003</v>
      </c>
      <c r="CP33" s="15">
        <f t="shared" si="29"/>
        <v>37497.8986344</v>
      </c>
      <c r="CQ33" s="15">
        <v>1113</v>
      </c>
      <c r="CR33" s="33"/>
      <c r="CS33" s="15">
        <f t="shared" si="71"/>
        <v>83589.41649999999</v>
      </c>
      <c r="CT33" s="15">
        <f t="shared" si="30"/>
        <v>7866.1076108</v>
      </c>
      <c r="CU33" s="15">
        <f t="shared" si="31"/>
        <v>91455.52411079999</v>
      </c>
      <c r="CV33" s="15">
        <v>2715</v>
      </c>
      <c r="CW33" s="33"/>
      <c r="CX33" s="15">
        <f t="shared" si="72"/>
        <v>187095.642</v>
      </c>
      <c r="CY33" s="15">
        <f t="shared" si="32"/>
        <v>17606.4687984</v>
      </c>
      <c r="CZ33" s="15">
        <f t="shared" si="33"/>
        <v>204702.11079839998</v>
      </c>
      <c r="DA33" s="15">
        <v>6076</v>
      </c>
      <c r="DB33" s="33"/>
      <c r="DC33" s="15">
        <f t="shared" si="73"/>
        <v>28306.5895</v>
      </c>
      <c r="DD33" s="15">
        <f t="shared" si="34"/>
        <v>2663.7664004</v>
      </c>
      <c r="DE33" s="15">
        <f t="shared" si="35"/>
        <v>30970.355900399998</v>
      </c>
      <c r="DF33" s="15">
        <v>919</v>
      </c>
      <c r="DG33" s="33"/>
      <c r="DH33" s="15">
        <f t="shared" si="74"/>
        <v>81334.5195</v>
      </c>
      <c r="DI33" s="15">
        <f t="shared" si="36"/>
        <v>7653.912536399999</v>
      </c>
      <c r="DJ33" s="15">
        <f t="shared" si="37"/>
        <v>88988.43203639999</v>
      </c>
      <c r="DK33" s="15">
        <v>2642</v>
      </c>
      <c r="DL33" s="33"/>
      <c r="DM33" s="15">
        <f t="shared" si="75"/>
        <v>3134.1455</v>
      </c>
      <c r="DN33" s="15">
        <f t="shared" si="38"/>
        <v>294.9359716</v>
      </c>
      <c r="DO33" s="15">
        <f t="shared" si="39"/>
        <v>3429.0814716</v>
      </c>
      <c r="DP33" s="15">
        <v>102</v>
      </c>
      <c r="DQ33" s="33"/>
      <c r="DR33" s="15">
        <f t="shared" si="76"/>
        <v>171579.419</v>
      </c>
      <c r="DS33" s="15">
        <f t="shared" si="40"/>
        <v>16146.328448799999</v>
      </c>
      <c r="DT33" s="15">
        <f t="shared" si="41"/>
        <v>187725.7474488</v>
      </c>
      <c r="DU33" s="15">
        <v>5572</v>
      </c>
      <c r="DV33" s="33"/>
      <c r="DW33" s="15">
        <f t="shared" si="77"/>
        <v>27012.847</v>
      </c>
      <c r="DX33" s="15">
        <f t="shared" si="42"/>
        <v>2542.0199144000003</v>
      </c>
      <c r="DY33" s="15">
        <f t="shared" si="43"/>
        <v>29554.8669144</v>
      </c>
      <c r="DZ33" s="15">
        <v>877</v>
      </c>
      <c r="EA33" s="33"/>
      <c r="EB33" s="15">
        <f t="shared" si="78"/>
        <v>139009.9945</v>
      </c>
      <c r="EC33" s="15">
        <f t="shared" si="44"/>
        <v>13081.4117564</v>
      </c>
      <c r="ED33" s="15">
        <f t="shared" si="45"/>
        <v>152091.4062564</v>
      </c>
      <c r="EE33" s="15">
        <v>4515</v>
      </c>
      <c r="EF33" s="33"/>
      <c r="EG33" s="15">
        <f t="shared" si="79"/>
        <v>39685.939000000006</v>
      </c>
      <c r="EH33" s="15">
        <f t="shared" si="46"/>
        <v>3734.6099528000004</v>
      </c>
      <c r="EI33" s="15">
        <f t="shared" si="47"/>
        <v>43420.5489528</v>
      </c>
      <c r="EJ33" s="15">
        <v>1289</v>
      </c>
      <c r="EK33" s="33"/>
      <c r="EL33" s="15">
        <f t="shared" si="80"/>
        <v>398.36100000000005</v>
      </c>
      <c r="EM33" s="15">
        <f t="shared" si="48"/>
        <v>37.4874072</v>
      </c>
      <c r="EN33" s="15">
        <f t="shared" si="49"/>
        <v>435.84840720000005</v>
      </c>
      <c r="EO33" s="15">
        <v>13</v>
      </c>
      <c r="EP33" s="33"/>
      <c r="EQ33" s="15">
        <f t="shared" si="81"/>
        <v>739.6360000000001</v>
      </c>
      <c r="ER33" s="15">
        <f t="shared" si="50"/>
        <v>69.60278720000001</v>
      </c>
      <c r="ES33" s="15">
        <f t="shared" si="51"/>
        <v>809.2387872</v>
      </c>
      <c r="ET33" s="15">
        <v>24</v>
      </c>
      <c r="EU33" s="33"/>
      <c r="EV33" s="15">
        <f t="shared" si="82"/>
        <v>133702.858</v>
      </c>
      <c r="EW33" s="15">
        <f t="shared" si="52"/>
        <v>12581.9884016</v>
      </c>
      <c r="EX33" s="15">
        <f t="shared" si="53"/>
        <v>146284.8464016</v>
      </c>
      <c r="EY33" s="15">
        <v>4342</v>
      </c>
      <c r="EZ33" s="33"/>
      <c r="FA33" s="15">
        <f t="shared" si="83"/>
        <v>248520.178</v>
      </c>
      <c r="FB33" s="15">
        <f t="shared" si="54"/>
        <v>23386.7700656</v>
      </c>
      <c r="FC33" s="15">
        <f t="shared" si="55"/>
        <v>271906.9480656</v>
      </c>
      <c r="FD33" s="15">
        <v>8071</v>
      </c>
      <c r="FE33" s="33"/>
      <c r="FF33" s="22"/>
      <c r="FG33" s="15"/>
      <c r="FH33" s="15"/>
      <c r="FI33" s="15"/>
    </row>
    <row r="34" spans="1:165" s="35" customFormat="1" ht="12.75">
      <c r="A34" s="34">
        <v>44470</v>
      </c>
      <c r="C34" s="22"/>
      <c r="D34" s="22">
        <v>428791</v>
      </c>
      <c r="E34" s="16">
        <f t="shared" si="0"/>
        <v>428791</v>
      </c>
      <c r="F34" s="16">
        <f t="shared" si="56"/>
        <v>201605</v>
      </c>
      <c r="G34" s="16">
        <f t="shared" si="57"/>
        <v>0</v>
      </c>
      <c r="H34" s="33"/>
      <c r="I34" s="22"/>
      <c r="J34" s="22"/>
      <c r="K34" s="16"/>
      <c r="L34" s="16"/>
      <c r="M34" s="16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22"/>
      <c r="AB34" s="22">
        <v>428791</v>
      </c>
      <c r="AC34" s="16">
        <f t="shared" si="3"/>
        <v>428791</v>
      </c>
      <c r="AD34" s="16">
        <f t="shared" si="58"/>
        <v>201605</v>
      </c>
      <c r="AE34" s="33"/>
      <c r="AF34" s="33"/>
      <c r="AG34" s="33">
        <v>232759</v>
      </c>
      <c r="AH34" s="33">
        <f t="shared" si="4"/>
        <v>232759</v>
      </c>
      <c r="AI34" s="33">
        <v>109392</v>
      </c>
      <c r="AJ34" s="33"/>
      <c r="AK34" s="15">
        <f t="shared" si="5"/>
        <v>0</v>
      </c>
      <c r="AL34" s="22">
        <f t="shared" si="6"/>
        <v>196032.13951309997</v>
      </c>
      <c r="AM34" s="15">
        <f t="shared" si="7"/>
        <v>196032.13951309997</v>
      </c>
      <c r="AN34" s="15">
        <f t="shared" si="59"/>
        <v>92213</v>
      </c>
      <c r="AO34" s="33"/>
      <c r="AP34" s="15"/>
      <c r="AQ34" s="16">
        <f t="shared" si="8"/>
        <v>35042.515684</v>
      </c>
      <c r="AR34" s="15">
        <f t="shared" si="9"/>
        <v>35042.515684</v>
      </c>
      <c r="AS34" s="15">
        <v>16469</v>
      </c>
      <c r="AU34" s="15"/>
      <c r="AV34" s="15">
        <f t="shared" si="10"/>
        <v>25540.764398599997</v>
      </c>
      <c r="AW34" s="15">
        <f t="shared" si="11"/>
        <v>25540.764398599997</v>
      </c>
      <c r="AX34" s="15">
        <v>12004</v>
      </c>
      <c r="AZ34" s="15"/>
      <c r="BA34" s="15">
        <f t="shared" si="12"/>
        <v>13541.391296400001</v>
      </c>
      <c r="BB34" s="15">
        <f t="shared" si="13"/>
        <v>13541.391296400001</v>
      </c>
      <c r="BC34" s="15">
        <v>6364</v>
      </c>
      <c r="BE34" s="3"/>
      <c r="BF34" s="3">
        <f t="shared" si="14"/>
        <v>9848.471688000001</v>
      </c>
      <c r="BG34" s="3">
        <f t="shared" si="15"/>
        <v>9848.471688000001</v>
      </c>
      <c r="BH34" s="3">
        <v>4713</v>
      </c>
      <c r="BI34" s="33"/>
      <c r="BJ34" s="15"/>
      <c r="BK34" s="15">
        <f t="shared" si="16"/>
        <v>1128.1062419</v>
      </c>
      <c r="BL34" s="15">
        <f t="shared" si="17"/>
        <v>1128.1062419</v>
      </c>
      <c r="BM34" s="15">
        <v>530</v>
      </c>
      <c r="BN34" s="33"/>
      <c r="BO34" s="15"/>
      <c r="BP34" s="15">
        <f t="shared" si="18"/>
        <v>17847.524913899997</v>
      </c>
      <c r="BQ34" s="15">
        <f t="shared" si="19"/>
        <v>17847.524913899997</v>
      </c>
      <c r="BR34" s="15">
        <v>8388</v>
      </c>
      <c r="BS34" s="33"/>
      <c r="BT34" s="15"/>
      <c r="BU34" s="15">
        <f t="shared" si="20"/>
        <v>1934.7478711</v>
      </c>
      <c r="BV34" s="15">
        <f t="shared" si="21"/>
        <v>1934.7478711</v>
      </c>
      <c r="BW34" s="15">
        <v>909</v>
      </c>
      <c r="BX34" s="33"/>
      <c r="BY34" s="15"/>
      <c r="BZ34" s="15">
        <f t="shared" si="22"/>
        <v>6052.2563277</v>
      </c>
      <c r="CA34" s="15">
        <f t="shared" si="23"/>
        <v>6052.2563277</v>
      </c>
      <c r="CB34" s="15">
        <v>2844</v>
      </c>
      <c r="CC34" s="33"/>
      <c r="CD34" s="15"/>
      <c r="CE34" s="15">
        <f t="shared" si="24"/>
        <v>3069.2430989000004</v>
      </c>
      <c r="CF34" s="15">
        <f t="shared" si="25"/>
        <v>3069.2430989000004</v>
      </c>
      <c r="CG34" s="15">
        <v>1442</v>
      </c>
      <c r="CH34" s="33"/>
      <c r="CI34" s="15"/>
      <c r="CJ34" s="15">
        <f t="shared" si="26"/>
        <v>596.0623691</v>
      </c>
      <c r="CK34" s="15">
        <f t="shared" si="27"/>
        <v>596.0623691</v>
      </c>
      <c r="CL34" s="15">
        <v>280</v>
      </c>
      <c r="CM34" s="33"/>
      <c r="CN34" s="15"/>
      <c r="CO34" s="15">
        <f t="shared" si="28"/>
        <v>2368.3842094</v>
      </c>
      <c r="CP34" s="15">
        <f t="shared" si="29"/>
        <v>2368.3842094</v>
      </c>
      <c r="CQ34" s="15">
        <v>1113</v>
      </c>
      <c r="CR34" s="33"/>
      <c r="CS34" s="15"/>
      <c r="CT34" s="15">
        <f t="shared" si="30"/>
        <v>5776.3721983</v>
      </c>
      <c r="CU34" s="15">
        <f t="shared" si="31"/>
        <v>5776.3721983</v>
      </c>
      <c r="CV34" s="15">
        <v>2715</v>
      </c>
      <c r="CW34" s="33"/>
      <c r="CX34" s="15"/>
      <c r="CY34" s="15">
        <f t="shared" si="32"/>
        <v>12929.0777484</v>
      </c>
      <c r="CZ34" s="15">
        <f t="shared" si="33"/>
        <v>12929.0777484</v>
      </c>
      <c r="DA34" s="15">
        <v>6076</v>
      </c>
      <c r="DB34" s="33"/>
      <c r="DC34" s="15"/>
      <c r="DD34" s="15">
        <f t="shared" si="34"/>
        <v>1956.1016628999998</v>
      </c>
      <c r="DE34" s="15">
        <f t="shared" si="35"/>
        <v>1956.1016628999998</v>
      </c>
      <c r="DF34" s="15">
        <v>919</v>
      </c>
      <c r="DG34" s="33"/>
      <c r="DH34" s="15"/>
      <c r="DI34" s="15">
        <f t="shared" si="36"/>
        <v>5620.5495488999995</v>
      </c>
      <c r="DJ34" s="15">
        <f t="shared" si="37"/>
        <v>5620.5495488999995</v>
      </c>
      <c r="DK34" s="15">
        <v>2642</v>
      </c>
      <c r="DL34" s="33"/>
      <c r="DM34" s="15"/>
      <c r="DN34" s="15">
        <f t="shared" si="38"/>
        <v>216.5823341</v>
      </c>
      <c r="DO34" s="15">
        <f t="shared" si="39"/>
        <v>216.5823341</v>
      </c>
      <c r="DP34" s="15">
        <v>102</v>
      </c>
      <c r="DQ34" s="33"/>
      <c r="DR34" s="15"/>
      <c r="DS34" s="15">
        <f t="shared" si="40"/>
        <v>11856.8429738</v>
      </c>
      <c r="DT34" s="15">
        <f t="shared" si="41"/>
        <v>11856.8429738</v>
      </c>
      <c r="DU34" s="15">
        <v>5572</v>
      </c>
      <c r="DV34" s="33"/>
      <c r="DW34" s="15"/>
      <c r="DX34" s="15">
        <f t="shared" si="42"/>
        <v>1866.6987393999998</v>
      </c>
      <c r="DY34" s="15">
        <f t="shared" si="43"/>
        <v>1866.6987393999998</v>
      </c>
      <c r="DZ34" s="15">
        <v>877</v>
      </c>
      <c r="EA34" s="33"/>
      <c r="EB34" s="15"/>
      <c r="EC34" s="15">
        <f t="shared" si="44"/>
        <v>9606.1618939</v>
      </c>
      <c r="ED34" s="15">
        <f t="shared" si="45"/>
        <v>9606.1618939</v>
      </c>
      <c r="EE34" s="15">
        <v>4515</v>
      </c>
      <c r="EF34" s="33"/>
      <c r="EG34" s="15"/>
      <c r="EH34" s="15">
        <f t="shared" si="46"/>
        <v>2742.4614778</v>
      </c>
      <c r="EI34" s="15">
        <f t="shared" si="47"/>
        <v>2742.4614778</v>
      </c>
      <c r="EJ34" s="15">
        <v>1289</v>
      </c>
      <c r="EK34" s="33"/>
      <c r="EL34" s="15"/>
      <c r="EM34" s="15">
        <f t="shared" si="48"/>
        <v>27.5283822</v>
      </c>
      <c r="EN34" s="15">
        <f t="shared" si="49"/>
        <v>27.5283822</v>
      </c>
      <c r="EO34" s="15">
        <v>13</v>
      </c>
      <c r="EP34" s="33"/>
      <c r="EQ34" s="15"/>
      <c r="ER34" s="15">
        <f t="shared" si="50"/>
        <v>51.1118872</v>
      </c>
      <c r="ES34" s="15">
        <f t="shared" si="51"/>
        <v>51.1118872</v>
      </c>
      <c r="ET34" s="15">
        <v>24</v>
      </c>
      <c r="EU34" s="33"/>
      <c r="EV34" s="15"/>
      <c r="EW34" s="15">
        <f t="shared" si="52"/>
        <v>9239.4169516</v>
      </c>
      <c r="EX34" s="15">
        <f t="shared" si="53"/>
        <v>9239.4169516</v>
      </c>
      <c r="EY34" s="15">
        <v>4342</v>
      </c>
      <c r="EZ34" s="33"/>
      <c r="FA34" s="15"/>
      <c r="FB34" s="15">
        <f t="shared" si="54"/>
        <v>17173.7656156</v>
      </c>
      <c r="FC34" s="15">
        <f t="shared" si="55"/>
        <v>17173.7656156</v>
      </c>
      <c r="FD34" s="15">
        <v>8071</v>
      </c>
      <c r="FE34" s="33"/>
      <c r="FF34" s="22"/>
      <c r="FG34" s="15"/>
      <c r="FH34" s="15"/>
      <c r="FI34" s="15"/>
    </row>
    <row r="35" spans="1:165" s="35" customFormat="1" ht="12.75">
      <c r="A35" s="34">
        <v>44652</v>
      </c>
      <c r="C35" s="22">
        <v>6515000</v>
      </c>
      <c r="D35" s="22">
        <v>428791</v>
      </c>
      <c r="E35" s="16">
        <f t="shared" si="0"/>
        <v>6943791</v>
      </c>
      <c r="F35" s="16">
        <f t="shared" si="56"/>
        <v>201605</v>
      </c>
      <c r="G35" s="16">
        <f t="shared" si="57"/>
        <v>0</v>
      </c>
      <c r="H35" s="33"/>
      <c r="I35" s="22"/>
      <c r="J35" s="22"/>
      <c r="K35" s="16"/>
      <c r="L35" s="16"/>
      <c r="M35" s="16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22">
        <v>6515000</v>
      </c>
      <c r="AB35" s="22">
        <v>428791</v>
      </c>
      <c r="AC35" s="16">
        <f t="shared" si="3"/>
        <v>6943791</v>
      </c>
      <c r="AD35" s="16">
        <f t="shared" si="58"/>
        <v>201605</v>
      </c>
      <c r="AE35" s="33"/>
      <c r="AF35" s="33">
        <v>3536511</v>
      </c>
      <c r="AG35" s="33">
        <v>232759</v>
      </c>
      <c r="AH35" s="33">
        <f t="shared" si="4"/>
        <v>3769270</v>
      </c>
      <c r="AI35" s="33">
        <v>109392</v>
      </c>
      <c r="AJ35" s="33"/>
      <c r="AK35" s="15">
        <f t="shared" si="5"/>
        <v>2978489.2615000005</v>
      </c>
      <c r="AL35" s="22">
        <f t="shared" si="6"/>
        <v>196032.13951309997</v>
      </c>
      <c r="AM35" s="15">
        <f t="shared" si="7"/>
        <v>3174521.4010131005</v>
      </c>
      <c r="AN35" s="15">
        <f t="shared" si="59"/>
        <v>92213</v>
      </c>
      <c r="AO35" s="33"/>
      <c r="AP35" s="15">
        <f t="shared" si="60"/>
        <v>532431.86</v>
      </c>
      <c r="AQ35" s="16">
        <f t="shared" si="8"/>
        <v>35042.515684</v>
      </c>
      <c r="AR35" s="15">
        <f t="shared" si="9"/>
        <v>567474.375684</v>
      </c>
      <c r="AS35" s="15">
        <v>16469</v>
      </c>
      <c r="AU35" s="15">
        <f t="shared" si="61"/>
        <v>388063.369</v>
      </c>
      <c r="AV35" s="15">
        <f t="shared" si="10"/>
        <v>25540.764398599997</v>
      </c>
      <c r="AW35" s="15">
        <f t="shared" si="11"/>
        <v>413604.1333986</v>
      </c>
      <c r="AX35" s="15">
        <v>12004</v>
      </c>
      <c r="AZ35" s="15">
        <f t="shared" si="62"/>
        <v>205746.306</v>
      </c>
      <c r="BA35" s="15">
        <f t="shared" si="12"/>
        <v>13541.391296400001</v>
      </c>
      <c r="BB35" s="15">
        <f t="shared" si="13"/>
        <v>219287.6972964</v>
      </c>
      <c r="BC35" s="15">
        <v>6364</v>
      </c>
      <c r="BE35" s="3">
        <f t="shared" si="63"/>
        <v>149636.52000000002</v>
      </c>
      <c r="BF35" s="3">
        <f t="shared" si="14"/>
        <v>9848.471688000001</v>
      </c>
      <c r="BG35" s="3">
        <f t="shared" si="15"/>
        <v>159484.991688</v>
      </c>
      <c r="BH35" s="3">
        <v>4713</v>
      </c>
      <c r="BI35" s="33"/>
      <c r="BJ35" s="15">
        <f t="shared" si="64"/>
        <v>17140.3135</v>
      </c>
      <c r="BK35" s="15">
        <f t="shared" si="16"/>
        <v>1128.1062419</v>
      </c>
      <c r="BL35" s="15">
        <f t="shared" si="17"/>
        <v>18268.4197419</v>
      </c>
      <c r="BM35" s="15">
        <v>530</v>
      </c>
      <c r="BN35" s="33"/>
      <c r="BO35" s="15">
        <f t="shared" si="65"/>
        <v>271173.1935</v>
      </c>
      <c r="BP35" s="15">
        <f t="shared" si="18"/>
        <v>17847.524913899997</v>
      </c>
      <c r="BQ35" s="15">
        <f t="shared" si="19"/>
        <v>289020.7184139</v>
      </c>
      <c r="BR35" s="15">
        <v>8388</v>
      </c>
      <c r="BS35" s="33"/>
      <c r="BT35" s="15">
        <f t="shared" si="66"/>
        <v>29396.3315</v>
      </c>
      <c r="BU35" s="15">
        <f t="shared" si="20"/>
        <v>1934.7478711</v>
      </c>
      <c r="BV35" s="15">
        <f t="shared" si="21"/>
        <v>31331.0793711</v>
      </c>
      <c r="BW35" s="15">
        <v>909</v>
      </c>
      <c r="BX35" s="33"/>
      <c r="BY35" s="15">
        <f t="shared" si="67"/>
        <v>91957.27050000001</v>
      </c>
      <c r="BZ35" s="15">
        <f t="shared" si="22"/>
        <v>6052.2563277</v>
      </c>
      <c r="CA35" s="15">
        <f t="shared" si="23"/>
        <v>98009.52682770001</v>
      </c>
      <c r="CB35" s="15">
        <v>2844</v>
      </c>
      <c r="CC35" s="33"/>
      <c r="CD35" s="15">
        <f t="shared" si="68"/>
        <v>46633.7185</v>
      </c>
      <c r="CE35" s="15">
        <f t="shared" si="24"/>
        <v>3069.2430989000004</v>
      </c>
      <c r="CF35" s="15">
        <f t="shared" si="25"/>
        <v>49702.9615989</v>
      </c>
      <c r="CG35" s="15">
        <v>1442</v>
      </c>
      <c r="CH35" s="33"/>
      <c r="CI35" s="15">
        <f t="shared" si="69"/>
        <v>9056.5015</v>
      </c>
      <c r="CJ35" s="15">
        <f t="shared" si="26"/>
        <v>596.0623691</v>
      </c>
      <c r="CK35" s="15">
        <f t="shared" si="27"/>
        <v>9652.5638691</v>
      </c>
      <c r="CL35" s="15">
        <v>280</v>
      </c>
      <c r="CM35" s="33"/>
      <c r="CN35" s="15">
        <f t="shared" si="70"/>
        <v>35984.95100000001</v>
      </c>
      <c r="CO35" s="15">
        <f t="shared" si="28"/>
        <v>2368.3842094</v>
      </c>
      <c r="CP35" s="15">
        <f t="shared" si="29"/>
        <v>38353.33520940001</v>
      </c>
      <c r="CQ35" s="15">
        <v>1113</v>
      </c>
      <c r="CR35" s="33"/>
      <c r="CS35" s="15">
        <f t="shared" si="71"/>
        <v>87765.5195</v>
      </c>
      <c r="CT35" s="15">
        <f t="shared" si="30"/>
        <v>5776.3721983</v>
      </c>
      <c r="CU35" s="15">
        <f t="shared" si="31"/>
        <v>93541.8916983</v>
      </c>
      <c r="CV35" s="15">
        <v>2715</v>
      </c>
      <c r="CW35" s="33"/>
      <c r="CX35" s="15">
        <f t="shared" si="72"/>
        <v>196442.88599999997</v>
      </c>
      <c r="CY35" s="15">
        <f t="shared" si="32"/>
        <v>12929.0777484</v>
      </c>
      <c r="CZ35" s="15">
        <f t="shared" si="33"/>
        <v>209371.96374839998</v>
      </c>
      <c r="DA35" s="15">
        <v>6076</v>
      </c>
      <c r="DB35" s="33"/>
      <c r="DC35" s="15">
        <f t="shared" si="73"/>
        <v>29720.7785</v>
      </c>
      <c r="DD35" s="15">
        <f t="shared" si="34"/>
        <v>1956.1016628999998</v>
      </c>
      <c r="DE35" s="15">
        <f t="shared" si="35"/>
        <v>31676.8801629</v>
      </c>
      <c r="DF35" s="15">
        <v>919</v>
      </c>
      <c r="DG35" s="33"/>
      <c r="DH35" s="15">
        <f t="shared" si="74"/>
        <v>85397.9685</v>
      </c>
      <c r="DI35" s="15">
        <f t="shared" si="36"/>
        <v>5620.5495488999995</v>
      </c>
      <c r="DJ35" s="15">
        <f t="shared" si="37"/>
        <v>91018.5180489</v>
      </c>
      <c r="DK35" s="15">
        <v>2642</v>
      </c>
      <c r="DL35" s="33"/>
      <c r="DM35" s="15">
        <f t="shared" si="75"/>
        <v>3290.7265</v>
      </c>
      <c r="DN35" s="15">
        <f t="shared" si="38"/>
        <v>216.5823341</v>
      </c>
      <c r="DO35" s="15">
        <f t="shared" si="39"/>
        <v>3507.3088341000002</v>
      </c>
      <c r="DP35" s="15">
        <v>102</v>
      </c>
      <c r="DQ35" s="33"/>
      <c r="DR35" s="15">
        <f t="shared" si="76"/>
        <v>180151.47699999998</v>
      </c>
      <c r="DS35" s="15">
        <f t="shared" si="40"/>
        <v>11856.8429738</v>
      </c>
      <c r="DT35" s="15">
        <f t="shared" si="41"/>
        <v>192008.31997379998</v>
      </c>
      <c r="DU35" s="15">
        <v>5572</v>
      </c>
      <c r="DV35" s="33"/>
      <c r="DW35" s="15">
        <f t="shared" si="77"/>
        <v>28362.401</v>
      </c>
      <c r="DX35" s="15">
        <f t="shared" si="42"/>
        <v>1866.6987393999998</v>
      </c>
      <c r="DY35" s="15">
        <f t="shared" si="43"/>
        <v>30229.0997394</v>
      </c>
      <c r="DZ35" s="15">
        <v>877</v>
      </c>
      <c r="EA35" s="33"/>
      <c r="EB35" s="15">
        <f t="shared" si="78"/>
        <v>145954.8935</v>
      </c>
      <c r="EC35" s="15">
        <f t="shared" si="44"/>
        <v>9606.1618939</v>
      </c>
      <c r="ED35" s="15">
        <f t="shared" si="45"/>
        <v>155561.0553939</v>
      </c>
      <c r="EE35" s="15">
        <v>4515</v>
      </c>
      <c r="EF35" s="33"/>
      <c r="EG35" s="15">
        <f t="shared" si="79"/>
        <v>41668.637</v>
      </c>
      <c r="EH35" s="15">
        <f t="shared" si="46"/>
        <v>2742.4614778</v>
      </c>
      <c r="EI35" s="15">
        <f t="shared" si="47"/>
        <v>44411.098477800006</v>
      </c>
      <c r="EJ35" s="15">
        <v>1289</v>
      </c>
      <c r="EK35" s="33"/>
      <c r="EL35" s="15">
        <f t="shared" si="80"/>
        <v>418.26300000000003</v>
      </c>
      <c r="EM35" s="15">
        <f t="shared" si="48"/>
        <v>27.5283822</v>
      </c>
      <c r="EN35" s="15">
        <f t="shared" si="49"/>
        <v>445.79138220000004</v>
      </c>
      <c r="EO35" s="15">
        <v>13</v>
      </c>
      <c r="EP35" s="33"/>
      <c r="EQ35" s="15">
        <f t="shared" si="81"/>
        <v>776.5880000000001</v>
      </c>
      <c r="ER35" s="15">
        <f t="shared" si="50"/>
        <v>51.1118872</v>
      </c>
      <c r="ES35" s="15">
        <f t="shared" si="51"/>
        <v>827.6998872</v>
      </c>
      <c r="ET35" s="15">
        <v>24</v>
      </c>
      <c r="EU35" s="33"/>
      <c r="EV35" s="15">
        <f t="shared" si="82"/>
        <v>140382.614</v>
      </c>
      <c r="EW35" s="15">
        <f t="shared" si="52"/>
        <v>9239.4169516</v>
      </c>
      <c r="EX35" s="15">
        <f t="shared" si="53"/>
        <v>149622.0309516</v>
      </c>
      <c r="EY35" s="15">
        <v>4342</v>
      </c>
      <c r="EZ35" s="33"/>
      <c r="FA35" s="15">
        <f t="shared" si="83"/>
        <v>260936.174</v>
      </c>
      <c r="FB35" s="15">
        <f t="shared" si="54"/>
        <v>17173.7656156</v>
      </c>
      <c r="FC35" s="15">
        <f t="shared" si="55"/>
        <v>278109.9396156</v>
      </c>
      <c r="FD35" s="15">
        <v>8071</v>
      </c>
      <c r="FE35" s="33"/>
      <c r="FF35" s="22"/>
      <c r="FG35" s="15"/>
      <c r="FH35" s="15"/>
      <c r="FI35" s="15"/>
    </row>
    <row r="36" spans="1:165" s="35" customFormat="1" ht="12.75">
      <c r="A36" s="34">
        <v>44835</v>
      </c>
      <c r="C36" s="22"/>
      <c r="D36" s="22">
        <v>294419</v>
      </c>
      <c r="E36" s="16">
        <f t="shared" si="0"/>
        <v>294419</v>
      </c>
      <c r="F36" s="16">
        <f t="shared" si="56"/>
        <v>201605</v>
      </c>
      <c r="G36" s="16">
        <f t="shared" si="57"/>
        <v>0</v>
      </c>
      <c r="H36" s="33"/>
      <c r="I36" s="22"/>
      <c r="J36" s="22"/>
      <c r="K36" s="16"/>
      <c r="L36" s="16"/>
      <c r="M36" s="16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22"/>
      <c r="AB36" s="22">
        <v>294419</v>
      </c>
      <c r="AC36" s="16">
        <f t="shared" si="3"/>
        <v>294419</v>
      </c>
      <c r="AD36" s="16">
        <f t="shared" si="58"/>
        <v>201605</v>
      </c>
      <c r="AE36" s="33"/>
      <c r="AF36" s="33"/>
      <c r="AG36" s="33">
        <v>159818</v>
      </c>
      <c r="AH36" s="33">
        <f t="shared" si="4"/>
        <v>159818</v>
      </c>
      <c r="AI36" s="33">
        <v>109392</v>
      </c>
      <c r="AJ36" s="33"/>
      <c r="AK36" s="15">
        <f t="shared" si="5"/>
        <v>0</v>
      </c>
      <c r="AL36" s="22">
        <f t="shared" si="6"/>
        <v>134600.7413479</v>
      </c>
      <c r="AM36" s="15">
        <f t="shared" si="7"/>
        <v>134600.7413479</v>
      </c>
      <c r="AN36" s="15">
        <f t="shared" si="59"/>
        <v>92213</v>
      </c>
      <c r="AO36" s="33"/>
      <c r="AP36" s="15"/>
      <c r="AQ36" s="16">
        <f t="shared" si="8"/>
        <v>24061.098356</v>
      </c>
      <c r="AR36" s="15">
        <f t="shared" si="9"/>
        <v>24061.098356</v>
      </c>
      <c r="AS36" s="15">
        <v>16469</v>
      </c>
      <c r="AU36" s="15"/>
      <c r="AV36" s="15">
        <f t="shared" si="10"/>
        <v>17536.9499674</v>
      </c>
      <c r="AW36" s="15">
        <f t="shared" si="11"/>
        <v>17536.9499674</v>
      </c>
      <c r="AX36" s="15">
        <v>12004</v>
      </c>
      <c r="AZ36" s="15"/>
      <c r="BA36" s="15">
        <f t="shared" si="12"/>
        <v>9297.8697876</v>
      </c>
      <c r="BB36" s="15">
        <f t="shared" si="13"/>
        <v>9297.8697876</v>
      </c>
      <c r="BC36" s="15">
        <v>6364</v>
      </c>
      <c r="BE36" s="3"/>
      <c r="BF36" s="3">
        <f t="shared" si="14"/>
        <v>6762.2155920000005</v>
      </c>
      <c r="BG36" s="3">
        <f t="shared" si="15"/>
        <v>6762.2155920000005</v>
      </c>
      <c r="BH36" s="3">
        <v>4713</v>
      </c>
      <c r="BI36" s="33"/>
      <c r="BJ36" s="15"/>
      <c r="BK36" s="15">
        <f t="shared" si="16"/>
        <v>774.5869471</v>
      </c>
      <c r="BL36" s="15">
        <f t="shared" si="17"/>
        <v>774.5869471</v>
      </c>
      <c r="BM36" s="15">
        <v>530</v>
      </c>
      <c r="BN36" s="33"/>
      <c r="BO36" s="15"/>
      <c r="BP36" s="15">
        <f t="shared" si="18"/>
        <v>12254.572595099999</v>
      </c>
      <c r="BQ36" s="15">
        <f t="shared" si="19"/>
        <v>12254.572595099999</v>
      </c>
      <c r="BR36" s="15">
        <v>8388</v>
      </c>
      <c r="BS36" s="33"/>
      <c r="BT36" s="15"/>
      <c r="BU36" s="15">
        <f t="shared" si="20"/>
        <v>1328.4479699</v>
      </c>
      <c r="BV36" s="15">
        <f t="shared" si="21"/>
        <v>1328.4479699</v>
      </c>
      <c r="BW36" s="15">
        <v>909</v>
      </c>
      <c r="BX36" s="33"/>
      <c r="BY36" s="15"/>
      <c r="BZ36" s="15">
        <f t="shared" si="22"/>
        <v>4155.6358593</v>
      </c>
      <c r="CA36" s="15">
        <f t="shared" si="23"/>
        <v>4155.6358593</v>
      </c>
      <c r="CB36" s="15">
        <v>2844</v>
      </c>
      <c r="CC36" s="33"/>
      <c r="CD36" s="15"/>
      <c r="CE36" s="15">
        <f t="shared" si="24"/>
        <v>2107.4217601</v>
      </c>
      <c r="CF36" s="15">
        <f t="shared" si="25"/>
        <v>2107.4217601</v>
      </c>
      <c r="CG36" s="15">
        <v>1442</v>
      </c>
      <c r="CH36" s="33"/>
      <c r="CI36" s="15"/>
      <c r="CJ36" s="15">
        <f t="shared" si="26"/>
        <v>409.27185189999994</v>
      </c>
      <c r="CK36" s="15">
        <f t="shared" si="27"/>
        <v>409.27185189999994</v>
      </c>
      <c r="CL36" s="15">
        <v>280</v>
      </c>
      <c r="CM36" s="33"/>
      <c r="CN36" s="15"/>
      <c r="CO36" s="15">
        <f t="shared" si="28"/>
        <v>1626.1939046000002</v>
      </c>
      <c r="CP36" s="15">
        <f t="shared" si="29"/>
        <v>1626.1939046000002</v>
      </c>
      <c r="CQ36" s="15">
        <v>1113</v>
      </c>
      <c r="CR36" s="33"/>
      <c r="CS36" s="15"/>
      <c r="CT36" s="15">
        <f t="shared" si="30"/>
        <v>3966.2066747</v>
      </c>
      <c r="CU36" s="15">
        <f t="shared" si="31"/>
        <v>3966.2066747</v>
      </c>
      <c r="CV36" s="15">
        <v>2715</v>
      </c>
      <c r="CW36" s="33"/>
      <c r="CX36" s="15"/>
      <c r="CY36" s="15">
        <f t="shared" si="32"/>
        <v>8877.4394556</v>
      </c>
      <c r="CZ36" s="15">
        <f t="shared" si="33"/>
        <v>8877.4394556</v>
      </c>
      <c r="DA36" s="15">
        <v>6076</v>
      </c>
      <c r="DB36" s="33"/>
      <c r="DC36" s="15"/>
      <c r="DD36" s="15">
        <f t="shared" si="34"/>
        <v>1343.1100361</v>
      </c>
      <c r="DE36" s="15">
        <f t="shared" si="35"/>
        <v>1343.1100361</v>
      </c>
      <c r="DF36" s="15">
        <v>919</v>
      </c>
      <c r="DG36" s="33"/>
      <c r="DH36" s="15"/>
      <c r="DI36" s="15">
        <f t="shared" si="36"/>
        <v>3859.2148101</v>
      </c>
      <c r="DJ36" s="15">
        <f t="shared" si="37"/>
        <v>3859.2148101</v>
      </c>
      <c r="DK36" s="15">
        <v>2642</v>
      </c>
      <c r="DL36" s="33"/>
      <c r="DM36" s="15"/>
      <c r="DN36" s="15">
        <f t="shared" si="38"/>
        <v>148.7110369</v>
      </c>
      <c r="DO36" s="15">
        <f t="shared" si="39"/>
        <v>148.7110369</v>
      </c>
      <c r="DP36" s="15">
        <v>102</v>
      </c>
      <c r="DQ36" s="33"/>
      <c r="DR36" s="15"/>
      <c r="DS36" s="15">
        <f t="shared" si="40"/>
        <v>8141.2153042</v>
      </c>
      <c r="DT36" s="15">
        <f t="shared" si="41"/>
        <v>8141.2153042</v>
      </c>
      <c r="DU36" s="15">
        <v>5572</v>
      </c>
      <c r="DV36" s="33"/>
      <c r="DW36" s="15"/>
      <c r="DX36" s="15">
        <f t="shared" si="42"/>
        <v>1281.7236746</v>
      </c>
      <c r="DY36" s="15">
        <f t="shared" si="43"/>
        <v>1281.7236746</v>
      </c>
      <c r="DZ36" s="15">
        <v>877</v>
      </c>
      <c r="EA36" s="33"/>
      <c r="EB36" s="15"/>
      <c r="EC36" s="15">
        <f t="shared" si="44"/>
        <v>6595.839415099999</v>
      </c>
      <c r="ED36" s="15">
        <f t="shared" si="45"/>
        <v>6595.839415099999</v>
      </c>
      <c r="EE36" s="15">
        <v>4515</v>
      </c>
      <c r="EF36" s="33"/>
      <c r="EG36" s="15"/>
      <c r="EH36" s="15">
        <f t="shared" si="46"/>
        <v>1883.0450402000001</v>
      </c>
      <c r="EI36" s="15">
        <f t="shared" si="47"/>
        <v>1883.0450402000001</v>
      </c>
      <c r="EJ36" s="15">
        <v>1289</v>
      </c>
      <c r="EK36" s="33"/>
      <c r="EL36" s="15"/>
      <c r="EM36" s="15">
        <f t="shared" si="48"/>
        <v>18.901699800000003</v>
      </c>
      <c r="EN36" s="15">
        <f t="shared" si="49"/>
        <v>18.901699800000003</v>
      </c>
      <c r="EO36" s="15">
        <v>13</v>
      </c>
      <c r="EP36" s="33"/>
      <c r="EQ36" s="15"/>
      <c r="ER36" s="15">
        <f t="shared" si="50"/>
        <v>35.0947448</v>
      </c>
      <c r="ES36" s="15">
        <f t="shared" si="51"/>
        <v>35.0947448</v>
      </c>
      <c r="ET36" s="15">
        <v>24</v>
      </c>
      <c r="EU36" s="33"/>
      <c r="EV36" s="15"/>
      <c r="EW36" s="15">
        <f t="shared" si="52"/>
        <v>6344.0228443999995</v>
      </c>
      <c r="EX36" s="15">
        <f t="shared" si="53"/>
        <v>6344.0228443999995</v>
      </c>
      <c r="EY36" s="15">
        <v>4342</v>
      </c>
      <c r="EZ36" s="33"/>
      <c r="FA36" s="15"/>
      <c r="FB36" s="15">
        <f t="shared" si="54"/>
        <v>11791.952020400002</v>
      </c>
      <c r="FC36" s="15">
        <f t="shared" si="55"/>
        <v>11791.952020400002</v>
      </c>
      <c r="FD36" s="15">
        <v>8071</v>
      </c>
      <c r="FE36" s="33"/>
      <c r="FF36" s="22"/>
      <c r="FG36" s="15"/>
      <c r="FH36" s="15"/>
      <c r="FI36" s="15"/>
    </row>
    <row r="37" spans="1:165" s="35" customFormat="1" ht="12.75">
      <c r="A37" s="34">
        <v>45017</v>
      </c>
      <c r="C37" s="22">
        <v>6785000</v>
      </c>
      <c r="D37" s="22">
        <v>294419</v>
      </c>
      <c r="E37" s="16">
        <f t="shared" si="0"/>
        <v>7079419</v>
      </c>
      <c r="F37" s="16">
        <f t="shared" si="56"/>
        <v>201605</v>
      </c>
      <c r="G37" s="16">
        <f t="shared" si="57"/>
        <v>0</v>
      </c>
      <c r="H37" s="33"/>
      <c r="I37" s="22"/>
      <c r="J37" s="22"/>
      <c r="K37" s="16"/>
      <c r="L37" s="16"/>
      <c r="M37" s="16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22">
        <v>6785000</v>
      </c>
      <c r="AB37" s="22">
        <v>294419</v>
      </c>
      <c r="AC37" s="16">
        <f t="shared" si="3"/>
        <v>7079419</v>
      </c>
      <c r="AD37" s="16">
        <f t="shared" si="58"/>
        <v>201605</v>
      </c>
      <c r="AE37" s="33"/>
      <c r="AF37" s="33">
        <v>3683074</v>
      </c>
      <c r="AG37" s="33">
        <v>159818</v>
      </c>
      <c r="AH37" s="33">
        <f t="shared" si="4"/>
        <v>3842892</v>
      </c>
      <c r="AI37" s="33">
        <v>109392</v>
      </c>
      <c r="AJ37" s="33"/>
      <c r="AK37" s="15">
        <f t="shared" si="5"/>
        <v>3101926.2685000007</v>
      </c>
      <c r="AL37" s="22">
        <f t="shared" si="6"/>
        <v>134600.7413479</v>
      </c>
      <c r="AM37" s="15">
        <f t="shared" si="7"/>
        <v>3236527.009847901</v>
      </c>
      <c r="AN37" s="15">
        <f t="shared" si="59"/>
        <v>92213</v>
      </c>
      <c r="AO37" s="33"/>
      <c r="AP37" s="15">
        <f t="shared" si="60"/>
        <v>554497.34</v>
      </c>
      <c r="AQ37" s="16">
        <f t="shared" si="8"/>
        <v>24061.098356</v>
      </c>
      <c r="AR37" s="15">
        <f t="shared" si="9"/>
        <v>578558.438356</v>
      </c>
      <c r="AS37" s="15">
        <v>16469</v>
      </c>
      <c r="AU37" s="15">
        <f t="shared" si="61"/>
        <v>404145.811</v>
      </c>
      <c r="AV37" s="15">
        <f t="shared" si="10"/>
        <v>17536.9499674</v>
      </c>
      <c r="AW37" s="15">
        <f t="shared" si="11"/>
        <v>421682.7609674</v>
      </c>
      <c r="AX37" s="15">
        <v>12004</v>
      </c>
      <c r="AZ37" s="15">
        <f t="shared" si="62"/>
        <v>214273.01400000002</v>
      </c>
      <c r="BA37" s="15">
        <f t="shared" si="12"/>
        <v>9297.8697876</v>
      </c>
      <c r="BB37" s="15">
        <f t="shared" si="13"/>
        <v>223570.88378760003</v>
      </c>
      <c r="BC37" s="15">
        <v>6364</v>
      </c>
      <c r="BE37" s="3">
        <f t="shared" si="63"/>
        <v>155837.88</v>
      </c>
      <c r="BF37" s="3">
        <f t="shared" si="14"/>
        <v>6762.2155920000005</v>
      </c>
      <c r="BG37" s="3">
        <f t="shared" si="15"/>
        <v>162600.095592</v>
      </c>
      <c r="BH37" s="3">
        <v>4713</v>
      </c>
      <c r="BI37" s="33"/>
      <c r="BJ37" s="15">
        <f t="shared" si="64"/>
        <v>17850.656499999997</v>
      </c>
      <c r="BK37" s="15">
        <f t="shared" si="16"/>
        <v>774.5869471</v>
      </c>
      <c r="BL37" s="15">
        <f t="shared" si="17"/>
        <v>18625.243447099998</v>
      </c>
      <c r="BM37" s="15">
        <v>530</v>
      </c>
      <c r="BN37" s="33"/>
      <c r="BO37" s="15">
        <f t="shared" si="65"/>
        <v>282411.3765</v>
      </c>
      <c r="BP37" s="15">
        <f t="shared" si="18"/>
        <v>12254.572595099999</v>
      </c>
      <c r="BQ37" s="15">
        <f t="shared" si="19"/>
        <v>294665.9490951</v>
      </c>
      <c r="BR37" s="15">
        <v>8388</v>
      </c>
      <c r="BS37" s="33"/>
      <c r="BT37" s="15">
        <f t="shared" si="66"/>
        <v>30614.5985</v>
      </c>
      <c r="BU37" s="15">
        <f t="shared" si="20"/>
        <v>1328.4479699</v>
      </c>
      <c r="BV37" s="15">
        <f t="shared" si="21"/>
        <v>31943.0464699</v>
      </c>
      <c r="BW37" s="15">
        <v>909</v>
      </c>
      <c r="BX37" s="33"/>
      <c r="BY37" s="15">
        <f t="shared" si="67"/>
        <v>95768.2395</v>
      </c>
      <c r="BZ37" s="15">
        <f t="shared" si="22"/>
        <v>4155.6358593</v>
      </c>
      <c r="CA37" s="15">
        <f t="shared" si="23"/>
        <v>99923.8753593</v>
      </c>
      <c r="CB37" s="15">
        <v>2844</v>
      </c>
      <c r="CC37" s="33"/>
      <c r="CD37" s="15">
        <f t="shared" si="68"/>
        <v>48566.351500000004</v>
      </c>
      <c r="CE37" s="15">
        <f t="shared" si="24"/>
        <v>2107.4217601</v>
      </c>
      <c r="CF37" s="15">
        <f t="shared" si="25"/>
        <v>50673.7732601</v>
      </c>
      <c r="CG37" s="15">
        <v>1442</v>
      </c>
      <c r="CH37" s="33"/>
      <c r="CI37" s="15">
        <f t="shared" si="69"/>
        <v>9431.8285</v>
      </c>
      <c r="CJ37" s="15">
        <f t="shared" si="26"/>
        <v>409.27185189999994</v>
      </c>
      <c r="CK37" s="15">
        <f t="shared" si="27"/>
        <v>9841.100351899999</v>
      </c>
      <c r="CL37" s="15">
        <v>280</v>
      </c>
      <c r="CM37" s="33"/>
      <c r="CN37" s="15">
        <f t="shared" si="70"/>
        <v>37476.269</v>
      </c>
      <c r="CO37" s="15">
        <f t="shared" si="28"/>
        <v>1626.1939046000002</v>
      </c>
      <c r="CP37" s="15">
        <f t="shared" si="29"/>
        <v>39102.4629046</v>
      </c>
      <c r="CQ37" s="15">
        <v>1113</v>
      </c>
      <c r="CR37" s="33"/>
      <c r="CS37" s="15">
        <f t="shared" si="71"/>
        <v>91402.77049999998</v>
      </c>
      <c r="CT37" s="15">
        <f t="shared" si="30"/>
        <v>3966.2066747</v>
      </c>
      <c r="CU37" s="15">
        <f t="shared" si="31"/>
        <v>95368.97717469999</v>
      </c>
      <c r="CV37" s="15">
        <v>2715</v>
      </c>
      <c r="CW37" s="33"/>
      <c r="CX37" s="15">
        <f t="shared" si="72"/>
        <v>204584.03399999999</v>
      </c>
      <c r="CY37" s="15">
        <f t="shared" si="32"/>
        <v>8877.4394556</v>
      </c>
      <c r="CZ37" s="15">
        <f t="shared" si="33"/>
        <v>213461.47345559997</v>
      </c>
      <c r="DA37" s="15">
        <v>6076</v>
      </c>
      <c r="DB37" s="33"/>
      <c r="DC37" s="15">
        <f t="shared" si="73"/>
        <v>30952.4915</v>
      </c>
      <c r="DD37" s="15">
        <f t="shared" si="34"/>
        <v>1343.1100361</v>
      </c>
      <c r="DE37" s="15">
        <f t="shared" si="35"/>
        <v>32295.6015361</v>
      </c>
      <c r="DF37" s="15">
        <v>919</v>
      </c>
      <c r="DG37" s="33"/>
      <c r="DH37" s="15">
        <f t="shared" si="74"/>
        <v>88937.10149999999</v>
      </c>
      <c r="DI37" s="15">
        <f t="shared" si="36"/>
        <v>3859.2148101</v>
      </c>
      <c r="DJ37" s="15">
        <f t="shared" si="37"/>
        <v>92796.3163101</v>
      </c>
      <c r="DK37" s="15">
        <v>2642</v>
      </c>
      <c r="DL37" s="33"/>
      <c r="DM37" s="15">
        <f t="shared" si="75"/>
        <v>3427.1034999999997</v>
      </c>
      <c r="DN37" s="15">
        <f t="shared" si="38"/>
        <v>148.7110369</v>
      </c>
      <c r="DO37" s="15">
        <f t="shared" si="39"/>
        <v>3575.8145369</v>
      </c>
      <c r="DP37" s="15">
        <v>102</v>
      </c>
      <c r="DQ37" s="33"/>
      <c r="DR37" s="15">
        <f t="shared" si="76"/>
        <v>187617.46300000002</v>
      </c>
      <c r="DS37" s="15">
        <f t="shared" si="40"/>
        <v>8141.2153042</v>
      </c>
      <c r="DT37" s="15">
        <f t="shared" si="41"/>
        <v>195758.67830420003</v>
      </c>
      <c r="DU37" s="15">
        <v>5572</v>
      </c>
      <c r="DV37" s="33"/>
      <c r="DW37" s="15">
        <f t="shared" si="77"/>
        <v>29537.819</v>
      </c>
      <c r="DX37" s="15">
        <f t="shared" si="42"/>
        <v>1281.7236746</v>
      </c>
      <c r="DY37" s="15">
        <f t="shared" si="43"/>
        <v>30819.5426746</v>
      </c>
      <c r="DZ37" s="15">
        <v>877</v>
      </c>
      <c r="EA37" s="33"/>
      <c r="EB37" s="15">
        <f t="shared" si="78"/>
        <v>152003.67649999997</v>
      </c>
      <c r="EC37" s="15">
        <f t="shared" si="44"/>
        <v>6595.839415099999</v>
      </c>
      <c r="ED37" s="15">
        <f t="shared" si="45"/>
        <v>158599.51591509997</v>
      </c>
      <c r="EE37" s="15">
        <v>4515</v>
      </c>
      <c r="EF37" s="33"/>
      <c r="EG37" s="15">
        <f t="shared" si="79"/>
        <v>43395.503</v>
      </c>
      <c r="EH37" s="15">
        <f t="shared" si="46"/>
        <v>1883.0450402000001</v>
      </c>
      <c r="EI37" s="15">
        <f t="shared" si="47"/>
        <v>45278.548040199996</v>
      </c>
      <c r="EJ37" s="15">
        <v>1289</v>
      </c>
      <c r="EK37" s="33"/>
      <c r="EL37" s="15">
        <f t="shared" si="80"/>
        <v>435.59700000000004</v>
      </c>
      <c r="EM37" s="15">
        <f t="shared" si="48"/>
        <v>18.901699800000003</v>
      </c>
      <c r="EN37" s="15">
        <f t="shared" si="49"/>
        <v>454.49869980000005</v>
      </c>
      <c r="EO37" s="15">
        <v>13</v>
      </c>
      <c r="EP37" s="33"/>
      <c r="EQ37" s="15">
        <f t="shared" si="81"/>
        <v>808.7719999999999</v>
      </c>
      <c r="ER37" s="15">
        <f t="shared" si="50"/>
        <v>35.0947448</v>
      </c>
      <c r="ES37" s="15">
        <f t="shared" si="51"/>
        <v>843.8667447999999</v>
      </c>
      <c r="ET37" s="15">
        <v>24</v>
      </c>
      <c r="EU37" s="33"/>
      <c r="EV37" s="15">
        <f t="shared" si="82"/>
        <v>146200.466</v>
      </c>
      <c r="EW37" s="15">
        <f t="shared" si="52"/>
        <v>6344.0228443999995</v>
      </c>
      <c r="EX37" s="15">
        <f t="shared" si="53"/>
        <v>152544.48884439998</v>
      </c>
      <c r="EY37" s="15">
        <v>4342</v>
      </c>
      <c r="EZ37" s="33"/>
      <c r="FA37" s="15">
        <f t="shared" si="83"/>
        <v>271750.106</v>
      </c>
      <c r="FB37" s="15">
        <f t="shared" si="54"/>
        <v>11791.952020400002</v>
      </c>
      <c r="FC37" s="15">
        <f t="shared" si="55"/>
        <v>283542.05802040006</v>
      </c>
      <c r="FD37" s="15">
        <v>8071</v>
      </c>
      <c r="FE37" s="33"/>
      <c r="FF37" s="22"/>
      <c r="FG37" s="15"/>
      <c r="FH37" s="15"/>
      <c r="FI37" s="15"/>
    </row>
    <row r="38" spans="1:165" s="35" customFormat="1" ht="12.75">
      <c r="A38" s="34">
        <v>45200</v>
      </c>
      <c r="C38" s="22"/>
      <c r="D38" s="22">
        <v>150238</v>
      </c>
      <c r="E38" s="16">
        <f t="shared" si="0"/>
        <v>150238</v>
      </c>
      <c r="F38" s="16">
        <f t="shared" si="56"/>
        <v>201607</v>
      </c>
      <c r="G38" s="16">
        <f t="shared" si="57"/>
        <v>0</v>
      </c>
      <c r="H38" s="33"/>
      <c r="I38" s="22"/>
      <c r="J38" s="22"/>
      <c r="K38" s="16"/>
      <c r="L38" s="16"/>
      <c r="M38" s="16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22"/>
      <c r="AB38" s="22">
        <v>150238</v>
      </c>
      <c r="AC38" s="16">
        <f t="shared" si="3"/>
        <v>150238</v>
      </c>
      <c r="AD38" s="16">
        <f t="shared" si="58"/>
        <v>201607</v>
      </c>
      <c r="AE38" s="33"/>
      <c r="AF38" s="33"/>
      <c r="AG38" s="33">
        <v>81553</v>
      </c>
      <c r="AH38" s="33">
        <f t="shared" si="4"/>
        <v>81553</v>
      </c>
      <c r="AI38" s="33">
        <v>109394</v>
      </c>
      <c r="AJ38" s="33"/>
      <c r="AK38" s="15">
        <f t="shared" si="5"/>
        <v>0</v>
      </c>
      <c r="AL38" s="22">
        <f t="shared" si="6"/>
        <v>68684.92243579999</v>
      </c>
      <c r="AM38" s="15">
        <f t="shared" si="7"/>
        <v>68684.92243579999</v>
      </c>
      <c r="AN38" s="15">
        <f t="shared" si="59"/>
        <v>92213</v>
      </c>
      <c r="AO38" s="33"/>
      <c r="AP38" s="15"/>
      <c r="AQ38" s="16">
        <f t="shared" si="8"/>
        <v>12278.050312</v>
      </c>
      <c r="AR38" s="15">
        <f t="shared" si="9"/>
        <v>12278.050312</v>
      </c>
      <c r="AS38" s="15">
        <v>16469</v>
      </c>
      <c r="AU38" s="15"/>
      <c r="AV38" s="15">
        <f t="shared" si="10"/>
        <v>8948.8663748</v>
      </c>
      <c r="AW38" s="15">
        <f t="shared" si="11"/>
        <v>8948.8663748</v>
      </c>
      <c r="AX38" s="15">
        <v>12004</v>
      </c>
      <c r="AZ38" s="15"/>
      <c r="BA38" s="15">
        <f t="shared" si="12"/>
        <v>4744.5761352</v>
      </c>
      <c r="BB38" s="15">
        <f t="shared" si="13"/>
        <v>4744.5761352</v>
      </c>
      <c r="BC38" s="15">
        <v>6364</v>
      </c>
      <c r="BE38" s="3"/>
      <c r="BF38" s="3">
        <f t="shared" si="14"/>
        <v>3450.6663840000006</v>
      </c>
      <c r="BG38" s="3">
        <f t="shared" si="15"/>
        <v>3450.6663840000006</v>
      </c>
      <c r="BH38" s="3">
        <v>4713</v>
      </c>
      <c r="BI38" s="33"/>
      <c r="BJ38" s="15"/>
      <c r="BK38" s="15">
        <f t="shared" si="16"/>
        <v>395.2611542</v>
      </c>
      <c r="BL38" s="15">
        <f t="shared" si="17"/>
        <v>395.2611542</v>
      </c>
      <c r="BM38" s="15">
        <v>530</v>
      </c>
      <c r="BN38" s="33"/>
      <c r="BO38" s="15"/>
      <c r="BP38" s="15">
        <f t="shared" si="18"/>
        <v>6253.341250199999</v>
      </c>
      <c r="BQ38" s="15">
        <f t="shared" si="19"/>
        <v>6253.341250199999</v>
      </c>
      <c r="BR38" s="15">
        <v>8388</v>
      </c>
      <c r="BS38" s="33"/>
      <c r="BT38" s="15"/>
      <c r="BU38" s="15">
        <f t="shared" si="20"/>
        <v>677.8888798</v>
      </c>
      <c r="BV38" s="15">
        <f t="shared" si="21"/>
        <v>677.8888798</v>
      </c>
      <c r="BW38" s="15">
        <v>909</v>
      </c>
      <c r="BX38" s="33"/>
      <c r="BY38" s="15"/>
      <c r="BZ38" s="15">
        <f t="shared" si="22"/>
        <v>2120.5642986000003</v>
      </c>
      <c r="CA38" s="15">
        <f t="shared" si="23"/>
        <v>2120.5642986000003</v>
      </c>
      <c r="CB38" s="15">
        <v>2844</v>
      </c>
      <c r="CC38" s="33"/>
      <c r="CD38" s="15"/>
      <c r="CE38" s="15">
        <f t="shared" si="24"/>
        <v>1075.3885802</v>
      </c>
      <c r="CF38" s="15">
        <f t="shared" si="25"/>
        <v>1075.3885802</v>
      </c>
      <c r="CG38" s="15">
        <v>1442</v>
      </c>
      <c r="CH38" s="33"/>
      <c r="CI38" s="15"/>
      <c r="CJ38" s="15">
        <f t="shared" si="26"/>
        <v>208.8458438</v>
      </c>
      <c r="CK38" s="15">
        <f t="shared" si="27"/>
        <v>208.8458438</v>
      </c>
      <c r="CL38" s="15">
        <v>280</v>
      </c>
      <c r="CM38" s="33"/>
      <c r="CN38" s="15"/>
      <c r="CO38" s="15">
        <f t="shared" si="28"/>
        <v>829.8245692000002</v>
      </c>
      <c r="CP38" s="15">
        <f t="shared" si="29"/>
        <v>829.8245692000002</v>
      </c>
      <c r="CQ38" s="15">
        <v>1113</v>
      </c>
      <c r="CR38" s="33"/>
      <c r="CS38" s="15"/>
      <c r="CT38" s="15">
        <f t="shared" si="30"/>
        <v>2023.9011693999998</v>
      </c>
      <c r="CU38" s="15">
        <f t="shared" si="31"/>
        <v>2023.9011693999998</v>
      </c>
      <c r="CV38" s="15">
        <v>2715</v>
      </c>
      <c r="CW38" s="33"/>
      <c r="CX38" s="15"/>
      <c r="CY38" s="15">
        <f t="shared" si="32"/>
        <v>4530.0362712</v>
      </c>
      <c r="CZ38" s="15">
        <f t="shared" si="33"/>
        <v>4530.0362712</v>
      </c>
      <c r="DA38" s="15">
        <v>6076</v>
      </c>
      <c r="DB38" s="33"/>
      <c r="DC38" s="15"/>
      <c r="DD38" s="15">
        <f t="shared" si="34"/>
        <v>685.3707321999999</v>
      </c>
      <c r="DE38" s="15">
        <f t="shared" si="35"/>
        <v>685.3707321999999</v>
      </c>
      <c r="DF38" s="15">
        <v>919</v>
      </c>
      <c r="DG38" s="33"/>
      <c r="DH38" s="15"/>
      <c r="DI38" s="15">
        <f t="shared" si="36"/>
        <v>1969.3046801999997</v>
      </c>
      <c r="DJ38" s="15">
        <f t="shared" si="37"/>
        <v>1969.3046801999997</v>
      </c>
      <c r="DK38" s="15">
        <v>2642</v>
      </c>
      <c r="DL38" s="33"/>
      <c r="DM38" s="15"/>
      <c r="DN38" s="15">
        <f t="shared" si="38"/>
        <v>75.8852138</v>
      </c>
      <c r="DO38" s="15">
        <f t="shared" si="39"/>
        <v>75.8852138</v>
      </c>
      <c r="DP38" s="15">
        <v>102</v>
      </c>
      <c r="DQ38" s="33"/>
      <c r="DR38" s="15"/>
      <c r="DS38" s="15">
        <f t="shared" si="40"/>
        <v>4154.351128400001</v>
      </c>
      <c r="DT38" s="15">
        <f t="shared" si="41"/>
        <v>4154.351128400001</v>
      </c>
      <c r="DU38" s="15">
        <v>5572</v>
      </c>
      <c r="DV38" s="33"/>
      <c r="DW38" s="15"/>
      <c r="DX38" s="15">
        <f t="shared" si="42"/>
        <v>654.0461092</v>
      </c>
      <c r="DY38" s="15">
        <f t="shared" si="43"/>
        <v>654.0461092</v>
      </c>
      <c r="DZ38" s="15">
        <v>877</v>
      </c>
      <c r="EA38" s="33"/>
      <c r="EB38" s="15"/>
      <c r="EC38" s="15">
        <f t="shared" si="44"/>
        <v>3365.7668902</v>
      </c>
      <c r="ED38" s="15">
        <f t="shared" si="45"/>
        <v>3365.7668902</v>
      </c>
      <c r="EE38" s="15">
        <v>4515</v>
      </c>
      <c r="EF38" s="33"/>
      <c r="EG38" s="15"/>
      <c r="EH38" s="15">
        <f t="shared" si="46"/>
        <v>960.8922004</v>
      </c>
      <c r="EI38" s="15">
        <f t="shared" si="47"/>
        <v>960.8922004</v>
      </c>
      <c r="EJ38" s="15">
        <v>1289</v>
      </c>
      <c r="EK38" s="33"/>
      <c r="EL38" s="15"/>
      <c r="EM38" s="15">
        <f t="shared" si="48"/>
        <v>9.6452796</v>
      </c>
      <c r="EN38" s="15">
        <f t="shared" si="49"/>
        <v>9.6452796</v>
      </c>
      <c r="EO38" s="15">
        <v>13</v>
      </c>
      <c r="EP38" s="33"/>
      <c r="EQ38" s="15"/>
      <c r="ER38" s="15">
        <f t="shared" si="50"/>
        <v>17.9083696</v>
      </c>
      <c r="ES38" s="15">
        <f t="shared" si="51"/>
        <v>17.9083696</v>
      </c>
      <c r="ET38" s="15">
        <v>24</v>
      </c>
      <c r="EU38" s="33"/>
      <c r="EV38" s="15"/>
      <c r="EW38" s="15">
        <f t="shared" si="52"/>
        <v>3237.2683288</v>
      </c>
      <c r="EX38" s="15">
        <f t="shared" si="53"/>
        <v>3237.2683288</v>
      </c>
      <c r="EY38" s="15">
        <v>4342</v>
      </c>
      <c r="EZ38" s="33"/>
      <c r="FA38" s="15"/>
      <c r="FB38" s="15">
        <f t="shared" si="54"/>
        <v>6017.2722808</v>
      </c>
      <c r="FC38" s="15">
        <f t="shared" si="55"/>
        <v>6017.2722808</v>
      </c>
      <c r="FD38" s="15">
        <v>8071</v>
      </c>
      <c r="FE38" s="33"/>
      <c r="FF38" s="22"/>
      <c r="FG38" s="15"/>
      <c r="FH38" s="15"/>
      <c r="FI38" s="15"/>
    </row>
    <row r="39" spans="1:165" s="35" customFormat="1" ht="12.75">
      <c r="A39" s="34">
        <v>45383</v>
      </c>
      <c r="C39" s="22">
        <v>7070000</v>
      </c>
      <c r="D39" s="22">
        <v>150238</v>
      </c>
      <c r="E39" s="16">
        <f t="shared" si="0"/>
        <v>7220238</v>
      </c>
      <c r="F39" s="16">
        <f t="shared" si="56"/>
        <v>201648</v>
      </c>
      <c r="G39" s="16">
        <f t="shared" si="57"/>
        <v>0</v>
      </c>
      <c r="H39" s="33"/>
      <c r="I39" s="22"/>
      <c r="J39" s="22"/>
      <c r="K39" s="16"/>
      <c r="L39" s="16"/>
      <c r="M39" s="16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2">
        <v>7070000</v>
      </c>
      <c r="AB39" s="22">
        <v>150238</v>
      </c>
      <c r="AC39" s="16">
        <f t="shared" si="3"/>
        <v>7220238</v>
      </c>
      <c r="AD39" s="16">
        <f t="shared" si="58"/>
        <v>201648</v>
      </c>
      <c r="AE39" s="33"/>
      <c r="AF39" s="33">
        <v>3837779</v>
      </c>
      <c r="AG39" s="33">
        <v>81553</v>
      </c>
      <c r="AH39" s="33">
        <f t="shared" si="4"/>
        <v>3919332</v>
      </c>
      <c r="AI39" s="33">
        <v>109362</v>
      </c>
      <c r="AJ39" s="33"/>
      <c r="AK39" s="15">
        <f t="shared" si="5"/>
        <v>3232220.887</v>
      </c>
      <c r="AL39" s="22">
        <f t="shared" si="6"/>
        <v>68684.92243579999</v>
      </c>
      <c r="AM39" s="15">
        <f t="shared" si="7"/>
        <v>3300905.8094358</v>
      </c>
      <c r="AN39" s="15">
        <f t="shared" si="59"/>
        <v>92286</v>
      </c>
      <c r="AO39" s="33"/>
      <c r="AP39" s="15">
        <f t="shared" si="60"/>
        <v>577788.68</v>
      </c>
      <c r="AQ39" s="16">
        <f t="shared" si="8"/>
        <v>12278.050312</v>
      </c>
      <c r="AR39" s="15">
        <f t="shared" si="9"/>
        <v>590066.730312</v>
      </c>
      <c r="AS39" s="15">
        <v>16474</v>
      </c>
      <c r="AU39" s="15">
        <f t="shared" si="61"/>
        <v>421121.72199999995</v>
      </c>
      <c r="AV39" s="15">
        <f t="shared" si="10"/>
        <v>8948.8663748</v>
      </c>
      <c r="AW39" s="15">
        <f t="shared" si="11"/>
        <v>430070.58837479993</v>
      </c>
      <c r="AX39" s="15">
        <v>11990</v>
      </c>
      <c r="AZ39" s="15">
        <f t="shared" si="62"/>
        <v>223273.428</v>
      </c>
      <c r="BA39" s="15">
        <f t="shared" si="12"/>
        <v>4744.5761352</v>
      </c>
      <c r="BB39" s="15">
        <f t="shared" si="13"/>
        <v>228018.00413520003</v>
      </c>
      <c r="BC39" s="15">
        <v>6368</v>
      </c>
      <c r="BE39" s="3">
        <f t="shared" si="63"/>
        <v>162383.76</v>
      </c>
      <c r="BF39" s="3">
        <f t="shared" si="14"/>
        <v>3450.6663840000006</v>
      </c>
      <c r="BG39" s="3">
        <f t="shared" si="15"/>
        <v>165834.42638400002</v>
      </c>
      <c r="BH39" s="3">
        <v>4725</v>
      </c>
      <c r="BI39" s="33"/>
      <c r="BJ39" s="15">
        <f t="shared" si="64"/>
        <v>18600.463</v>
      </c>
      <c r="BK39" s="15">
        <f t="shared" si="16"/>
        <v>395.2611542</v>
      </c>
      <c r="BL39" s="15">
        <f t="shared" si="17"/>
        <v>18995.7241542</v>
      </c>
      <c r="BM39" s="15">
        <v>536</v>
      </c>
      <c r="BN39" s="33"/>
      <c r="BO39" s="15">
        <f t="shared" si="65"/>
        <v>294273.903</v>
      </c>
      <c r="BP39" s="15">
        <f t="shared" si="18"/>
        <v>6253.341250199999</v>
      </c>
      <c r="BQ39" s="15">
        <f t="shared" si="19"/>
        <v>300527.2442502</v>
      </c>
      <c r="BR39" s="15">
        <v>8385</v>
      </c>
      <c r="BS39" s="33"/>
      <c r="BT39" s="15">
        <f t="shared" si="66"/>
        <v>31900.547000000002</v>
      </c>
      <c r="BU39" s="15">
        <f t="shared" si="20"/>
        <v>677.8888798</v>
      </c>
      <c r="BV39" s="15">
        <f t="shared" si="21"/>
        <v>32578.435879800003</v>
      </c>
      <c r="BW39" s="15">
        <v>918</v>
      </c>
      <c r="BX39" s="33"/>
      <c r="BY39" s="15">
        <f t="shared" si="67"/>
        <v>99790.929</v>
      </c>
      <c r="BZ39" s="15">
        <f t="shared" si="22"/>
        <v>2120.5642986000003</v>
      </c>
      <c r="CA39" s="15">
        <f t="shared" si="23"/>
        <v>101911.4932986</v>
      </c>
      <c r="CB39" s="15">
        <v>2857</v>
      </c>
      <c r="CC39" s="33"/>
      <c r="CD39" s="15">
        <f t="shared" si="68"/>
        <v>50606.352999999996</v>
      </c>
      <c r="CE39" s="15">
        <f t="shared" si="24"/>
        <v>1075.3885802</v>
      </c>
      <c r="CF39" s="15">
        <f t="shared" si="25"/>
        <v>51681.741580199996</v>
      </c>
      <c r="CG39" s="15">
        <v>1457</v>
      </c>
      <c r="CH39" s="33"/>
      <c r="CI39" s="15">
        <f t="shared" si="69"/>
        <v>9828.007</v>
      </c>
      <c r="CJ39" s="15">
        <f t="shared" si="26"/>
        <v>208.8458438</v>
      </c>
      <c r="CK39" s="15">
        <f t="shared" si="27"/>
        <v>10036.8528438</v>
      </c>
      <c r="CL39" s="15">
        <v>284</v>
      </c>
      <c r="CM39" s="33"/>
      <c r="CN39" s="15">
        <f t="shared" si="70"/>
        <v>39050.438</v>
      </c>
      <c r="CO39" s="15">
        <f t="shared" si="28"/>
        <v>829.8245692000002</v>
      </c>
      <c r="CP39" s="15">
        <f t="shared" si="29"/>
        <v>39880.2625692</v>
      </c>
      <c r="CQ39" s="15">
        <v>1116</v>
      </c>
      <c r="CR39" s="33"/>
      <c r="CS39" s="15">
        <f t="shared" si="71"/>
        <v>95242.091</v>
      </c>
      <c r="CT39" s="15">
        <f t="shared" si="30"/>
        <v>2023.9011693999998</v>
      </c>
      <c r="CU39" s="15">
        <f t="shared" si="31"/>
        <v>97265.9921694</v>
      </c>
      <c r="CV39" s="15">
        <v>2707</v>
      </c>
      <c r="CW39" s="33"/>
      <c r="CX39" s="15">
        <f t="shared" si="72"/>
        <v>213177.468</v>
      </c>
      <c r="CY39" s="15">
        <f t="shared" si="32"/>
        <v>4530.0362712</v>
      </c>
      <c r="CZ39" s="15">
        <f t="shared" si="33"/>
        <v>217707.50427119998</v>
      </c>
      <c r="DA39" s="15">
        <v>6088</v>
      </c>
      <c r="DB39" s="33"/>
      <c r="DC39" s="15">
        <f t="shared" si="73"/>
        <v>32252.632999999998</v>
      </c>
      <c r="DD39" s="15">
        <f t="shared" si="34"/>
        <v>685.3707321999999</v>
      </c>
      <c r="DE39" s="15">
        <f t="shared" si="35"/>
        <v>32938.0037322</v>
      </c>
      <c r="DF39" s="15">
        <v>929</v>
      </c>
      <c r="DG39" s="33"/>
      <c r="DH39" s="15">
        <f t="shared" si="74"/>
        <v>92672.85299999999</v>
      </c>
      <c r="DI39" s="15">
        <f t="shared" si="36"/>
        <v>1969.3046801999997</v>
      </c>
      <c r="DJ39" s="15">
        <f t="shared" si="37"/>
        <v>94642.15768019999</v>
      </c>
      <c r="DK39" s="15">
        <v>2627</v>
      </c>
      <c r="DL39" s="33"/>
      <c r="DM39" s="15">
        <f t="shared" si="75"/>
        <v>3571.0570000000002</v>
      </c>
      <c r="DN39" s="15">
        <f t="shared" si="38"/>
        <v>75.8852138</v>
      </c>
      <c r="DO39" s="15">
        <f t="shared" si="39"/>
        <v>3646.9422138000004</v>
      </c>
      <c r="DP39" s="15">
        <v>95</v>
      </c>
      <c r="DQ39" s="33"/>
      <c r="DR39" s="15">
        <f t="shared" si="76"/>
        <v>195498.22600000002</v>
      </c>
      <c r="DS39" s="15">
        <f t="shared" si="40"/>
        <v>4154.351128400001</v>
      </c>
      <c r="DT39" s="15">
        <f t="shared" si="41"/>
        <v>199652.57712840004</v>
      </c>
      <c r="DU39" s="15">
        <v>5586</v>
      </c>
      <c r="DV39" s="33"/>
      <c r="DW39" s="15">
        <f t="shared" si="77"/>
        <v>30778.537999999997</v>
      </c>
      <c r="DX39" s="15">
        <f t="shared" si="42"/>
        <v>654.0461092</v>
      </c>
      <c r="DY39" s="15">
        <f t="shared" si="43"/>
        <v>31432.584109199997</v>
      </c>
      <c r="DZ39" s="15">
        <v>887</v>
      </c>
      <c r="EA39" s="33"/>
      <c r="EB39" s="15">
        <f t="shared" si="78"/>
        <v>158388.503</v>
      </c>
      <c r="EC39" s="15">
        <f t="shared" si="44"/>
        <v>3365.7668902</v>
      </c>
      <c r="ED39" s="15">
        <f t="shared" si="45"/>
        <v>161754.2698902</v>
      </c>
      <c r="EE39" s="15">
        <v>4504</v>
      </c>
      <c r="EF39" s="33"/>
      <c r="EG39" s="15">
        <f t="shared" si="79"/>
        <v>45218.306000000004</v>
      </c>
      <c r="EH39" s="15">
        <f t="shared" si="46"/>
        <v>960.8922004</v>
      </c>
      <c r="EI39" s="15">
        <f t="shared" si="47"/>
        <v>46179.1982004</v>
      </c>
      <c r="EJ39" s="15">
        <v>1286</v>
      </c>
      <c r="EK39" s="33"/>
      <c r="EL39" s="15">
        <f t="shared" si="80"/>
        <v>453.894</v>
      </c>
      <c r="EM39" s="15">
        <f t="shared" si="48"/>
        <v>9.6452796</v>
      </c>
      <c r="EN39" s="15">
        <f t="shared" si="49"/>
        <v>463.5392796</v>
      </c>
      <c r="EO39" s="15">
        <v>11</v>
      </c>
      <c r="EP39" s="33"/>
      <c r="EQ39" s="15">
        <f t="shared" si="81"/>
        <v>842.7439999999999</v>
      </c>
      <c r="ER39" s="15">
        <f t="shared" si="50"/>
        <v>17.9083696</v>
      </c>
      <c r="ES39" s="15">
        <f t="shared" si="51"/>
        <v>860.6523695999999</v>
      </c>
      <c r="ET39" s="15">
        <v>25</v>
      </c>
      <c r="EU39" s="33"/>
      <c r="EV39" s="15">
        <f t="shared" si="82"/>
        <v>152341.532</v>
      </c>
      <c r="EW39" s="15">
        <f t="shared" si="52"/>
        <v>3237.2683288</v>
      </c>
      <c r="EX39" s="15">
        <f t="shared" si="53"/>
        <v>155578.80032880002</v>
      </c>
      <c r="EY39" s="15">
        <v>4352</v>
      </c>
      <c r="EZ39" s="33"/>
      <c r="FA39" s="15">
        <f t="shared" si="83"/>
        <v>283164.812</v>
      </c>
      <c r="FB39" s="15">
        <f t="shared" si="54"/>
        <v>6017.2722808</v>
      </c>
      <c r="FC39" s="15">
        <f t="shared" si="55"/>
        <v>289182.08428079996</v>
      </c>
      <c r="FD39" s="15">
        <v>8079</v>
      </c>
      <c r="FE39" s="33"/>
      <c r="FF39" s="22"/>
      <c r="FG39" s="15"/>
      <c r="FH39" s="15"/>
      <c r="FI39" s="15"/>
    </row>
    <row r="40" spans="3:165" ht="12.75">
      <c r="C40" s="22"/>
      <c r="D40" s="22"/>
      <c r="E40" s="22"/>
      <c r="F40" s="22"/>
      <c r="G40" s="22"/>
      <c r="I40" s="22"/>
      <c r="J40" s="22"/>
      <c r="K40" s="22"/>
      <c r="L40" s="22"/>
      <c r="M40" s="22"/>
      <c r="AA40" s="22"/>
      <c r="AB40" s="22"/>
      <c r="AC40" s="22"/>
      <c r="AD40" s="22"/>
      <c r="AG40" s="33"/>
      <c r="AU40" s="15"/>
      <c r="AV40" s="15"/>
      <c r="AZ40" s="15"/>
      <c r="BA40" s="15"/>
      <c r="BB40" s="15"/>
      <c r="BC40" s="15"/>
      <c r="BE40" s="3"/>
      <c r="BF40" s="3"/>
      <c r="BG40" s="3"/>
      <c r="BH40" s="3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33"/>
      <c r="FG40" s="33"/>
      <c r="FH40" s="33"/>
      <c r="FI40" s="33"/>
    </row>
    <row r="41" spans="1:165" ht="13.5" thickBot="1">
      <c r="A41" s="13" t="s">
        <v>0</v>
      </c>
      <c r="C41" s="32">
        <f>SUM(C8:C40)</f>
        <v>140240000</v>
      </c>
      <c r="D41" s="32">
        <f>SUM(D8:D40)</f>
        <v>45986412</v>
      </c>
      <c r="E41" s="32">
        <f>SUM(E8:E40)</f>
        <v>186226412</v>
      </c>
      <c r="F41" s="32">
        <f>SUM(F8:F40)</f>
        <v>14865235</v>
      </c>
      <c r="G41" s="32">
        <f>SUM(G8:G40)</f>
        <v>3009333</v>
      </c>
      <c r="I41" s="32">
        <f>SUM(I8:I40)</f>
        <v>0</v>
      </c>
      <c r="J41" s="32">
        <f>SUM(J8:J40)</f>
        <v>0</v>
      </c>
      <c r="K41" s="32">
        <f>SUM(K8:K40)</f>
        <v>0</v>
      </c>
      <c r="L41" s="32">
        <f>SUM(L8:L40)</f>
        <v>0</v>
      </c>
      <c r="M41" s="32">
        <f>SUM(M8:M40)</f>
        <v>0</v>
      </c>
      <c r="O41" s="32">
        <f>SUM(O8:O40)</f>
        <v>29755000</v>
      </c>
      <c r="P41" s="32">
        <f>SUM(P8:P40)</f>
        <v>3896500</v>
      </c>
      <c r="Q41" s="32">
        <f>SUM(Q8:Q40)</f>
        <v>33651500</v>
      </c>
      <c r="R41" s="32">
        <f>SUM(R8:R40)</f>
        <v>6278072</v>
      </c>
      <c r="S41" s="32">
        <f>SUM(S8:S40)</f>
        <v>1397664</v>
      </c>
      <c r="U41" s="32">
        <f>SUM(U8:U40)</f>
        <v>27970000</v>
      </c>
      <c r="V41" s="32">
        <f>SUM(V8:V40)</f>
        <v>6650250</v>
      </c>
      <c r="W41" s="32">
        <f>SUM(W8:W40)</f>
        <v>34620250</v>
      </c>
      <c r="X41" s="32">
        <f>SUM(X8:X40)</f>
        <v>2135758</v>
      </c>
      <c r="Y41" s="32">
        <f>SUM(Y8:Y40)</f>
        <v>1611669</v>
      </c>
      <c r="AA41" s="32">
        <f>SUM(AA8:AA40)</f>
        <v>82515000</v>
      </c>
      <c r="AB41" s="32">
        <f>SUM(AB8:AB40)</f>
        <v>35439662</v>
      </c>
      <c r="AC41" s="32">
        <f>SUM(AC8:AC40)</f>
        <v>117954662</v>
      </c>
      <c r="AD41" s="32">
        <f>SUM(AD8:AD40)</f>
        <v>6451405</v>
      </c>
      <c r="AF41" s="32">
        <f>SUM(AF8:AF40)</f>
        <v>44791279</v>
      </c>
      <c r="AG41" s="32">
        <f>SUM(AG8:AG40)</f>
        <v>19237566</v>
      </c>
      <c r="AH41" s="32">
        <f>SUM(AH8:AH40)</f>
        <v>64028845</v>
      </c>
      <c r="AI41" s="32">
        <f>SUM(AI8:AI40)</f>
        <v>3500516</v>
      </c>
      <c r="AK41" s="32">
        <f>SUM(AK8:AK40)</f>
        <v>37723720.86150001</v>
      </c>
      <c r="AL41" s="32">
        <f>SUM(AL8:AL40)</f>
        <v>16202095.579154193</v>
      </c>
      <c r="AM41" s="32">
        <f>SUM(AM8:AM40)</f>
        <v>53925816.440654196</v>
      </c>
      <c r="AN41" s="32">
        <f>SUM(AN8:AN40)</f>
        <v>2950889</v>
      </c>
      <c r="AP41" s="32">
        <f>SUM(AP8:AP40)</f>
        <v>6743455.859999999</v>
      </c>
      <c r="AQ41" s="32">
        <f>SUM(AQ8:AQ40)</f>
        <v>2896270.9372880002</v>
      </c>
      <c r="AR41" s="32">
        <f>SUM(AR8:AR40)</f>
        <v>9639726.797287997</v>
      </c>
      <c r="AS41" s="32">
        <f>SUM(AS8:AS40)</f>
        <v>527013</v>
      </c>
      <c r="AU41" s="32">
        <f>SUM(AU8:AU40)</f>
        <v>4914972.969</v>
      </c>
      <c r="AV41" s="32">
        <f>SUM(AV8:AV40)</f>
        <v>2110949.2911651996</v>
      </c>
      <c r="AW41" s="32">
        <f>SUM(AW8:AW40)</f>
        <v>7025922.260165201</v>
      </c>
      <c r="AX41" s="32">
        <f>SUM(AX8:AX40)</f>
        <v>384114</v>
      </c>
      <c r="AZ41" s="32">
        <f>SUM(AZ8:AZ40)</f>
        <v>2605856.7060000002</v>
      </c>
      <c r="BA41" s="32">
        <f>SUM(BA8:BA40)</f>
        <v>1119198.7018247999</v>
      </c>
      <c r="BB41" s="32">
        <f>SUM(BB8:BB40)</f>
        <v>3725055.4078248</v>
      </c>
      <c r="BC41" s="32">
        <f>SUM(BC8:BC40)</f>
        <v>203652</v>
      </c>
      <c r="BE41" s="32">
        <f>SUM(BE8:BE40)</f>
        <v>1895204.5200000003</v>
      </c>
      <c r="BF41" s="32">
        <f>SUM(BF8:BF40)</f>
        <v>813978.1568160002</v>
      </c>
      <c r="BG41" s="32">
        <f>SUM(BG8:BG40)</f>
        <v>2709182.6768160006</v>
      </c>
      <c r="BH41" s="32">
        <f>SUM(BH8:BH40)</f>
        <v>150828</v>
      </c>
      <c r="BI41" s="15"/>
      <c r="BJ41" s="32">
        <f>SUM(BJ8:BJ40)</f>
        <v>217088.71349999995</v>
      </c>
      <c r="BK41" s="32">
        <f>SUM(BK8:BK40)</f>
        <v>93238.20675579998</v>
      </c>
      <c r="BL41" s="32">
        <f>SUM(BL8:BL40)</f>
        <v>310326.92025579995</v>
      </c>
      <c r="BM41" s="32">
        <f>SUM(BM8:BM40)</f>
        <v>16966</v>
      </c>
      <c r="BN41" s="15"/>
      <c r="BO41" s="32">
        <f>SUM(BO8:BO40)</f>
        <v>3434513.5934999995</v>
      </c>
      <c r="BP41" s="32">
        <f>SUM(BP8:BP40)</f>
        <v>1475101.5074598</v>
      </c>
      <c r="BQ41" s="32">
        <f>SUM(BQ8:BQ40)</f>
        <v>4909615.100959799</v>
      </c>
      <c r="BR41" s="32">
        <f>SUM(BR8:BR40)</f>
        <v>268413</v>
      </c>
      <c r="BS41" s="15"/>
      <c r="BT41" s="32">
        <f>SUM(BT8:BT40)</f>
        <v>372315.9315</v>
      </c>
      <c r="BU41" s="32">
        <f>SUM(BU8:BU40)</f>
        <v>159907.2989102001</v>
      </c>
      <c r="BV41" s="32">
        <f>SUM(BV8:BV40)</f>
        <v>532223.2304102</v>
      </c>
      <c r="BW41" s="32">
        <f>SUM(BW8:BW40)</f>
        <v>29097</v>
      </c>
      <c r="BX41" s="15"/>
      <c r="BY41" s="32">
        <f>SUM(BY8:BY40)</f>
        <v>1164674.4705</v>
      </c>
      <c r="BZ41" s="32">
        <f>SUM(BZ8:BZ40)</f>
        <v>500220.1972313999</v>
      </c>
      <c r="CA41" s="32">
        <f>SUM(CA8:CA40)</f>
        <v>1664894.6677314</v>
      </c>
      <c r="CB41" s="32">
        <f>SUM(CB8:CB40)</f>
        <v>91021</v>
      </c>
      <c r="CC41" s="15"/>
      <c r="CD41" s="32">
        <f>SUM(CD8:CD40)</f>
        <v>590634.1185</v>
      </c>
      <c r="CE41" s="32">
        <f>SUM(CE8:CE40)</f>
        <v>253673.5566298</v>
      </c>
      <c r="CF41" s="32">
        <f>SUM(CF8:CF40)</f>
        <v>844307.6751298001</v>
      </c>
      <c r="CG41" s="32">
        <f>SUM(CG8:CG40)</f>
        <v>46159</v>
      </c>
      <c r="CH41" s="15"/>
      <c r="CI41" s="32">
        <f>SUM(CI8:CI40)</f>
        <v>114704.1015</v>
      </c>
      <c r="CJ41" s="32">
        <f>SUM(CJ8:CJ40)</f>
        <v>49264.67414619999</v>
      </c>
      <c r="CK41" s="32">
        <f>SUM(CK8:CK40)</f>
        <v>163968.77564620003</v>
      </c>
      <c r="CL41" s="32">
        <f>SUM(CL8:CL40)</f>
        <v>8964</v>
      </c>
      <c r="CM41" s="15"/>
      <c r="CN41" s="32">
        <f>SUM(CN8:CN40)</f>
        <v>455763.35099999997</v>
      </c>
      <c r="CO41" s="32">
        <f>SUM(CO8:CO40)</f>
        <v>195747.42909079994</v>
      </c>
      <c r="CP41" s="32">
        <f>SUM(CP8:CP40)</f>
        <v>651510.7800908003</v>
      </c>
      <c r="CQ41" s="32">
        <f>SUM(CQ8:CQ40)</f>
        <v>35619</v>
      </c>
      <c r="CR41" s="15"/>
      <c r="CS41" s="32">
        <f>SUM(CS8:CS40)</f>
        <v>1111584.3194999998</v>
      </c>
      <c r="CT41" s="32">
        <f>SUM(CT8:CT40)</f>
        <v>477418.31870060007</v>
      </c>
      <c r="CU41" s="32">
        <f>SUM(CU8:CU40)</f>
        <v>1589002.6382005997</v>
      </c>
      <c r="CV41" s="32">
        <f>SUM(CV8:CV40)</f>
        <v>86872</v>
      </c>
      <c r="CW41" s="15"/>
      <c r="CX41" s="32">
        <f>SUM(CX8:CX40)</f>
        <v>2488025.286</v>
      </c>
      <c r="CY41" s="32">
        <f>SUM(CY8:CY40)</f>
        <v>1068590.8644888003</v>
      </c>
      <c r="CZ41" s="32">
        <f>SUM(CZ8:CZ40)</f>
        <v>3556616.1504887994</v>
      </c>
      <c r="DA41" s="32">
        <f>SUM(DA8:DA40)</f>
        <v>194444</v>
      </c>
      <c r="DB41" s="15"/>
      <c r="DC41" s="32">
        <f>SUM(DC8:DC40)</f>
        <v>376425.1785</v>
      </c>
      <c r="DD41" s="32">
        <f>SUM(DD8:DD40)</f>
        <v>161672.19407780003</v>
      </c>
      <c r="DE41" s="32">
        <f>SUM(DE8:DE40)</f>
        <v>538097.3725778</v>
      </c>
      <c r="DF41" s="32">
        <f>SUM(DF8:DF40)</f>
        <v>29418</v>
      </c>
      <c r="DG41" s="15"/>
      <c r="DH41" s="32">
        <f>SUM(DH8:DH40)</f>
        <v>1081598.3684999999</v>
      </c>
      <c r="DI41" s="32">
        <f>SUM(DI8:DI40)</f>
        <v>464539.5455298</v>
      </c>
      <c r="DJ41" s="32">
        <f>SUM(DJ8:DJ40)</f>
        <v>1546137.9140297999</v>
      </c>
      <c r="DK41" s="32">
        <f>SUM(DK8:DK40)</f>
        <v>84529</v>
      </c>
      <c r="DL41" s="15"/>
      <c r="DM41" s="32">
        <f>SUM(DM8:DM40)</f>
        <v>41678.326499999996</v>
      </c>
      <c r="DN41" s="32">
        <f>SUM(DN8:DN40)</f>
        <v>17900.573276200004</v>
      </c>
      <c r="DO41" s="32">
        <f>SUM(DO8:DO40)</f>
        <v>59578.89977620001</v>
      </c>
      <c r="DP41" s="32">
        <f>SUM(DP8:DP40)</f>
        <v>3257</v>
      </c>
      <c r="DQ41" s="15"/>
      <c r="DR41" s="32">
        <f>SUM(DR8:DR40)</f>
        <v>2281688.277</v>
      </c>
      <c r="DS41" s="32">
        <f>SUM(DS8:DS40)</f>
        <v>979970.4456915997</v>
      </c>
      <c r="DT41" s="32">
        <f>SUM(DT8:DT40)</f>
        <v>3261658.7226916</v>
      </c>
      <c r="DU41" s="32">
        <f>SUM(DU8:DU40)</f>
        <v>178318</v>
      </c>
      <c r="DV41" s="15"/>
      <c r="DW41" s="32">
        <f>SUM(DW8:DW40)</f>
        <v>359220.80100000004</v>
      </c>
      <c r="DX41" s="32">
        <f>SUM(DX8:DX40)</f>
        <v>154283.0245508</v>
      </c>
      <c r="DY41" s="32">
        <f>SUM(DY8:DY40)</f>
        <v>513503.82555080013</v>
      </c>
      <c r="DZ41" s="32">
        <f>SUM(DZ8:DZ40)</f>
        <v>28074</v>
      </c>
      <c r="EA41" s="15"/>
      <c r="EB41" s="32">
        <f>SUM(EB8:EB40)</f>
        <v>1848575.2935000001</v>
      </c>
      <c r="EC41" s="32">
        <f>SUM(EC8:EC40)</f>
        <v>793951.2038198002</v>
      </c>
      <c r="ED41" s="32">
        <f>SUM(ED8:ED40)</f>
        <v>2642526.4973197994</v>
      </c>
      <c r="EE41" s="32">
        <f>SUM(EE8:EE40)</f>
        <v>144469</v>
      </c>
      <c r="EF41" s="15"/>
      <c r="EG41" s="32">
        <f>SUM(EG8:EG40)</f>
        <v>527749.4369999999</v>
      </c>
      <c r="EH41" s="32">
        <f>SUM(EH8:EH40)</f>
        <v>226664.99021960003</v>
      </c>
      <c r="EI41" s="32">
        <f>SUM(EI8:EI40)</f>
        <v>754414.4272196002</v>
      </c>
      <c r="EJ41" s="32">
        <f>SUM(EJ8:EJ40)</f>
        <v>41245</v>
      </c>
      <c r="EK41" s="15"/>
      <c r="EL41" s="32">
        <f>SUM(EL8:EL40)</f>
        <v>5297.463</v>
      </c>
      <c r="EM41" s="32">
        <f>SUM(EM8:EM40)</f>
        <v>2275.2263004</v>
      </c>
      <c r="EN41" s="32">
        <f>SUM(EN8:EN40)</f>
        <v>7572.689300400001</v>
      </c>
      <c r="EO41" s="32">
        <f>SUM(EO8:EO40)</f>
        <v>414</v>
      </c>
      <c r="EP41" s="15"/>
      <c r="EQ41" s="32">
        <f>SUM(EQ8:EQ40)</f>
        <v>9835.788000000002</v>
      </c>
      <c r="ER41" s="32">
        <f>SUM(ER8:ER40)</f>
        <v>4224.407710399999</v>
      </c>
      <c r="ES41" s="32">
        <f>SUM(ES8:ES40)</f>
        <v>14060.1957104</v>
      </c>
      <c r="ET41" s="32">
        <f>SUM(ET8:ET40)</f>
        <v>769</v>
      </c>
      <c r="EU41" s="15"/>
      <c r="EV41" s="32">
        <f>SUM(EV8:EV40)</f>
        <v>1778000.2140000002</v>
      </c>
      <c r="EW41" s="32">
        <f>SUM(EW8:EW40)</f>
        <v>763639.6609112003</v>
      </c>
      <c r="EX41" s="32">
        <f>SUM(EX8:EX40)</f>
        <v>2541639.8749111993</v>
      </c>
      <c r="EY41" s="32">
        <f>SUM(EY8:EY40)</f>
        <v>138954</v>
      </c>
      <c r="EZ41" s="15"/>
      <c r="FA41" s="32">
        <f>SUM(FA8:FA40)</f>
        <v>3304857.7739999997</v>
      </c>
      <c r="FB41" s="32">
        <f>SUM(FB8:FB40)</f>
        <v>1419415.1665591998</v>
      </c>
      <c r="FC41" s="32">
        <f>SUM(FC8:FC40)</f>
        <v>4724272.940559201</v>
      </c>
      <c r="FD41" s="32">
        <f>SUM(FD8:FD40)</f>
        <v>258280</v>
      </c>
      <c r="FE41" s="15"/>
      <c r="FF41" s="32">
        <f>SUM(FF8:FF40)</f>
        <v>0</v>
      </c>
      <c r="FG41" s="32">
        <f>SUM(FG8:FG40)</f>
        <v>0</v>
      </c>
      <c r="FH41" s="32">
        <f>SUM(FH8:IV40)</f>
        <v>0</v>
      </c>
      <c r="FI41" s="22"/>
    </row>
    <row r="42" spans="52:60" ht="13.5" thickTop="1">
      <c r="AZ42" s="15"/>
      <c r="BA42" s="15"/>
      <c r="BB42" s="15"/>
      <c r="BC42" s="15"/>
      <c r="BE42" s="3"/>
      <c r="BF42" s="3"/>
      <c r="BG42" s="3"/>
      <c r="BH42" s="3"/>
    </row>
    <row r="43" spans="38:60" ht="12.75">
      <c r="AL43" s="15"/>
      <c r="AZ43" s="15"/>
      <c r="BA43" s="15"/>
      <c r="BB43" s="15"/>
      <c r="BC43" s="15"/>
      <c r="BE43" s="3"/>
      <c r="BF43" s="3"/>
      <c r="BG43" s="3"/>
      <c r="BH43" s="3"/>
    </row>
    <row r="44" spans="52:60" ht="12.75">
      <c r="AZ44" s="15"/>
      <c r="BA44" s="15"/>
      <c r="BB44" s="15"/>
      <c r="BC44" s="15"/>
      <c r="BE44" s="3"/>
      <c r="BF44" s="3"/>
      <c r="BG44" s="3"/>
      <c r="BH44" s="3"/>
    </row>
    <row r="45" spans="52:60" ht="12.75">
      <c r="AZ45" s="15"/>
      <c r="BA45" s="15"/>
      <c r="BB45" s="15"/>
      <c r="BC45" s="15"/>
      <c r="BE45" s="3"/>
      <c r="BF45" s="3"/>
      <c r="BG45" s="3"/>
      <c r="BH45" s="3"/>
    </row>
    <row r="46" spans="52:60" ht="12.75">
      <c r="AZ46" s="15"/>
      <c r="BA46" s="15"/>
      <c r="BB46" s="15"/>
      <c r="BC46" s="15"/>
      <c r="BE46" s="3"/>
      <c r="BF46" s="3"/>
      <c r="BG46" s="3"/>
      <c r="BH46" s="3"/>
    </row>
    <row r="47" spans="52:60" ht="12.75">
      <c r="AZ47" s="15"/>
      <c r="BA47" s="15"/>
      <c r="BB47" s="15"/>
      <c r="BC47" s="15"/>
      <c r="BE47" s="3"/>
      <c r="BF47" s="3"/>
      <c r="BG47" s="3"/>
      <c r="BH47" s="3"/>
    </row>
    <row r="48" spans="52:60" ht="12.75">
      <c r="AZ48" s="15"/>
      <c r="BA48" s="15"/>
      <c r="BB48" s="15"/>
      <c r="BC48" s="15"/>
      <c r="BE48" s="3"/>
      <c r="BF48" s="3"/>
      <c r="BG48" s="3"/>
      <c r="BH48" s="3"/>
    </row>
    <row r="49" spans="52:60" ht="12.75">
      <c r="AZ49" s="15"/>
      <c r="BA49" s="15"/>
      <c r="BB49" s="15"/>
      <c r="BC49" s="15"/>
      <c r="BE49" s="3"/>
      <c r="BF49" s="3"/>
      <c r="BG49" s="3"/>
      <c r="BH49" s="3"/>
    </row>
    <row r="50" spans="52:60" ht="12.75">
      <c r="AZ50" s="15"/>
      <c r="BA50" s="15"/>
      <c r="BB50" s="15"/>
      <c r="BC50" s="15"/>
      <c r="BE50" s="3"/>
      <c r="BF50" s="3"/>
      <c r="BG50" s="3"/>
      <c r="BH50" s="3"/>
    </row>
    <row r="51" spans="52:60" ht="12.75">
      <c r="AZ51" s="15"/>
      <c r="BA51" s="15"/>
      <c r="BB51" s="15"/>
      <c r="BC51" s="15"/>
      <c r="BE51" s="3"/>
      <c r="BF51" s="3"/>
      <c r="BG51" s="3"/>
      <c r="BH51" s="3"/>
    </row>
    <row r="52" spans="52:60" ht="12.75">
      <c r="AZ52" s="15"/>
      <c r="BA52" s="15"/>
      <c r="BB52" s="15"/>
      <c r="BC52" s="15"/>
      <c r="BE52" s="3"/>
      <c r="BF52" s="3"/>
      <c r="BG52" s="3"/>
      <c r="BH52" s="3"/>
    </row>
    <row r="53" spans="52:60" ht="12.75">
      <c r="AZ53" s="15"/>
      <c r="BA53" s="15"/>
      <c r="BB53" s="15"/>
      <c r="BC53" s="15"/>
      <c r="BE53" s="3"/>
      <c r="BF53" s="3"/>
      <c r="BG53" s="3"/>
      <c r="BH53" s="3"/>
    </row>
    <row r="54" spans="52:60" ht="12.75">
      <c r="AZ54" s="15"/>
      <c r="BA54" s="15"/>
      <c r="BB54" s="15"/>
      <c r="BC54" s="15"/>
      <c r="BE54" s="3"/>
      <c r="BF54" s="3"/>
      <c r="BG54" s="3"/>
      <c r="BH54" s="3"/>
    </row>
    <row r="55" spans="1:60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O55"/>
      <c r="AZ55" s="15"/>
      <c r="BA55" s="15"/>
      <c r="BB55" s="15"/>
      <c r="BC55" s="15"/>
      <c r="BE55" s="3"/>
      <c r="BF55" s="3"/>
      <c r="BG55" s="3"/>
      <c r="BH55" s="3"/>
    </row>
    <row r="56" spans="1:60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O56"/>
      <c r="AZ56" s="15"/>
      <c r="BA56" s="15"/>
      <c r="BB56" s="15"/>
      <c r="BC56" s="15"/>
      <c r="BE56" s="3"/>
      <c r="BF56" s="3"/>
      <c r="BG56" s="3"/>
      <c r="BH56" s="3"/>
    </row>
    <row r="57" spans="1:60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O57"/>
      <c r="AZ57" s="15"/>
      <c r="BA57" s="15"/>
      <c r="BB57" s="15"/>
      <c r="BC57" s="15"/>
      <c r="BE57" s="3"/>
      <c r="BF57" s="3"/>
      <c r="BG57" s="3"/>
      <c r="BH57" s="3"/>
    </row>
    <row r="58" spans="1:60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O58"/>
      <c r="AZ58" s="15"/>
      <c r="BA58" s="15"/>
      <c r="BB58" s="15"/>
      <c r="BC58" s="15"/>
      <c r="BE58" s="3"/>
      <c r="BF58" s="3"/>
      <c r="BG58" s="3"/>
      <c r="BH58" s="3"/>
    </row>
    <row r="59" spans="1:60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O59"/>
      <c r="AZ59" s="15"/>
      <c r="BA59" s="15"/>
      <c r="BB59" s="15"/>
      <c r="BC59" s="15"/>
      <c r="BE59" s="3"/>
      <c r="BF59" s="3"/>
      <c r="BG59" s="3"/>
      <c r="BH59" s="3"/>
    </row>
    <row r="60" spans="1:60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O60"/>
      <c r="AZ60" s="15"/>
      <c r="BA60" s="15"/>
      <c r="BB60" s="15"/>
      <c r="BC60" s="15"/>
      <c r="BE60" s="3"/>
      <c r="BF60" s="3"/>
      <c r="BG60" s="3"/>
      <c r="BH60" s="3"/>
    </row>
    <row r="61" spans="1:60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O61"/>
      <c r="AZ61" s="15"/>
      <c r="BA61" s="15"/>
      <c r="BB61" s="15"/>
      <c r="BC61" s="15"/>
      <c r="BE61" s="3"/>
      <c r="BF61" s="3"/>
      <c r="BG61" s="3"/>
      <c r="BH61" s="3"/>
    </row>
    <row r="62" spans="1:60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O62"/>
      <c r="AZ62" s="15"/>
      <c r="BA62" s="15"/>
      <c r="BB62" s="15"/>
      <c r="BC62" s="15"/>
      <c r="BE62" s="3"/>
      <c r="BF62" s="3"/>
      <c r="BG62" s="3"/>
      <c r="BH62" s="3"/>
    </row>
    <row r="63" spans="1:60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O63"/>
      <c r="AZ63" s="15"/>
      <c r="BA63" s="15"/>
      <c r="BB63" s="15"/>
      <c r="BC63" s="15"/>
      <c r="BE63" s="3"/>
      <c r="BF63" s="3"/>
      <c r="BG63" s="3"/>
      <c r="BH63" s="3"/>
    </row>
    <row r="64" spans="1:60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O64"/>
      <c r="AZ64" s="15"/>
      <c r="BA64" s="15"/>
      <c r="BB64" s="15"/>
      <c r="BC64" s="15"/>
      <c r="BE64" s="3"/>
      <c r="BF64" s="3"/>
      <c r="BG64" s="3"/>
      <c r="BH64" s="3"/>
    </row>
    <row r="65" spans="1:60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O65"/>
      <c r="AZ65" s="15"/>
      <c r="BA65" s="15"/>
      <c r="BB65" s="15"/>
      <c r="BC65" s="15"/>
      <c r="BE65" s="3"/>
      <c r="BF65" s="3"/>
      <c r="BG65" s="3"/>
      <c r="BH65" s="3"/>
    </row>
    <row r="66" spans="1:60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O66"/>
      <c r="AZ66" s="15"/>
      <c r="BA66" s="15"/>
      <c r="BB66" s="15"/>
      <c r="BC66" s="15"/>
      <c r="BE66" s="3"/>
      <c r="BF66" s="3"/>
      <c r="BG66" s="3"/>
      <c r="BH66" s="3"/>
    </row>
    <row r="67" spans="1:60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O67"/>
      <c r="AZ67" s="15"/>
      <c r="BA67" s="15"/>
      <c r="BB67" s="15"/>
      <c r="BC67" s="15"/>
      <c r="BE67" s="3"/>
      <c r="BF67" s="3"/>
      <c r="BG67" s="3"/>
      <c r="BH67" s="3"/>
    </row>
    <row r="68" spans="1:60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O68"/>
      <c r="AZ68" s="15"/>
      <c r="BA68" s="15"/>
      <c r="BB68" s="15"/>
      <c r="BC68" s="15"/>
      <c r="BE68" s="3"/>
      <c r="BF68" s="3"/>
      <c r="BG68" s="3"/>
      <c r="BH68" s="3"/>
    </row>
    <row r="69" spans="1:55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O69"/>
      <c r="AZ69" s="15"/>
      <c r="BA69" s="15"/>
      <c r="BB69" s="15"/>
      <c r="BC69" s="15"/>
    </row>
    <row r="70" spans="1:55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O70"/>
      <c r="AZ70" s="15"/>
      <c r="BA70" s="15"/>
      <c r="BB70" s="15"/>
      <c r="BC70" s="15"/>
    </row>
    <row r="71" spans="1:55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O71"/>
      <c r="AZ71" s="15"/>
      <c r="BA71" s="15"/>
      <c r="BB71" s="15"/>
      <c r="BC71" s="15"/>
    </row>
    <row r="72" spans="1:55" ht="12.7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O72"/>
      <c r="AZ72" s="15"/>
      <c r="BA72" s="15"/>
      <c r="BB72" s="15"/>
      <c r="BC72" s="15"/>
    </row>
    <row r="73" spans="1:55" ht="12.75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O73"/>
      <c r="AZ73" s="15"/>
      <c r="BA73" s="15"/>
      <c r="BB73" s="15"/>
      <c r="BC73" s="15"/>
    </row>
    <row r="74" spans="1:55" ht="12.75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O74"/>
      <c r="AZ74" s="15"/>
      <c r="BA74" s="15"/>
      <c r="BB74" s="15"/>
      <c r="BC74" s="15"/>
    </row>
    <row r="75" spans="1:55" ht="12.75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O75"/>
      <c r="AZ75" s="15"/>
      <c r="BA75" s="15"/>
      <c r="BB75" s="15"/>
      <c r="BC75" s="15"/>
    </row>
    <row r="76" spans="1:55" ht="12.75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O76"/>
      <c r="AZ76" s="15"/>
      <c r="BA76" s="15"/>
      <c r="BB76" s="15"/>
      <c r="BC76" s="15"/>
    </row>
    <row r="77" spans="1:55" ht="12.75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O77"/>
      <c r="AZ77" s="15"/>
      <c r="BA77" s="15"/>
      <c r="BB77" s="15"/>
      <c r="BC77" s="15"/>
    </row>
    <row r="78" spans="1:55" ht="12.75">
      <c r="A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O78"/>
      <c r="AZ78" s="15"/>
      <c r="BA78" s="15"/>
      <c r="BB78" s="15"/>
      <c r="BC78" s="15"/>
    </row>
    <row r="79" spans="1:55" ht="12.75">
      <c r="A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O79"/>
      <c r="AZ79" s="15"/>
      <c r="BA79" s="15"/>
      <c r="BB79" s="15"/>
      <c r="BC79" s="15"/>
    </row>
    <row r="80" spans="1:55" ht="12.75">
      <c r="A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O80"/>
      <c r="AZ80" s="15"/>
      <c r="BA80" s="15"/>
      <c r="BB80" s="15"/>
      <c r="BC80" s="15"/>
    </row>
    <row r="81" spans="1:55" ht="12.75">
      <c r="A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O81"/>
      <c r="AZ81" s="15"/>
      <c r="BA81" s="15"/>
      <c r="BB81" s="15"/>
      <c r="BC81" s="15"/>
    </row>
  </sheetData>
  <sheetProtection/>
  <printOptions/>
  <pageMargins left="0.5" right="0" top="0.1" bottom="0.25" header="0" footer="0"/>
  <pageSetup horizontalDpi="600" verticalDpi="600" orientation="landscape" scale="86" r:id="rId1"/>
  <headerFooter alignWithMargins="0">
    <oddFooter>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O81"/>
  <sheetViews>
    <sheetView zoomScaleSheetLayoutView="75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6" sqref="I16"/>
    </sheetView>
  </sheetViews>
  <sheetFormatPr defaultColWidth="9.140625" defaultRowHeight="12.75"/>
  <cols>
    <col min="1" max="1" width="9.7109375" style="2" customWidth="1"/>
    <col min="2" max="2" width="3.7109375" style="0" customWidth="1"/>
    <col min="3" max="5" width="13.7109375" style="15" customWidth="1"/>
    <col min="6" max="6" width="3.7109375" style="15" customWidth="1"/>
    <col min="7" max="10" width="13.7109375" style="15" customWidth="1"/>
    <col min="11" max="11" width="3.7109375" style="15" customWidth="1"/>
    <col min="12" max="15" width="13.7109375" style="15" customWidth="1"/>
    <col min="16" max="16" width="3.7109375" style="15" customWidth="1"/>
    <col min="17" max="20" width="13.7109375" style="15" customWidth="1"/>
    <col min="21" max="21" width="3.7109375" style="15" customWidth="1"/>
    <col min="22" max="25" width="13.7109375" style="15" customWidth="1"/>
    <col min="26" max="26" width="3.7109375" style="15" customWidth="1"/>
    <col min="27" max="30" width="13.7109375" style="15" customWidth="1"/>
    <col min="31" max="31" width="3.7109375" style="15" customWidth="1"/>
    <col min="32" max="35" width="13.7109375" style="15" customWidth="1"/>
    <col min="36" max="36" width="3.7109375" style="15" customWidth="1"/>
    <col min="37" max="40" width="13.7109375" style="15" customWidth="1"/>
    <col min="41" max="41" width="3.7109375" style="15" customWidth="1"/>
    <col min="42" max="45" width="13.7109375" style="15" customWidth="1"/>
    <col min="46" max="46" width="3.7109375" style="15" customWidth="1"/>
    <col min="47" max="50" width="13.7109375" style="15" customWidth="1"/>
    <col min="51" max="51" width="3.7109375" style="15" customWidth="1"/>
    <col min="52" max="55" width="13.7109375" style="15" customWidth="1"/>
    <col min="56" max="56" width="3.7109375" style="15" customWidth="1"/>
    <col min="57" max="60" width="13.7109375" style="15" customWidth="1"/>
    <col min="61" max="61" width="3.7109375" style="15" customWidth="1"/>
    <col min="62" max="65" width="13.7109375" style="15" customWidth="1"/>
    <col min="66" max="66" width="3.7109375" style="15" customWidth="1"/>
    <col min="67" max="70" width="13.7109375" style="15" customWidth="1"/>
    <col min="71" max="71" width="3.7109375" style="15" customWidth="1"/>
    <col min="72" max="75" width="13.7109375" style="15" customWidth="1"/>
    <col min="76" max="76" width="3.7109375" style="15" customWidth="1"/>
    <col min="77" max="80" width="13.7109375" style="15" customWidth="1"/>
    <col min="81" max="81" width="3.7109375" style="15" customWidth="1"/>
    <col min="82" max="85" width="13.7109375" style="15" customWidth="1"/>
    <col min="86" max="86" width="3.7109375" style="15" customWidth="1"/>
    <col min="87" max="90" width="13.7109375" style="15" customWidth="1"/>
    <col min="91" max="91" width="3.7109375" style="15" customWidth="1"/>
    <col min="92" max="95" width="13.7109375" style="15" customWidth="1"/>
    <col min="96" max="96" width="3.7109375" style="15" customWidth="1"/>
    <col min="97" max="100" width="13.7109375" style="15" customWidth="1"/>
    <col min="101" max="101" width="3.7109375" style="15" customWidth="1"/>
    <col min="102" max="105" width="13.7109375" style="15" customWidth="1"/>
    <col min="106" max="106" width="3.7109375" style="15" customWidth="1"/>
    <col min="107" max="110" width="13.7109375" style="15" customWidth="1"/>
    <col min="111" max="111" width="3.7109375" style="15" customWidth="1"/>
    <col min="112" max="115" width="13.7109375" style="15" customWidth="1"/>
    <col min="116" max="116" width="3.7109375" style="15" customWidth="1"/>
    <col min="117" max="120" width="13.7109375" style="15" customWidth="1"/>
    <col min="121" max="121" width="3.7109375" style="15" customWidth="1"/>
    <col min="122" max="125" width="13.7109375" style="15" customWidth="1"/>
    <col min="126" max="126" width="3.7109375" style="15" customWidth="1"/>
    <col min="127" max="130" width="13.7109375" style="15" customWidth="1"/>
    <col min="131" max="131" width="3.7109375" style="15" customWidth="1"/>
    <col min="132" max="135" width="13.7109375" style="15" customWidth="1"/>
    <col min="136" max="136" width="3.7109375" style="15" customWidth="1"/>
    <col min="137" max="140" width="13.7109375" style="15" customWidth="1"/>
    <col min="141" max="141" width="3.7109375" style="15" customWidth="1"/>
    <col min="142" max="145" width="13.7109375" style="15" customWidth="1"/>
    <col min="146" max="146" width="3.7109375" style="15" customWidth="1"/>
    <col min="147" max="150" width="13.7109375" style="15" customWidth="1"/>
    <col min="151" max="151" width="3.7109375" style="15" customWidth="1"/>
    <col min="152" max="155" width="13.7109375" style="15" customWidth="1"/>
    <col min="156" max="156" width="3.7109375" style="15" customWidth="1"/>
    <col min="157" max="160" width="13.7109375" style="15" customWidth="1"/>
    <col min="161" max="161" width="3.7109375" style="15" customWidth="1"/>
    <col min="162" max="165" width="13.7109375" style="15" customWidth="1"/>
    <col min="166" max="166" width="3.7109375" style="15" customWidth="1"/>
    <col min="167" max="170" width="13.7109375" style="15" customWidth="1"/>
    <col min="171" max="171" width="3.7109375" style="15" customWidth="1"/>
  </cols>
  <sheetData>
    <row r="1" spans="1:162" ht="12.75">
      <c r="A1" s="24"/>
      <c r="B1" s="12"/>
      <c r="C1" s="25" t="s">
        <v>6</v>
      </c>
      <c r="L1" s="25" t="s">
        <v>6</v>
      </c>
      <c r="AA1" s="25" t="s">
        <v>6</v>
      </c>
      <c r="AP1" s="25" t="s">
        <v>6</v>
      </c>
      <c r="BE1" s="25" t="s">
        <v>6</v>
      </c>
      <c r="BT1" s="25" t="s">
        <v>6</v>
      </c>
      <c r="CI1" s="25" t="s">
        <v>6</v>
      </c>
      <c r="CX1" s="25" t="s">
        <v>6</v>
      </c>
      <c r="DM1" s="25" t="s">
        <v>6</v>
      </c>
      <c r="EB1" s="25" t="s">
        <v>6</v>
      </c>
      <c r="EQ1" s="25" t="s">
        <v>6</v>
      </c>
      <c r="FF1" s="25" t="s">
        <v>6</v>
      </c>
    </row>
    <row r="2" spans="1:162" ht="12.75">
      <c r="A2" s="24"/>
      <c r="B2" s="12"/>
      <c r="C2" s="25" t="s">
        <v>5</v>
      </c>
      <c r="L2" s="25" t="s">
        <v>5</v>
      </c>
      <c r="AA2" s="25" t="s">
        <v>5</v>
      </c>
      <c r="AP2" s="25" t="s">
        <v>5</v>
      </c>
      <c r="BE2" s="25" t="s">
        <v>5</v>
      </c>
      <c r="BT2" s="25" t="s">
        <v>5</v>
      </c>
      <c r="CI2" s="25" t="s">
        <v>5</v>
      </c>
      <c r="CX2" s="25" t="s">
        <v>5</v>
      </c>
      <c r="DM2" s="25" t="s">
        <v>5</v>
      </c>
      <c r="EB2" s="25" t="s">
        <v>5</v>
      </c>
      <c r="EQ2" s="25" t="s">
        <v>5</v>
      </c>
      <c r="FF2" s="25" t="s">
        <v>5</v>
      </c>
    </row>
    <row r="3" spans="1:162" ht="12.75">
      <c r="A3" s="24"/>
      <c r="B3" s="12"/>
      <c r="C3" s="25" t="s">
        <v>10</v>
      </c>
      <c r="L3" s="25" t="s">
        <v>10</v>
      </c>
      <c r="AA3" s="25" t="s">
        <v>10</v>
      </c>
      <c r="AP3" s="25" t="s">
        <v>10</v>
      </c>
      <c r="BE3" s="25" t="s">
        <v>10</v>
      </c>
      <c r="BT3" s="25" t="s">
        <v>10</v>
      </c>
      <c r="CI3" s="25" t="s">
        <v>10</v>
      </c>
      <c r="CX3" s="25" t="s">
        <v>10</v>
      </c>
      <c r="DM3" s="25" t="s">
        <v>10</v>
      </c>
      <c r="EB3" s="25" t="s">
        <v>10</v>
      </c>
      <c r="EQ3" s="25" t="s">
        <v>10</v>
      </c>
      <c r="FF3" s="25" t="s">
        <v>10</v>
      </c>
    </row>
    <row r="4" spans="1:2" ht="12.75">
      <c r="A4" s="24"/>
      <c r="B4" s="12"/>
    </row>
    <row r="5" spans="1:170" ht="12.75">
      <c r="A5" s="5" t="s">
        <v>1</v>
      </c>
      <c r="C5" s="17" t="s">
        <v>13</v>
      </c>
      <c r="D5" s="18"/>
      <c r="E5" s="19"/>
      <c r="G5" s="17" t="s">
        <v>15</v>
      </c>
      <c r="H5" s="18"/>
      <c r="I5" s="19"/>
      <c r="J5" s="21"/>
      <c r="L5" s="17" t="s">
        <v>70</v>
      </c>
      <c r="M5" s="18"/>
      <c r="N5" s="19"/>
      <c r="O5" s="21"/>
      <c r="Q5" s="39" t="s">
        <v>16</v>
      </c>
      <c r="R5" s="18"/>
      <c r="S5" s="19"/>
      <c r="T5" s="21"/>
      <c r="V5" s="39" t="s">
        <v>68</v>
      </c>
      <c r="W5" s="18"/>
      <c r="X5" s="19"/>
      <c r="Y5" s="21"/>
      <c r="AA5" s="39" t="s">
        <v>17</v>
      </c>
      <c r="AB5" s="18"/>
      <c r="AC5" s="19"/>
      <c r="AD5" s="21"/>
      <c r="AE5" s="40"/>
      <c r="AF5" s="17" t="s">
        <v>18</v>
      </c>
      <c r="AG5" s="18"/>
      <c r="AH5" s="19"/>
      <c r="AI5" s="21"/>
      <c r="AK5" s="17" t="s">
        <v>19</v>
      </c>
      <c r="AL5" s="18"/>
      <c r="AM5" s="19"/>
      <c r="AN5" s="21"/>
      <c r="AP5" s="17" t="s">
        <v>20</v>
      </c>
      <c r="AQ5" s="18"/>
      <c r="AR5" s="19"/>
      <c r="AS5" s="21"/>
      <c r="AU5" s="17" t="s">
        <v>21</v>
      </c>
      <c r="AV5" s="18"/>
      <c r="AW5" s="19"/>
      <c r="AX5" s="21"/>
      <c r="AZ5" s="17" t="s">
        <v>22</v>
      </c>
      <c r="BA5" s="18"/>
      <c r="BB5" s="19"/>
      <c r="BC5" s="21"/>
      <c r="BE5" s="17" t="s">
        <v>23</v>
      </c>
      <c r="BF5" s="18"/>
      <c r="BG5" s="19"/>
      <c r="BH5" s="21"/>
      <c r="BI5" s="40"/>
      <c r="BJ5" s="17" t="s">
        <v>24</v>
      </c>
      <c r="BK5" s="18"/>
      <c r="BL5" s="19"/>
      <c r="BM5" s="21"/>
      <c r="BO5" s="17" t="s">
        <v>25</v>
      </c>
      <c r="BP5" s="18"/>
      <c r="BQ5" s="19"/>
      <c r="BR5" s="21"/>
      <c r="BT5" s="17" t="s">
        <v>26</v>
      </c>
      <c r="BU5" s="18"/>
      <c r="BV5" s="19"/>
      <c r="BW5" s="21"/>
      <c r="BY5" s="17" t="s">
        <v>27</v>
      </c>
      <c r="BZ5" s="18"/>
      <c r="CA5" s="19"/>
      <c r="CB5" s="21"/>
      <c r="CD5" s="17" t="s">
        <v>28</v>
      </c>
      <c r="CE5" s="18"/>
      <c r="CF5" s="19"/>
      <c r="CG5" s="21"/>
      <c r="CI5" s="17" t="s">
        <v>29</v>
      </c>
      <c r="CJ5" s="18"/>
      <c r="CK5" s="19"/>
      <c r="CL5" s="21"/>
      <c r="CN5" s="17" t="s">
        <v>30</v>
      </c>
      <c r="CO5" s="18"/>
      <c r="CP5" s="19"/>
      <c r="CQ5" s="21"/>
      <c r="CS5" s="17" t="s">
        <v>31</v>
      </c>
      <c r="CT5" s="18"/>
      <c r="CU5" s="19"/>
      <c r="CV5" s="21"/>
      <c r="CX5" s="17" t="s">
        <v>32</v>
      </c>
      <c r="CY5" s="18"/>
      <c r="CZ5" s="19"/>
      <c r="DA5" s="21"/>
      <c r="DC5" s="17" t="s">
        <v>71</v>
      </c>
      <c r="DD5" s="18"/>
      <c r="DE5" s="19"/>
      <c r="DF5" s="21"/>
      <c r="DH5" s="17" t="s">
        <v>33</v>
      </c>
      <c r="DI5" s="18"/>
      <c r="DJ5" s="19"/>
      <c r="DK5" s="21"/>
      <c r="DM5" s="17" t="s">
        <v>34</v>
      </c>
      <c r="DN5" s="18"/>
      <c r="DO5" s="19"/>
      <c r="DP5" s="21"/>
      <c r="DR5" s="17" t="s">
        <v>35</v>
      </c>
      <c r="DS5" s="18"/>
      <c r="DT5" s="19"/>
      <c r="DU5" s="21"/>
      <c r="DW5" s="17" t="s">
        <v>36</v>
      </c>
      <c r="DX5" s="18"/>
      <c r="DY5" s="19"/>
      <c r="DZ5" s="21"/>
      <c r="EB5" s="17" t="s">
        <v>37</v>
      </c>
      <c r="EC5" s="18"/>
      <c r="ED5" s="19"/>
      <c r="EE5" s="21"/>
      <c r="EG5" s="17" t="s">
        <v>38</v>
      </c>
      <c r="EH5" s="18"/>
      <c r="EI5" s="19"/>
      <c r="EJ5" s="21"/>
      <c r="EL5" s="17" t="s">
        <v>39</v>
      </c>
      <c r="EM5" s="18"/>
      <c r="EN5" s="19"/>
      <c r="EO5" s="21"/>
      <c r="EQ5" s="17" t="s">
        <v>40</v>
      </c>
      <c r="ER5" s="18"/>
      <c r="ES5" s="19"/>
      <c r="ET5" s="21"/>
      <c r="EV5" s="17" t="s">
        <v>41</v>
      </c>
      <c r="EW5" s="18"/>
      <c r="EX5" s="19"/>
      <c r="EY5" s="21"/>
      <c r="FA5" s="17" t="s">
        <v>42</v>
      </c>
      <c r="FB5" s="18"/>
      <c r="FC5" s="19"/>
      <c r="FD5" s="21"/>
      <c r="FF5" s="17" t="s">
        <v>43</v>
      </c>
      <c r="FG5" s="18"/>
      <c r="FH5" s="19"/>
      <c r="FI5" s="21"/>
      <c r="FK5" s="17" t="s">
        <v>44</v>
      </c>
      <c r="FL5" s="18"/>
      <c r="FM5" s="19"/>
      <c r="FN5" s="21"/>
    </row>
    <row r="6" spans="1:171" s="1" customFormat="1" ht="12.75">
      <c r="A6" s="26" t="s">
        <v>2</v>
      </c>
      <c r="C6" s="20"/>
      <c r="D6" s="38">
        <v>1</v>
      </c>
      <c r="E6" s="19"/>
      <c r="F6" s="15"/>
      <c r="G6" s="20"/>
      <c r="H6" s="36">
        <v>0.0661452</v>
      </c>
      <c r="I6" s="19"/>
      <c r="J6" s="21" t="s">
        <v>73</v>
      </c>
      <c r="K6" s="15"/>
      <c r="L6" s="20"/>
      <c r="M6" s="36">
        <v>0.0011296</v>
      </c>
      <c r="N6" s="19"/>
      <c r="O6" s="21" t="s">
        <v>73</v>
      </c>
      <c r="P6" s="15"/>
      <c r="Q6" s="20"/>
      <c r="R6" s="36">
        <v>0.0050994</v>
      </c>
      <c r="S6" s="19"/>
      <c r="T6" s="21" t="s">
        <v>73</v>
      </c>
      <c r="U6" s="15"/>
      <c r="V6" s="20"/>
      <c r="W6" s="36">
        <v>0.0886797</v>
      </c>
      <c r="X6" s="19"/>
      <c r="Y6" s="21" t="s">
        <v>73</v>
      </c>
      <c r="Z6" s="15"/>
      <c r="AA6" s="20"/>
      <c r="AB6" s="36">
        <v>0.0010742</v>
      </c>
      <c r="AC6" s="19"/>
      <c r="AD6" s="21" t="s">
        <v>73</v>
      </c>
      <c r="AE6" s="40"/>
      <c r="AF6" s="20"/>
      <c r="AG6" s="36">
        <v>0.0009059</v>
      </c>
      <c r="AH6" s="19"/>
      <c r="AI6" s="21" t="s">
        <v>73</v>
      </c>
      <c r="AJ6" s="15"/>
      <c r="AK6" s="20"/>
      <c r="AL6" s="36">
        <v>0.0371668</v>
      </c>
      <c r="AM6" s="19"/>
      <c r="AN6" s="21" t="s">
        <v>73</v>
      </c>
      <c r="AO6" s="15"/>
      <c r="AP6" s="20"/>
      <c r="AQ6" s="36">
        <v>0.0762623</v>
      </c>
      <c r="AR6" s="19"/>
      <c r="AS6" s="21" t="s">
        <v>73</v>
      </c>
      <c r="AT6" s="15"/>
      <c r="AU6" s="20"/>
      <c r="AV6" s="36">
        <v>0.0008804</v>
      </c>
      <c r="AW6" s="19"/>
      <c r="AX6" s="21" t="s">
        <v>73</v>
      </c>
      <c r="AY6" s="15"/>
      <c r="AZ6" s="20"/>
      <c r="BA6" s="36">
        <v>0.0005914</v>
      </c>
      <c r="BB6" s="19"/>
      <c r="BC6" s="21" t="s">
        <v>73</v>
      </c>
      <c r="BD6" s="15"/>
      <c r="BE6" s="20"/>
      <c r="BF6" s="36">
        <v>-8.81E-05</v>
      </c>
      <c r="BG6" s="19"/>
      <c r="BH6" s="21" t="s">
        <v>73</v>
      </c>
      <c r="BI6" s="40"/>
      <c r="BJ6" s="20"/>
      <c r="BK6" s="36">
        <v>-5.74E-05</v>
      </c>
      <c r="BL6" s="19"/>
      <c r="BM6" s="21" t="s">
        <v>73</v>
      </c>
      <c r="BN6" s="15"/>
      <c r="BO6" s="20"/>
      <c r="BP6" s="36">
        <v>0.0021346</v>
      </c>
      <c r="BQ6" s="19"/>
      <c r="BR6" s="21" t="s">
        <v>73</v>
      </c>
      <c r="BS6" s="15"/>
      <c r="BT6" s="20"/>
      <c r="BU6" s="36">
        <v>0.013127</v>
      </c>
      <c r="BV6" s="19"/>
      <c r="BW6" s="21" t="s">
        <v>73</v>
      </c>
      <c r="BX6" s="15"/>
      <c r="BY6" s="20"/>
      <c r="BZ6" s="36">
        <v>0.0881851</v>
      </c>
      <c r="CA6" s="19"/>
      <c r="CB6" s="21" t="s">
        <v>73</v>
      </c>
      <c r="CC6" s="15"/>
      <c r="CD6" s="20"/>
      <c r="CE6" s="36">
        <v>0.0127232</v>
      </c>
      <c r="CF6" s="19"/>
      <c r="CG6" s="21" t="s">
        <v>73</v>
      </c>
      <c r="CH6" s="15"/>
      <c r="CI6" s="20"/>
      <c r="CJ6" s="36">
        <v>0.0259972</v>
      </c>
      <c r="CK6" s="19"/>
      <c r="CL6" s="21" t="s">
        <v>73</v>
      </c>
      <c r="CM6" s="15"/>
      <c r="CN6" s="20"/>
      <c r="CO6" s="36">
        <v>0.0042162</v>
      </c>
      <c r="CP6" s="19"/>
      <c r="CQ6" s="21" t="s">
        <v>73</v>
      </c>
      <c r="CR6" s="15"/>
      <c r="CS6" s="20"/>
      <c r="CT6" s="36">
        <v>0.0216282</v>
      </c>
      <c r="CU6" s="19"/>
      <c r="CV6" s="21" t="s">
        <v>73</v>
      </c>
      <c r="CW6" s="15"/>
      <c r="CX6" s="20"/>
      <c r="CY6" s="36">
        <v>0.0001933</v>
      </c>
      <c r="CZ6" s="19"/>
      <c r="DA6" s="21" t="s">
        <v>73</v>
      </c>
      <c r="DB6" s="15"/>
      <c r="DC6" s="20"/>
      <c r="DD6" s="36">
        <v>0.0002544</v>
      </c>
      <c r="DE6" s="19"/>
      <c r="DF6" s="21" t="s">
        <v>73</v>
      </c>
      <c r="DG6" s="15"/>
      <c r="DH6" s="20"/>
      <c r="DI6" s="36">
        <v>0.0128187</v>
      </c>
      <c r="DJ6" s="19"/>
      <c r="DK6" s="21" t="s">
        <v>73</v>
      </c>
      <c r="DL6" s="15"/>
      <c r="DM6" s="20"/>
      <c r="DN6" s="36">
        <v>0.000244</v>
      </c>
      <c r="DO6" s="19"/>
      <c r="DP6" s="21" t="s">
        <v>73</v>
      </c>
      <c r="DQ6" s="15"/>
      <c r="DR6" s="20"/>
      <c r="DS6" s="36">
        <v>0.0036459</v>
      </c>
      <c r="DT6" s="19"/>
      <c r="DU6" s="21" t="s">
        <v>73</v>
      </c>
      <c r="DV6" s="15"/>
      <c r="DW6" s="20"/>
      <c r="DX6" s="36">
        <v>0.0025327</v>
      </c>
      <c r="DY6" s="19"/>
      <c r="DZ6" s="21" t="s">
        <v>73</v>
      </c>
      <c r="EA6" s="15"/>
      <c r="EB6" s="20"/>
      <c r="EC6" s="36">
        <v>0.0009887</v>
      </c>
      <c r="ED6" s="19"/>
      <c r="EE6" s="21" t="s">
        <v>73</v>
      </c>
      <c r="EF6" s="15"/>
      <c r="EG6" s="20"/>
      <c r="EH6" s="36">
        <v>0.0111111</v>
      </c>
      <c r="EI6" s="19"/>
      <c r="EJ6" s="21" t="s">
        <v>73</v>
      </c>
      <c r="EK6" s="15"/>
      <c r="EL6" s="20"/>
      <c r="EM6" s="36">
        <v>0.0250422</v>
      </c>
      <c r="EN6" s="19"/>
      <c r="EO6" s="21" t="s">
        <v>73</v>
      </c>
      <c r="EP6" s="15"/>
      <c r="EQ6" s="20"/>
      <c r="ER6" s="36">
        <v>0.0031957</v>
      </c>
      <c r="ES6" s="19"/>
      <c r="ET6" s="21" t="s">
        <v>73</v>
      </c>
      <c r="EU6" s="15"/>
      <c r="EV6" s="20"/>
      <c r="EW6" s="36">
        <v>0.0050748</v>
      </c>
      <c r="EX6" s="19"/>
      <c r="EY6" s="21" t="s">
        <v>73</v>
      </c>
      <c r="EZ6" s="15"/>
      <c r="FA6" s="20"/>
      <c r="FB6" s="36">
        <v>0.0235189</v>
      </c>
      <c r="FC6" s="19"/>
      <c r="FD6" s="21" t="s">
        <v>73</v>
      </c>
      <c r="FE6" s="15"/>
      <c r="FF6" s="20"/>
      <c r="FG6" s="36">
        <v>0.0012482</v>
      </c>
      <c r="FH6" s="19"/>
      <c r="FI6" s="21" t="s">
        <v>73</v>
      </c>
      <c r="FJ6" s="15"/>
      <c r="FK6" s="20"/>
      <c r="FL6" s="36">
        <v>0.0071564</v>
      </c>
      <c r="FM6" s="19"/>
      <c r="FN6" s="21" t="s">
        <v>73</v>
      </c>
      <c r="FO6" s="15"/>
    </row>
    <row r="7" spans="1:170" ht="12.75">
      <c r="A7" s="9"/>
      <c r="C7" s="21" t="s">
        <v>3</v>
      </c>
      <c r="D7" s="21" t="s">
        <v>4</v>
      </c>
      <c r="E7" s="21" t="s">
        <v>0</v>
      </c>
      <c r="G7" s="21" t="s">
        <v>3</v>
      </c>
      <c r="H7" s="21" t="s">
        <v>4</v>
      </c>
      <c r="I7" s="21" t="s">
        <v>0</v>
      </c>
      <c r="J7" s="21" t="s">
        <v>74</v>
      </c>
      <c r="L7" s="21" t="s">
        <v>3</v>
      </c>
      <c r="M7" s="21" t="s">
        <v>4</v>
      </c>
      <c r="N7" s="21" t="s">
        <v>0</v>
      </c>
      <c r="O7" s="21" t="s">
        <v>74</v>
      </c>
      <c r="Q7" s="21" t="s">
        <v>3</v>
      </c>
      <c r="R7" s="21" t="s">
        <v>4</v>
      </c>
      <c r="S7" s="21" t="s">
        <v>0</v>
      </c>
      <c r="T7" s="21" t="s">
        <v>74</v>
      </c>
      <c r="V7" s="21" t="s">
        <v>3</v>
      </c>
      <c r="W7" s="21" t="s">
        <v>4</v>
      </c>
      <c r="X7" s="21" t="s">
        <v>0</v>
      </c>
      <c r="Y7" s="21" t="s">
        <v>74</v>
      </c>
      <c r="AA7" s="21" t="s">
        <v>3</v>
      </c>
      <c r="AB7" s="21" t="s">
        <v>4</v>
      </c>
      <c r="AC7" s="21" t="s">
        <v>0</v>
      </c>
      <c r="AD7" s="21" t="s">
        <v>74</v>
      </c>
      <c r="AE7" s="41"/>
      <c r="AF7" s="21" t="s">
        <v>3</v>
      </c>
      <c r="AG7" s="21" t="s">
        <v>4</v>
      </c>
      <c r="AH7" s="21" t="s">
        <v>0</v>
      </c>
      <c r="AI7" s="21" t="s">
        <v>74</v>
      </c>
      <c r="AK7" s="21" t="s">
        <v>3</v>
      </c>
      <c r="AL7" s="21" t="s">
        <v>4</v>
      </c>
      <c r="AM7" s="21" t="s">
        <v>0</v>
      </c>
      <c r="AN7" s="21" t="s">
        <v>74</v>
      </c>
      <c r="AP7" s="21" t="s">
        <v>3</v>
      </c>
      <c r="AQ7" s="21" t="s">
        <v>4</v>
      </c>
      <c r="AR7" s="21" t="s">
        <v>0</v>
      </c>
      <c r="AS7" s="21" t="s">
        <v>74</v>
      </c>
      <c r="AU7" s="21" t="s">
        <v>3</v>
      </c>
      <c r="AV7" s="21" t="s">
        <v>4</v>
      </c>
      <c r="AW7" s="21" t="s">
        <v>0</v>
      </c>
      <c r="AX7" s="21" t="s">
        <v>74</v>
      </c>
      <c r="AZ7" s="21" t="s">
        <v>3</v>
      </c>
      <c r="BA7" s="21" t="s">
        <v>4</v>
      </c>
      <c r="BB7" s="21" t="s">
        <v>0</v>
      </c>
      <c r="BC7" s="21" t="s">
        <v>74</v>
      </c>
      <c r="BE7" s="21" t="s">
        <v>3</v>
      </c>
      <c r="BF7" s="21" t="s">
        <v>4</v>
      </c>
      <c r="BG7" s="21" t="s">
        <v>0</v>
      </c>
      <c r="BH7" s="21" t="s">
        <v>74</v>
      </c>
      <c r="BI7" s="41"/>
      <c r="BJ7" s="21" t="s">
        <v>3</v>
      </c>
      <c r="BK7" s="21" t="s">
        <v>4</v>
      </c>
      <c r="BL7" s="21" t="s">
        <v>0</v>
      </c>
      <c r="BM7" s="21" t="s">
        <v>74</v>
      </c>
      <c r="BO7" s="21" t="s">
        <v>3</v>
      </c>
      <c r="BP7" s="21" t="s">
        <v>4</v>
      </c>
      <c r="BQ7" s="21" t="s">
        <v>0</v>
      </c>
      <c r="BR7" s="21" t="s">
        <v>74</v>
      </c>
      <c r="BT7" s="21" t="s">
        <v>3</v>
      </c>
      <c r="BU7" s="21" t="s">
        <v>4</v>
      </c>
      <c r="BV7" s="21" t="s">
        <v>0</v>
      </c>
      <c r="BW7" s="21" t="s">
        <v>74</v>
      </c>
      <c r="BY7" s="21" t="s">
        <v>3</v>
      </c>
      <c r="BZ7" s="21" t="s">
        <v>4</v>
      </c>
      <c r="CA7" s="21" t="s">
        <v>0</v>
      </c>
      <c r="CB7" s="21" t="s">
        <v>74</v>
      </c>
      <c r="CD7" s="21" t="s">
        <v>3</v>
      </c>
      <c r="CE7" s="21" t="s">
        <v>4</v>
      </c>
      <c r="CF7" s="21" t="s">
        <v>0</v>
      </c>
      <c r="CG7" s="21" t="s">
        <v>74</v>
      </c>
      <c r="CI7" s="21" t="s">
        <v>3</v>
      </c>
      <c r="CJ7" s="21" t="s">
        <v>4</v>
      </c>
      <c r="CK7" s="21" t="s">
        <v>0</v>
      </c>
      <c r="CL7" s="21" t="s">
        <v>74</v>
      </c>
      <c r="CN7" s="21" t="s">
        <v>3</v>
      </c>
      <c r="CO7" s="21" t="s">
        <v>4</v>
      </c>
      <c r="CP7" s="21" t="s">
        <v>0</v>
      </c>
      <c r="CQ7" s="21" t="s">
        <v>74</v>
      </c>
      <c r="CS7" s="21" t="s">
        <v>3</v>
      </c>
      <c r="CT7" s="21" t="s">
        <v>4</v>
      </c>
      <c r="CU7" s="21" t="s">
        <v>0</v>
      </c>
      <c r="CV7" s="21" t="s">
        <v>74</v>
      </c>
      <c r="CX7" s="21" t="s">
        <v>3</v>
      </c>
      <c r="CY7" s="21" t="s">
        <v>4</v>
      </c>
      <c r="CZ7" s="21" t="s">
        <v>0</v>
      </c>
      <c r="DA7" s="21" t="s">
        <v>74</v>
      </c>
      <c r="DC7" s="21" t="s">
        <v>3</v>
      </c>
      <c r="DD7" s="21" t="s">
        <v>4</v>
      </c>
      <c r="DE7" s="21" t="s">
        <v>0</v>
      </c>
      <c r="DF7" s="21" t="s">
        <v>74</v>
      </c>
      <c r="DH7" s="21" t="s">
        <v>3</v>
      </c>
      <c r="DI7" s="21" t="s">
        <v>4</v>
      </c>
      <c r="DJ7" s="21" t="s">
        <v>0</v>
      </c>
      <c r="DK7" s="21" t="s">
        <v>74</v>
      </c>
      <c r="DM7" s="21" t="s">
        <v>3</v>
      </c>
      <c r="DN7" s="21" t="s">
        <v>4</v>
      </c>
      <c r="DO7" s="21" t="s">
        <v>0</v>
      </c>
      <c r="DP7" s="21" t="s">
        <v>74</v>
      </c>
      <c r="DR7" s="21" t="s">
        <v>3</v>
      </c>
      <c r="DS7" s="21" t="s">
        <v>4</v>
      </c>
      <c r="DT7" s="21" t="s">
        <v>0</v>
      </c>
      <c r="DU7" s="21" t="s">
        <v>74</v>
      </c>
      <c r="DW7" s="21" t="s">
        <v>3</v>
      </c>
      <c r="DX7" s="21" t="s">
        <v>4</v>
      </c>
      <c r="DY7" s="21" t="s">
        <v>0</v>
      </c>
      <c r="DZ7" s="21" t="s">
        <v>74</v>
      </c>
      <c r="EB7" s="21" t="s">
        <v>3</v>
      </c>
      <c r="EC7" s="21" t="s">
        <v>4</v>
      </c>
      <c r="ED7" s="21" t="s">
        <v>0</v>
      </c>
      <c r="EE7" s="21" t="s">
        <v>74</v>
      </c>
      <c r="EG7" s="21" t="s">
        <v>3</v>
      </c>
      <c r="EH7" s="21" t="s">
        <v>4</v>
      </c>
      <c r="EI7" s="21" t="s">
        <v>0</v>
      </c>
      <c r="EJ7" s="21" t="s">
        <v>74</v>
      </c>
      <c r="EL7" s="21" t="s">
        <v>3</v>
      </c>
      <c r="EM7" s="21" t="s">
        <v>4</v>
      </c>
      <c r="EN7" s="21" t="s">
        <v>0</v>
      </c>
      <c r="EO7" s="21" t="s">
        <v>74</v>
      </c>
      <c r="EQ7" s="21" t="s">
        <v>3</v>
      </c>
      <c r="ER7" s="21" t="s">
        <v>4</v>
      </c>
      <c r="ES7" s="21" t="s">
        <v>0</v>
      </c>
      <c r="ET7" s="21" t="s">
        <v>74</v>
      </c>
      <c r="EV7" s="21" t="s">
        <v>3</v>
      </c>
      <c r="EW7" s="21" t="s">
        <v>4</v>
      </c>
      <c r="EX7" s="21" t="s">
        <v>0</v>
      </c>
      <c r="EY7" s="21" t="s">
        <v>74</v>
      </c>
      <c r="FA7" s="21" t="s">
        <v>3</v>
      </c>
      <c r="FB7" s="21" t="s">
        <v>4</v>
      </c>
      <c r="FC7" s="21" t="s">
        <v>0</v>
      </c>
      <c r="FD7" s="21" t="s">
        <v>74</v>
      </c>
      <c r="FF7" s="21" t="s">
        <v>3</v>
      </c>
      <c r="FG7" s="21" t="s">
        <v>4</v>
      </c>
      <c r="FH7" s="21" t="s">
        <v>0</v>
      </c>
      <c r="FI7" s="21" t="s">
        <v>74</v>
      </c>
      <c r="FK7" s="21" t="s">
        <v>3</v>
      </c>
      <c r="FL7" s="21" t="s">
        <v>4</v>
      </c>
      <c r="FM7" s="21" t="s">
        <v>0</v>
      </c>
      <c r="FN7" s="21" t="s">
        <v>74</v>
      </c>
    </row>
    <row r="8" spans="1:170" ht="12.75">
      <c r="A8" s="2">
        <v>39722</v>
      </c>
      <c r="C8" s="16"/>
      <c r="D8" s="16">
        <v>1925266</v>
      </c>
      <c r="E8" s="16">
        <f aca="true" t="shared" si="0" ref="E8:E39">C8+D8</f>
        <v>1925266</v>
      </c>
      <c r="H8" s="15">
        <f aca="true" t="shared" si="1" ref="H8:H39">D8*6.61452/100</f>
        <v>127347.1046232</v>
      </c>
      <c r="I8" s="33">
        <f aca="true" t="shared" si="2" ref="I8:I38">G8+H8</f>
        <v>127347.1046232</v>
      </c>
      <c r="J8" s="33">
        <v>13330</v>
      </c>
      <c r="M8" s="15">
        <f aca="true" t="shared" si="3" ref="M8:M39">D8*0.11296/100</f>
        <v>2174.7804736</v>
      </c>
      <c r="N8" s="15">
        <f aca="true" t="shared" si="4" ref="N8:N39">L8+M8</f>
        <v>2174.7804736</v>
      </c>
      <c r="O8" s="15">
        <v>228</v>
      </c>
      <c r="Q8" s="33"/>
      <c r="R8" s="15">
        <f aca="true" t="shared" si="5" ref="R8:R39">D8*0.50994/100</f>
        <v>9817.7014404</v>
      </c>
      <c r="S8" s="15">
        <f aca="true" t="shared" si="6" ref="S8:S39">Q8+R8</f>
        <v>9817.7014404</v>
      </c>
      <c r="T8" s="15">
        <v>1028</v>
      </c>
      <c r="W8" s="15">
        <f aca="true" t="shared" si="7" ref="W8:W39">D8*8.86797/100</f>
        <v>170732.0113002</v>
      </c>
      <c r="X8" s="15">
        <f aca="true" t="shared" si="8" ref="X8:X39">V8+W8</f>
        <v>170732.0113002</v>
      </c>
      <c r="Y8" s="15">
        <v>17871</v>
      </c>
      <c r="AB8" s="15">
        <f aca="true" t="shared" si="9" ref="AB8:AB39">D8*0.10742/100</f>
        <v>2068.1207372000003</v>
      </c>
      <c r="AC8" s="15">
        <f aca="true" t="shared" si="10" ref="AC8:AC39">AA8+AB8</f>
        <v>2068.1207372000003</v>
      </c>
      <c r="AD8" s="15">
        <v>216</v>
      </c>
      <c r="AG8" s="15">
        <f aca="true" t="shared" si="11" ref="AG8:AG39">D8*0.09059/100</f>
        <v>1744.0984694</v>
      </c>
      <c r="AH8" s="15">
        <f aca="true" t="shared" si="12" ref="AH8:AH39">AF8+AG8</f>
        <v>1744.0984694</v>
      </c>
      <c r="AI8" s="15">
        <v>183</v>
      </c>
      <c r="AL8" s="15">
        <f aca="true" t="shared" si="13" ref="AL8:AL39">D8*3.71668/100</f>
        <v>71555.9763688</v>
      </c>
      <c r="AM8" s="15">
        <f aca="true" t="shared" si="14" ref="AM8:AM39">AK8+AL8</f>
        <v>71555.9763688</v>
      </c>
      <c r="AN8" s="15">
        <v>7490</v>
      </c>
      <c r="AQ8" s="15">
        <f aca="true" t="shared" si="15" ref="AQ8:AQ39">D8*7.62623/100</f>
        <v>146825.2132718</v>
      </c>
      <c r="AR8" s="15">
        <f aca="true" t="shared" si="16" ref="AR8:AR39">AP8+AQ8</f>
        <v>146825.2132718</v>
      </c>
      <c r="AS8" s="15">
        <v>15369</v>
      </c>
      <c r="AV8" s="15">
        <f aca="true" t="shared" si="17" ref="AV8:AV39">D8*0.08804/100</f>
        <v>1695.0041864</v>
      </c>
      <c r="AW8" s="15">
        <f aca="true" t="shared" si="18" ref="AW8:AW39">AU8+AV8</f>
        <v>1695.0041864</v>
      </c>
      <c r="AX8" s="15">
        <v>177</v>
      </c>
      <c r="BA8" s="15">
        <f aca="true" t="shared" si="19" ref="BA8:BA39">D8*0.05914/100</f>
        <v>1138.6023123999998</v>
      </c>
      <c r="BB8" s="15">
        <f aca="true" t="shared" si="20" ref="BB8:BB39">AZ8+BA8</f>
        <v>1138.6023123999998</v>
      </c>
      <c r="BC8" s="15">
        <v>119</v>
      </c>
      <c r="BF8" s="15">
        <f aca="true" t="shared" si="21" ref="BF8:BF39">D8*-0.00881/100</f>
        <v>-169.6159346</v>
      </c>
      <c r="BG8" s="15">
        <f aca="true" t="shared" si="22" ref="BG8:BG39">BE8+BF8</f>
        <v>-169.6159346</v>
      </c>
      <c r="BH8" s="15">
        <v>-18</v>
      </c>
      <c r="BK8" s="15">
        <f aca="true" t="shared" si="23" ref="BK8:BK39">D8*-0.00574/100</f>
        <v>-110.5102684</v>
      </c>
      <c r="BL8" s="15">
        <f aca="true" t="shared" si="24" ref="BL8:BL39">BJ8+BK8</f>
        <v>-110.5102684</v>
      </c>
      <c r="BM8" s="15">
        <v>-12</v>
      </c>
      <c r="BP8" s="15">
        <f aca="true" t="shared" si="25" ref="BP8:BP39">D8*0.21346/100</f>
        <v>4109.6728036</v>
      </c>
      <c r="BQ8" s="15">
        <f aca="true" t="shared" si="26" ref="BQ8:BQ39">BO8+BP8</f>
        <v>4109.6728036</v>
      </c>
      <c r="BR8" s="15">
        <v>430</v>
      </c>
      <c r="BU8" s="15">
        <f aca="true" t="shared" si="27" ref="BU8:BU39">D8*1.3127/100</f>
        <v>25272.966782</v>
      </c>
      <c r="BV8" s="15">
        <f aca="true" t="shared" si="28" ref="BV8:BV39">BT8+BU8</f>
        <v>25272.966782</v>
      </c>
      <c r="BW8" s="15">
        <v>2645</v>
      </c>
      <c r="BZ8" s="15">
        <f aca="true" t="shared" si="29" ref="BZ8:BZ39">D8*8.81851/100</f>
        <v>169779.7747366</v>
      </c>
      <c r="CA8" s="15">
        <f aca="true" t="shared" si="30" ref="CA8:CA39">BY8+BZ8</f>
        <v>169779.7747366</v>
      </c>
      <c r="CB8" s="15">
        <v>17771</v>
      </c>
      <c r="CE8" s="15">
        <f aca="true" t="shared" si="31" ref="CE8:CE39">D8*1.27232/100</f>
        <v>24495.544371199998</v>
      </c>
      <c r="CF8" s="15">
        <f aca="true" t="shared" si="32" ref="CF8:CF39">CD8+CE8</f>
        <v>24495.544371199998</v>
      </c>
      <c r="CG8" s="15">
        <v>2564</v>
      </c>
      <c r="CJ8" s="15">
        <f aca="true" t="shared" si="33" ref="CJ8:CJ39">D8*2.59972/100</f>
        <v>50051.525255199995</v>
      </c>
      <c r="CK8" s="15">
        <f aca="true" t="shared" si="34" ref="CK8:CK39">CI8+CJ8</f>
        <v>50051.525255199995</v>
      </c>
      <c r="CL8" s="15">
        <v>5239</v>
      </c>
      <c r="CO8" s="15">
        <f aca="true" t="shared" si="35" ref="CO8:CO39">D8*0.42162/100</f>
        <v>8117.306509200001</v>
      </c>
      <c r="CP8" s="15">
        <f aca="true" t="shared" si="36" ref="CP8:CP39">CN8+CO8</f>
        <v>8117.306509200001</v>
      </c>
      <c r="CQ8" s="15">
        <v>850</v>
      </c>
      <c r="CT8" s="15">
        <f aca="true" t="shared" si="37" ref="CT8:CT39">D8*2.16282/100</f>
        <v>41640.0381012</v>
      </c>
      <c r="CU8" s="15">
        <f aca="true" t="shared" si="38" ref="CU8:CU39">CS8+CT8</f>
        <v>41640.0381012</v>
      </c>
      <c r="CV8" s="15">
        <v>4359</v>
      </c>
      <c r="CY8" s="15">
        <f aca="true" t="shared" si="39" ref="CY8:CY39">D8*0.01933/100</f>
        <v>372.1539178</v>
      </c>
      <c r="CZ8" s="15">
        <f aca="true" t="shared" si="40" ref="CZ8:CZ39">CX8+CY8</f>
        <v>372.1539178</v>
      </c>
      <c r="DA8" s="15">
        <v>39</v>
      </c>
      <c r="DD8" s="15">
        <f aca="true" t="shared" si="41" ref="DD8:DD39">D8*0.02544/100</f>
        <v>489.78767039999997</v>
      </c>
      <c r="DE8" s="15">
        <f aca="true" t="shared" si="42" ref="DE8:DE39">DC8+DD8</f>
        <v>489.78767039999997</v>
      </c>
      <c r="DF8" s="15">
        <v>51</v>
      </c>
      <c r="DI8" s="15">
        <f aca="true" t="shared" si="43" ref="DI8:DI39">D8*1.28187/100</f>
        <v>24679.4072742</v>
      </c>
      <c r="DJ8" s="15">
        <f aca="true" t="shared" si="44" ref="DJ8:DJ39">DH8+DI8</f>
        <v>24679.4072742</v>
      </c>
      <c r="DK8" s="15">
        <v>2583</v>
      </c>
      <c r="DN8" s="15">
        <f aca="true" t="shared" si="45" ref="DN8:DN39">D8*0.0244/100</f>
        <v>469.764904</v>
      </c>
      <c r="DO8" s="15">
        <f aca="true" t="shared" si="46" ref="DO8:DO39">DM8+DN8</f>
        <v>469.764904</v>
      </c>
      <c r="DP8" s="15">
        <v>49</v>
      </c>
      <c r="DS8" s="15">
        <f aca="true" t="shared" si="47" ref="DS8:DS39">D8*0.36459/100</f>
        <v>7019.327309400001</v>
      </c>
      <c r="DT8" s="15">
        <f aca="true" t="shared" si="48" ref="DT8:DT39">DR8+DS8</f>
        <v>7019.327309400001</v>
      </c>
      <c r="DU8" s="15">
        <v>735</v>
      </c>
      <c r="DX8" s="15">
        <f aca="true" t="shared" si="49" ref="DX8:DX39">D8*0.25327/100</f>
        <v>4876.1211981999995</v>
      </c>
      <c r="DY8" s="15">
        <f aca="true" t="shared" si="50" ref="DY8:DY39">DW8+DX8</f>
        <v>4876.1211981999995</v>
      </c>
      <c r="DZ8" s="15">
        <v>510</v>
      </c>
      <c r="EC8" s="15">
        <f aca="true" t="shared" si="51" ref="EC8:EC39">D8*0.09887/100</f>
        <v>1903.5104942</v>
      </c>
      <c r="ED8" s="15">
        <f aca="true" t="shared" si="52" ref="ED8:ED39">EB8+EC8</f>
        <v>1903.5104942</v>
      </c>
      <c r="EE8" s="15">
        <v>199</v>
      </c>
      <c r="EH8" s="15">
        <f aca="true" t="shared" si="53" ref="EH8:EH39">D8*1.11111/100</f>
        <v>21391.823052600004</v>
      </c>
      <c r="EI8" s="15">
        <f aca="true" t="shared" si="54" ref="EI8:EI39">EG8+EH8</f>
        <v>21391.823052600004</v>
      </c>
      <c r="EJ8" s="15">
        <v>2239</v>
      </c>
      <c r="EM8" s="15">
        <f aca="true" t="shared" si="55" ref="EM8:EM39">D8*2.50422/100</f>
        <v>48212.896225200006</v>
      </c>
      <c r="EN8" s="15">
        <f aca="true" t="shared" si="56" ref="EN8:EN39">EL8+EM8</f>
        <v>48212.896225200006</v>
      </c>
      <c r="EO8" s="15">
        <v>5047</v>
      </c>
      <c r="ER8" s="15">
        <f aca="true" t="shared" si="57" ref="ER8:ER39">D8*0.31957/100</f>
        <v>6152.572556200001</v>
      </c>
      <c r="ES8" s="15">
        <f aca="true" t="shared" si="58" ref="ES8:ES39">EQ8+ER8</f>
        <v>6152.572556200001</v>
      </c>
      <c r="ET8" s="15">
        <v>644</v>
      </c>
      <c r="EW8" s="15">
        <f aca="true" t="shared" si="59" ref="EW8:EW39">D8*0.50748/100</f>
        <v>9770.339896800002</v>
      </c>
      <c r="EX8" s="15">
        <f aca="true" t="shared" si="60" ref="EX8:EX39">EV8+EW8</f>
        <v>9770.339896800002</v>
      </c>
      <c r="EY8" s="15">
        <v>1023</v>
      </c>
      <c r="FB8" s="15">
        <f aca="true" t="shared" si="61" ref="FB8:FB39">D8*2.35189/100</f>
        <v>45280.1385274</v>
      </c>
      <c r="FC8" s="15">
        <f aca="true" t="shared" si="62" ref="FC8:FC39">FA8+FB8</f>
        <v>45280.1385274</v>
      </c>
      <c r="FD8" s="15">
        <v>4740</v>
      </c>
      <c r="FG8" s="15">
        <f aca="true" t="shared" si="63" ref="FG8:FG39">D8*0.12482/100</f>
        <v>2403.1170212</v>
      </c>
      <c r="FH8" s="15">
        <f aca="true" t="shared" si="64" ref="FH8:FH39">FF8+FG8</f>
        <v>2403.1170212</v>
      </c>
      <c r="FI8" s="15">
        <v>252</v>
      </c>
      <c r="FL8" s="15">
        <f aca="true" t="shared" si="65" ref="FL8:FL39">D8*0.71564/100</f>
        <v>13777.973602400001</v>
      </c>
      <c r="FM8" s="15">
        <f aca="true" t="shared" si="66" ref="FM8:FM39">FK8+FL8</f>
        <v>13777.973602400001</v>
      </c>
      <c r="FN8" s="15">
        <v>1442</v>
      </c>
    </row>
    <row r="9" spans="1:170" ht="12.75">
      <c r="A9" s="2">
        <v>39904</v>
      </c>
      <c r="C9" s="16">
        <v>3520000</v>
      </c>
      <c r="D9" s="16">
        <v>1925266</v>
      </c>
      <c r="E9" s="16">
        <f t="shared" si="0"/>
        <v>5445266</v>
      </c>
      <c r="G9" s="15">
        <f aca="true" t="shared" si="67" ref="G9:G39">C9*6.61452/100</f>
        <v>232831.104</v>
      </c>
      <c r="H9" s="15">
        <f t="shared" si="1"/>
        <v>127347.1046232</v>
      </c>
      <c r="I9" s="33">
        <f t="shared" si="2"/>
        <v>360178.20862319996</v>
      </c>
      <c r="J9" s="33">
        <v>13330</v>
      </c>
      <c r="L9" s="15">
        <f aca="true" t="shared" si="68" ref="L9:L39">C9*0.11296/100</f>
        <v>3976.192</v>
      </c>
      <c r="M9" s="15">
        <f t="shared" si="3"/>
        <v>2174.7804736</v>
      </c>
      <c r="N9" s="15">
        <f t="shared" si="4"/>
        <v>6150.9724736</v>
      </c>
      <c r="O9" s="15">
        <v>228</v>
      </c>
      <c r="Q9" s="33">
        <f aca="true" t="shared" si="69" ref="Q9:Q39">C9*0.50994/100</f>
        <v>17949.888</v>
      </c>
      <c r="R9" s="15">
        <f t="shared" si="5"/>
        <v>9817.7014404</v>
      </c>
      <c r="S9" s="15">
        <f t="shared" si="6"/>
        <v>27767.5894404</v>
      </c>
      <c r="T9" s="15">
        <v>1028</v>
      </c>
      <c r="V9" s="15">
        <f aca="true" t="shared" si="70" ref="V9:V39">C9*8.86797/100</f>
        <v>312152.544</v>
      </c>
      <c r="W9" s="15">
        <f t="shared" si="7"/>
        <v>170732.0113002</v>
      </c>
      <c r="X9" s="15">
        <f t="shared" si="8"/>
        <v>482884.5553002</v>
      </c>
      <c r="Y9" s="15">
        <v>17871</v>
      </c>
      <c r="AA9" s="15">
        <f aca="true" t="shared" si="71" ref="AA9:AA39">C9*0.10742/100</f>
        <v>3781.184</v>
      </c>
      <c r="AB9" s="15">
        <f t="shared" si="9"/>
        <v>2068.1207372000003</v>
      </c>
      <c r="AC9" s="15">
        <f t="shared" si="10"/>
        <v>5849.3047372</v>
      </c>
      <c r="AD9" s="15">
        <v>216</v>
      </c>
      <c r="AF9" s="15">
        <f aca="true" t="shared" si="72" ref="AF9:AF39">C9*0.09059/100</f>
        <v>3188.768</v>
      </c>
      <c r="AG9" s="15">
        <f t="shared" si="11"/>
        <v>1744.0984694</v>
      </c>
      <c r="AH9" s="15">
        <f t="shared" si="12"/>
        <v>4932.8664694</v>
      </c>
      <c r="AI9" s="15">
        <v>183</v>
      </c>
      <c r="AK9" s="15">
        <f aca="true" t="shared" si="73" ref="AK9:AK39">C9*3.71668/100</f>
        <v>130827.13600000001</v>
      </c>
      <c r="AL9" s="15">
        <f t="shared" si="13"/>
        <v>71555.9763688</v>
      </c>
      <c r="AM9" s="15">
        <f t="shared" si="14"/>
        <v>202383.1123688</v>
      </c>
      <c r="AN9" s="15">
        <v>7490</v>
      </c>
      <c r="AP9" s="15">
        <f aca="true" t="shared" si="74" ref="AP9:AP39">C9*7.62623/100</f>
        <v>268443.296</v>
      </c>
      <c r="AQ9" s="15">
        <f t="shared" si="15"/>
        <v>146825.2132718</v>
      </c>
      <c r="AR9" s="15">
        <f t="shared" si="16"/>
        <v>415268.50927179994</v>
      </c>
      <c r="AS9" s="15">
        <v>15369</v>
      </c>
      <c r="AU9" s="15">
        <f aca="true" t="shared" si="75" ref="AU9:AU39">C9*0.08804/100</f>
        <v>3099.008</v>
      </c>
      <c r="AV9" s="15">
        <f t="shared" si="17"/>
        <v>1695.0041864</v>
      </c>
      <c r="AW9" s="15">
        <f t="shared" si="18"/>
        <v>4794.012186399999</v>
      </c>
      <c r="AX9" s="15">
        <v>177</v>
      </c>
      <c r="AZ9" s="15">
        <f aca="true" t="shared" si="76" ref="AZ9:AZ39">C9*0.05914/100</f>
        <v>2081.728</v>
      </c>
      <c r="BA9" s="15">
        <f t="shared" si="19"/>
        <v>1138.6023123999998</v>
      </c>
      <c r="BB9" s="15">
        <f t="shared" si="20"/>
        <v>3220.3303124</v>
      </c>
      <c r="BC9" s="15">
        <v>119</v>
      </c>
      <c r="BE9" s="15">
        <f aca="true" t="shared" si="77" ref="BE9:BE39">C9*-0.00881/100</f>
        <v>-310.112</v>
      </c>
      <c r="BF9" s="15">
        <f t="shared" si="21"/>
        <v>-169.6159346</v>
      </c>
      <c r="BG9" s="15">
        <f t="shared" si="22"/>
        <v>-479.7279346</v>
      </c>
      <c r="BH9" s="15">
        <v>-18</v>
      </c>
      <c r="BJ9" s="15">
        <f aca="true" t="shared" si="78" ref="BJ9:BJ39">C9*-0.00574/100</f>
        <v>-202.04800000000003</v>
      </c>
      <c r="BK9" s="15">
        <f t="shared" si="23"/>
        <v>-110.5102684</v>
      </c>
      <c r="BL9" s="15">
        <f t="shared" si="24"/>
        <v>-312.55826840000003</v>
      </c>
      <c r="BM9" s="15">
        <v>-12</v>
      </c>
      <c r="BO9" s="15">
        <f aca="true" t="shared" si="79" ref="BO9:BO39">C9*0.21346/100</f>
        <v>7513.792</v>
      </c>
      <c r="BP9" s="15">
        <f t="shared" si="25"/>
        <v>4109.6728036</v>
      </c>
      <c r="BQ9" s="15">
        <f t="shared" si="26"/>
        <v>11623.4648036</v>
      </c>
      <c r="BR9" s="15">
        <v>430</v>
      </c>
      <c r="BT9" s="15">
        <f aca="true" t="shared" si="80" ref="BT9:BT39">C9*1.3127/100</f>
        <v>46207.04</v>
      </c>
      <c r="BU9" s="15">
        <f t="shared" si="27"/>
        <v>25272.966782</v>
      </c>
      <c r="BV9" s="15">
        <f t="shared" si="28"/>
        <v>71480.006782</v>
      </c>
      <c r="BW9" s="15">
        <v>2645</v>
      </c>
      <c r="BY9" s="15">
        <f aca="true" t="shared" si="81" ref="BY9:BY39">C9*8.81851/100</f>
        <v>310411.55199999997</v>
      </c>
      <c r="BZ9" s="15">
        <f t="shared" si="29"/>
        <v>169779.7747366</v>
      </c>
      <c r="CA9" s="15">
        <f t="shared" si="30"/>
        <v>480191.32673659996</v>
      </c>
      <c r="CB9" s="15">
        <v>17771</v>
      </c>
      <c r="CD9" s="15">
        <f aca="true" t="shared" si="82" ref="CD9:CD39">C9*1.27232/100</f>
        <v>44785.664</v>
      </c>
      <c r="CE9" s="15">
        <f t="shared" si="31"/>
        <v>24495.544371199998</v>
      </c>
      <c r="CF9" s="15">
        <f t="shared" si="32"/>
        <v>69281.20837119999</v>
      </c>
      <c r="CG9" s="15">
        <v>2564</v>
      </c>
      <c r="CI9" s="15">
        <f aca="true" t="shared" si="83" ref="CI9:CI39">C9*2.59972/100</f>
        <v>91510.144</v>
      </c>
      <c r="CJ9" s="15">
        <f t="shared" si="33"/>
        <v>50051.525255199995</v>
      </c>
      <c r="CK9" s="15">
        <f t="shared" si="34"/>
        <v>141561.6692552</v>
      </c>
      <c r="CL9" s="15">
        <v>5239</v>
      </c>
      <c r="CN9" s="15">
        <f aca="true" t="shared" si="84" ref="CN9:CN39">C9*0.42162/100</f>
        <v>14841.024</v>
      </c>
      <c r="CO9" s="15">
        <f t="shared" si="35"/>
        <v>8117.306509200001</v>
      </c>
      <c r="CP9" s="15">
        <f t="shared" si="36"/>
        <v>22958.3305092</v>
      </c>
      <c r="CQ9" s="15">
        <v>850</v>
      </c>
      <c r="CS9" s="15">
        <f aca="true" t="shared" si="85" ref="CS9:CS39">C9*2.16282/100</f>
        <v>76131.264</v>
      </c>
      <c r="CT9" s="15">
        <f t="shared" si="37"/>
        <v>41640.0381012</v>
      </c>
      <c r="CU9" s="15">
        <f t="shared" si="38"/>
        <v>117771.3021012</v>
      </c>
      <c r="CV9" s="15">
        <v>4359</v>
      </c>
      <c r="CX9" s="15">
        <f aca="true" t="shared" si="86" ref="CX9:CX39">C9*0.01933/100</f>
        <v>680.416</v>
      </c>
      <c r="CY9" s="15">
        <f t="shared" si="39"/>
        <v>372.1539178</v>
      </c>
      <c r="CZ9" s="15">
        <f t="shared" si="40"/>
        <v>1052.5699178</v>
      </c>
      <c r="DA9" s="15">
        <v>39</v>
      </c>
      <c r="DC9" s="15">
        <f aca="true" t="shared" si="87" ref="DC9:DC39">C9*0.02544/100</f>
        <v>895.488</v>
      </c>
      <c r="DD9" s="15">
        <f t="shared" si="41"/>
        <v>489.78767039999997</v>
      </c>
      <c r="DE9" s="15">
        <f t="shared" si="42"/>
        <v>1385.2756704</v>
      </c>
      <c r="DF9" s="15">
        <v>51</v>
      </c>
      <c r="DH9" s="15">
        <f aca="true" t="shared" si="88" ref="DH9:DH39">C9*1.28187/100</f>
        <v>45121.824</v>
      </c>
      <c r="DI9" s="15">
        <f t="shared" si="43"/>
        <v>24679.4072742</v>
      </c>
      <c r="DJ9" s="15">
        <f t="shared" si="44"/>
        <v>69801.23127419999</v>
      </c>
      <c r="DK9" s="15">
        <v>2583</v>
      </c>
      <c r="DM9" s="15">
        <f aca="true" t="shared" si="89" ref="DM9:DM39">C9*0.0244/100</f>
        <v>858.88</v>
      </c>
      <c r="DN9" s="15">
        <f t="shared" si="45"/>
        <v>469.764904</v>
      </c>
      <c r="DO9" s="15">
        <f t="shared" si="46"/>
        <v>1328.644904</v>
      </c>
      <c r="DP9" s="15">
        <v>49</v>
      </c>
      <c r="DR9" s="15">
        <f aca="true" t="shared" si="90" ref="DR9:DR39">C9*0.36459/100</f>
        <v>12833.568000000001</v>
      </c>
      <c r="DS9" s="15">
        <f t="shared" si="47"/>
        <v>7019.327309400001</v>
      </c>
      <c r="DT9" s="15">
        <f t="shared" si="48"/>
        <v>19852.895309400003</v>
      </c>
      <c r="DU9" s="15">
        <v>735</v>
      </c>
      <c r="DW9" s="15">
        <f aca="true" t="shared" si="91" ref="DW9:DW39">C9*0.25327/100</f>
        <v>8915.104</v>
      </c>
      <c r="DX9" s="15">
        <f t="shared" si="49"/>
        <v>4876.1211981999995</v>
      </c>
      <c r="DY9" s="15">
        <f t="shared" si="50"/>
        <v>13791.225198199998</v>
      </c>
      <c r="DZ9" s="15">
        <v>510</v>
      </c>
      <c r="EB9" s="15">
        <f aca="true" t="shared" si="92" ref="EB9:EB39">C9*0.09887/100</f>
        <v>3480.224</v>
      </c>
      <c r="EC9" s="15">
        <f t="shared" si="51"/>
        <v>1903.5104942</v>
      </c>
      <c r="ED9" s="15">
        <f t="shared" si="52"/>
        <v>5383.7344942</v>
      </c>
      <c r="EE9" s="15">
        <v>199</v>
      </c>
      <c r="EG9" s="15">
        <f aca="true" t="shared" si="93" ref="EG9:EG39">C9*1.11111/100</f>
        <v>39111.072</v>
      </c>
      <c r="EH9" s="15">
        <f t="shared" si="53"/>
        <v>21391.823052600004</v>
      </c>
      <c r="EI9" s="15">
        <f t="shared" si="54"/>
        <v>60502.895052600004</v>
      </c>
      <c r="EJ9" s="15">
        <v>2239</v>
      </c>
      <c r="EL9" s="15">
        <f aca="true" t="shared" si="94" ref="EL9:EL39">C9*2.50422/100</f>
        <v>88148.54400000001</v>
      </c>
      <c r="EM9" s="15">
        <f t="shared" si="55"/>
        <v>48212.896225200006</v>
      </c>
      <c r="EN9" s="15">
        <f t="shared" si="56"/>
        <v>136361.44022520003</v>
      </c>
      <c r="EO9" s="15">
        <v>5047</v>
      </c>
      <c r="EQ9" s="15">
        <f aca="true" t="shared" si="95" ref="EQ9:EQ39">C9*0.31957/100</f>
        <v>11248.864000000001</v>
      </c>
      <c r="ER9" s="15">
        <f t="shared" si="57"/>
        <v>6152.572556200001</v>
      </c>
      <c r="ES9" s="15">
        <f t="shared" si="58"/>
        <v>17401.436556200002</v>
      </c>
      <c r="ET9" s="15">
        <v>644</v>
      </c>
      <c r="EV9" s="15">
        <f aca="true" t="shared" si="96" ref="EV9:EV39">C9*0.50748/100</f>
        <v>17863.296000000002</v>
      </c>
      <c r="EW9" s="15">
        <f t="shared" si="59"/>
        <v>9770.339896800002</v>
      </c>
      <c r="EX9" s="15">
        <f t="shared" si="60"/>
        <v>27633.635896800006</v>
      </c>
      <c r="EY9" s="15">
        <v>1023</v>
      </c>
      <c r="FA9" s="15">
        <f aca="true" t="shared" si="97" ref="FA9:FA39">C9*2.35189/100</f>
        <v>82786.52799999999</v>
      </c>
      <c r="FB9" s="15">
        <f t="shared" si="61"/>
        <v>45280.1385274</v>
      </c>
      <c r="FC9" s="15">
        <f t="shared" si="62"/>
        <v>128066.6665274</v>
      </c>
      <c r="FD9" s="15">
        <v>4740</v>
      </c>
      <c r="FF9" s="15">
        <f aca="true" t="shared" si="98" ref="FF9:FF39">C9*0.12482/100</f>
        <v>4393.664000000001</v>
      </c>
      <c r="FG9" s="15">
        <f t="shared" si="63"/>
        <v>2403.1170212</v>
      </c>
      <c r="FH9" s="15">
        <f t="shared" si="64"/>
        <v>6796.7810212</v>
      </c>
      <c r="FI9" s="15">
        <v>252</v>
      </c>
      <c r="FK9" s="15">
        <f aca="true" t="shared" si="99" ref="FK9:FK39">C9*0.71564/100</f>
        <v>25190.528000000002</v>
      </c>
      <c r="FL9" s="15">
        <f t="shared" si="65"/>
        <v>13777.973602400001</v>
      </c>
      <c r="FM9" s="15">
        <f t="shared" si="66"/>
        <v>38968.50160240001</v>
      </c>
      <c r="FN9" s="15">
        <v>1442</v>
      </c>
    </row>
    <row r="10" spans="1:170" ht="12.75">
      <c r="A10" s="2">
        <v>40087</v>
      </c>
      <c r="C10" s="16"/>
      <c r="D10" s="16">
        <v>1837266</v>
      </c>
      <c r="E10" s="16">
        <f t="shared" si="0"/>
        <v>1837266</v>
      </c>
      <c r="H10" s="15">
        <f t="shared" si="1"/>
        <v>121526.3270232</v>
      </c>
      <c r="I10" s="33">
        <f t="shared" si="2"/>
        <v>121526.3270232</v>
      </c>
      <c r="J10" s="33">
        <v>13330</v>
      </c>
      <c r="M10" s="15">
        <f t="shared" si="3"/>
        <v>2075.3756736</v>
      </c>
      <c r="N10" s="15">
        <f t="shared" si="4"/>
        <v>2075.3756736</v>
      </c>
      <c r="O10" s="15">
        <v>228</v>
      </c>
      <c r="Q10" s="33"/>
      <c r="R10" s="15">
        <f t="shared" si="5"/>
        <v>9368.9542404</v>
      </c>
      <c r="S10" s="15">
        <f t="shared" si="6"/>
        <v>9368.9542404</v>
      </c>
      <c r="T10" s="15">
        <v>1028</v>
      </c>
      <c r="W10" s="15">
        <f t="shared" si="7"/>
        <v>162928.1977002</v>
      </c>
      <c r="X10" s="15">
        <f t="shared" si="8"/>
        <v>162928.1977002</v>
      </c>
      <c r="Y10" s="15">
        <v>17871</v>
      </c>
      <c r="AB10" s="15">
        <f t="shared" si="9"/>
        <v>1973.5911372</v>
      </c>
      <c r="AC10" s="15">
        <f t="shared" si="10"/>
        <v>1973.5911372</v>
      </c>
      <c r="AD10" s="15">
        <v>216</v>
      </c>
      <c r="AG10" s="15">
        <f t="shared" si="11"/>
        <v>1664.3792694</v>
      </c>
      <c r="AH10" s="15">
        <f t="shared" si="12"/>
        <v>1664.3792694</v>
      </c>
      <c r="AI10" s="15">
        <v>183</v>
      </c>
      <c r="AL10" s="15">
        <f t="shared" si="13"/>
        <v>68285.2979688</v>
      </c>
      <c r="AM10" s="15">
        <f t="shared" si="14"/>
        <v>68285.2979688</v>
      </c>
      <c r="AN10" s="15">
        <v>7490</v>
      </c>
      <c r="AQ10" s="15">
        <f t="shared" si="15"/>
        <v>140114.1308718</v>
      </c>
      <c r="AR10" s="15">
        <f t="shared" si="16"/>
        <v>140114.1308718</v>
      </c>
      <c r="AS10" s="15">
        <v>15369</v>
      </c>
      <c r="AV10" s="15">
        <f t="shared" si="17"/>
        <v>1617.5289864</v>
      </c>
      <c r="AW10" s="15">
        <f t="shared" si="18"/>
        <v>1617.5289864</v>
      </c>
      <c r="AX10" s="15">
        <v>177</v>
      </c>
      <c r="BA10" s="15">
        <f t="shared" si="19"/>
        <v>1086.5591124</v>
      </c>
      <c r="BB10" s="15">
        <f t="shared" si="20"/>
        <v>1086.5591124</v>
      </c>
      <c r="BC10" s="15">
        <v>119</v>
      </c>
      <c r="BF10" s="15">
        <f t="shared" si="21"/>
        <v>-161.8631346</v>
      </c>
      <c r="BG10" s="15">
        <f t="shared" si="22"/>
        <v>-161.8631346</v>
      </c>
      <c r="BH10" s="15">
        <v>-18</v>
      </c>
      <c r="BK10" s="15">
        <f t="shared" si="23"/>
        <v>-105.45906840000002</v>
      </c>
      <c r="BL10" s="15">
        <f t="shared" si="24"/>
        <v>-105.45906840000002</v>
      </c>
      <c r="BM10" s="15">
        <v>-12</v>
      </c>
      <c r="BP10" s="15">
        <f t="shared" si="25"/>
        <v>3921.8280036</v>
      </c>
      <c r="BQ10" s="15">
        <f t="shared" si="26"/>
        <v>3921.8280036</v>
      </c>
      <c r="BR10" s="15">
        <v>430</v>
      </c>
      <c r="BU10" s="15">
        <f t="shared" si="27"/>
        <v>24117.790782</v>
      </c>
      <c r="BV10" s="15">
        <f t="shared" si="28"/>
        <v>24117.790782</v>
      </c>
      <c r="BW10" s="15">
        <v>2645</v>
      </c>
      <c r="BZ10" s="15">
        <f t="shared" si="29"/>
        <v>162019.4859366</v>
      </c>
      <c r="CA10" s="15">
        <f t="shared" si="30"/>
        <v>162019.4859366</v>
      </c>
      <c r="CB10" s="15">
        <v>17771</v>
      </c>
      <c r="CE10" s="15">
        <f t="shared" si="31"/>
        <v>23375.9027712</v>
      </c>
      <c r="CF10" s="15">
        <f t="shared" si="32"/>
        <v>23375.9027712</v>
      </c>
      <c r="CG10" s="15">
        <v>2564</v>
      </c>
      <c r="CJ10" s="15">
        <f t="shared" si="33"/>
        <v>47763.771655200006</v>
      </c>
      <c r="CK10" s="15">
        <f t="shared" si="34"/>
        <v>47763.771655200006</v>
      </c>
      <c r="CL10" s="15">
        <v>5239</v>
      </c>
      <c r="CO10" s="15">
        <f t="shared" si="35"/>
        <v>7746.2809092</v>
      </c>
      <c r="CP10" s="15">
        <f t="shared" si="36"/>
        <v>7746.2809092</v>
      </c>
      <c r="CQ10" s="15">
        <v>850</v>
      </c>
      <c r="CT10" s="15">
        <f t="shared" si="37"/>
        <v>39736.7565012</v>
      </c>
      <c r="CU10" s="15">
        <f t="shared" si="38"/>
        <v>39736.7565012</v>
      </c>
      <c r="CV10" s="15">
        <v>4359</v>
      </c>
      <c r="CY10" s="15">
        <f t="shared" si="39"/>
        <v>355.1435178</v>
      </c>
      <c r="CZ10" s="15">
        <f t="shared" si="40"/>
        <v>355.1435178</v>
      </c>
      <c r="DA10" s="15">
        <v>39</v>
      </c>
      <c r="DD10" s="15">
        <f t="shared" si="41"/>
        <v>467.4004704000001</v>
      </c>
      <c r="DE10" s="15">
        <f t="shared" si="42"/>
        <v>467.4004704000001</v>
      </c>
      <c r="DF10" s="15">
        <v>51</v>
      </c>
      <c r="DI10" s="15">
        <f t="shared" si="43"/>
        <v>23551.3616742</v>
      </c>
      <c r="DJ10" s="15">
        <f t="shared" si="44"/>
        <v>23551.3616742</v>
      </c>
      <c r="DK10" s="15">
        <v>2583</v>
      </c>
      <c r="DN10" s="15">
        <f t="shared" si="45"/>
        <v>448.2929040000001</v>
      </c>
      <c r="DO10" s="15">
        <f t="shared" si="46"/>
        <v>448.2929040000001</v>
      </c>
      <c r="DP10" s="15">
        <v>49</v>
      </c>
      <c r="DS10" s="15">
        <f t="shared" si="47"/>
        <v>6698.4881094</v>
      </c>
      <c r="DT10" s="15">
        <f t="shared" si="48"/>
        <v>6698.4881094</v>
      </c>
      <c r="DU10" s="15">
        <v>735</v>
      </c>
      <c r="DX10" s="15">
        <f t="shared" si="49"/>
        <v>4653.2435982</v>
      </c>
      <c r="DY10" s="15">
        <f t="shared" si="50"/>
        <v>4653.2435982</v>
      </c>
      <c r="DZ10" s="15">
        <v>510</v>
      </c>
      <c r="EC10" s="15">
        <f t="shared" si="51"/>
        <v>1816.5048942</v>
      </c>
      <c r="ED10" s="15">
        <f t="shared" si="52"/>
        <v>1816.5048942</v>
      </c>
      <c r="EE10" s="15">
        <v>199</v>
      </c>
      <c r="EH10" s="15">
        <f t="shared" si="53"/>
        <v>20414.0462526</v>
      </c>
      <c r="EI10" s="15">
        <f t="shared" si="54"/>
        <v>20414.0462526</v>
      </c>
      <c r="EJ10" s="15">
        <v>2239</v>
      </c>
      <c r="EM10" s="15">
        <f t="shared" si="55"/>
        <v>46009.1826252</v>
      </c>
      <c r="EN10" s="15">
        <f t="shared" si="56"/>
        <v>46009.1826252</v>
      </c>
      <c r="EO10" s="15">
        <v>5047</v>
      </c>
      <c r="ER10" s="15">
        <f t="shared" si="57"/>
        <v>5871.3509562</v>
      </c>
      <c r="ES10" s="15">
        <f t="shared" si="58"/>
        <v>5871.3509562</v>
      </c>
      <c r="ET10" s="15">
        <v>644</v>
      </c>
      <c r="EW10" s="15">
        <f t="shared" si="59"/>
        <v>9323.7574968</v>
      </c>
      <c r="EX10" s="15">
        <f t="shared" si="60"/>
        <v>9323.7574968</v>
      </c>
      <c r="EY10" s="15">
        <v>1023</v>
      </c>
      <c r="FB10" s="15">
        <f t="shared" si="61"/>
        <v>43210.475327399996</v>
      </c>
      <c r="FC10" s="15">
        <f t="shared" si="62"/>
        <v>43210.475327399996</v>
      </c>
      <c r="FD10" s="15">
        <v>4740</v>
      </c>
      <c r="FG10" s="15">
        <f t="shared" si="63"/>
        <v>2293.2754212</v>
      </c>
      <c r="FH10" s="15">
        <f t="shared" si="64"/>
        <v>2293.2754212</v>
      </c>
      <c r="FI10" s="15">
        <v>252</v>
      </c>
      <c r="FL10" s="15">
        <f t="shared" si="65"/>
        <v>13148.2104024</v>
      </c>
      <c r="FM10" s="15">
        <f t="shared" si="66"/>
        <v>13148.2104024</v>
      </c>
      <c r="FN10" s="15">
        <v>1442</v>
      </c>
    </row>
    <row r="11" spans="1:170" ht="12.75">
      <c r="A11" s="2">
        <v>40269</v>
      </c>
      <c r="C11" s="16">
        <v>3700000</v>
      </c>
      <c r="D11" s="16">
        <v>1837266</v>
      </c>
      <c r="E11" s="16">
        <f t="shared" si="0"/>
        <v>5537266</v>
      </c>
      <c r="G11" s="15">
        <f t="shared" si="67"/>
        <v>244737.24</v>
      </c>
      <c r="H11" s="15">
        <f t="shared" si="1"/>
        <v>121526.3270232</v>
      </c>
      <c r="I11" s="33">
        <f t="shared" si="2"/>
        <v>366263.5670232</v>
      </c>
      <c r="J11" s="33">
        <v>13330</v>
      </c>
      <c r="L11" s="15">
        <f t="shared" si="68"/>
        <v>4179.52</v>
      </c>
      <c r="M11" s="15">
        <f t="shared" si="3"/>
        <v>2075.3756736</v>
      </c>
      <c r="N11" s="15">
        <f t="shared" si="4"/>
        <v>6254.8956736</v>
      </c>
      <c r="O11" s="15">
        <v>228</v>
      </c>
      <c r="Q11" s="33">
        <f t="shared" si="69"/>
        <v>18867.78</v>
      </c>
      <c r="R11" s="15">
        <f t="shared" si="5"/>
        <v>9368.9542404</v>
      </c>
      <c r="S11" s="15">
        <f t="shared" si="6"/>
        <v>28236.7342404</v>
      </c>
      <c r="T11" s="15">
        <v>1028</v>
      </c>
      <c r="V11" s="15">
        <f t="shared" si="70"/>
        <v>328114.89</v>
      </c>
      <c r="W11" s="15">
        <f t="shared" si="7"/>
        <v>162928.1977002</v>
      </c>
      <c r="X11" s="15">
        <f t="shared" si="8"/>
        <v>491043.08770020003</v>
      </c>
      <c r="Y11" s="15">
        <v>17871</v>
      </c>
      <c r="AA11" s="15">
        <f t="shared" si="71"/>
        <v>3974.54</v>
      </c>
      <c r="AB11" s="15">
        <f t="shared" si="9"/>
        <v>1973.5911372</v>
      </c>
      <c r="AC11" s="15">
        <f t="shared" si="10"/>
        <v>5948.1311372</v>
      </c>
      <c r="AD11" s="15">
        <v>216</v>
      </c>
      <c r="AF11" s="15">
        <f t="shared" si="72"/>
        <v>3351.83</v>
      </c>
      <c r="AG11" s="15">
        <f t="shared" si="11"/>
        <v>1664.3792694</v>
      </c>
      <c r="AH11" s="15">
        <f t="shared" si="12"/>
        <v>5016.2092694</v>
      </c>
      <c r="AI11" s="15">
        <v>183</v>
      </c>
      <c r="AK11" s="15">
        <f t="shared" si="73"/>
        <v>137517.16</v>
      </c>
      <c r="AL11" s="15">
        <f t="shared" si="13"/>
        <v>68285.2979688</v>
      </c>
      <c r="AM11" s="15">
        <f t="shared" si="14"/>
        <v>205802.4579688</v>
      </c>
      <c r="AN11" s="15">
        <v>7490</v>
      </c>
      <c r="AP11" s="15">
        <f t="shared" si="74"/>
        <v>282170.51</v>
      </c>
      <c r="AQ11" s="15">
        <f t="shared" si="15"/>
        <v>140114.1308718</v>
      </c>
      <c r="AR11" s="15">
        <f t="shared" si="16"/>
        <v>422284.6408718</v>
      </c>
      <c r="AS11" s="15">
        <v>15369</v>
      </c>
      <c r="AU11" s="15">
        <f t="shared" si="75"/>
        <v>3257.48</v>
      </c>
      <c r="AV11" s="15">
        <f t="shared" si="17"/>
        <v>1617.5289864</v>
      </c>
      <c r="AW11" s="15">
        <f t="shared" si="18"/>
        <v>4875.0089864</v>
      </c>
      <c r="AX11" s="15">
        <v>177</v>
      </c>
      <c r="AZ11" s="15">
        <f t="shared" si="76"/>
        <v>2188.18</v>
      </c>
      <c r="BA11" s="15">
        <f t="shared" si="19"/>
        <v>1086.5591124</v>
      </c>
      <c r="BB11" s="15">
        <f t="shared" si="20"/>
        <v>3274.7391123999996</v>
      </c>
      <c r="BC11" s="15">
        <v>119</v>
      </c>
      <c r="BE11" s="15">
        <f t="shared" si="77"/>
        <v>-325.97</v>
      </c>
      <c r="BF11" s="15">
        <f t="shared" si="21"/>
        <v>-161.8631346</v>
      </c>
      <c r="BG11" s="15">
        <f t="shared" si="22"/>
        <v>-487.8331346</v>
      </c>
      <c r="BH11" s="15">
        <v>-18</v>
      </c>
      <c r="BJ11" s="15">
        <f t="shared" si="78"/>
        <v>-212.38</v>
      </c>
      <c r="BK11" s="15">
        <f t="shared" si="23"/>
        <v>-105.45906840000002</v>
      </c>
      <c r="BL11" s="15">
        <f t="shared" si="24"/>
        <v>-317.83906840000003</v>
      </c>
      <c r="BM11" s="15">
        <v>-12</v>
      </c>
      <c r="BO11" s="15">
        <f t="shared" si="79"/>
        <v>7898.02</v>
      </c>
      <c r="BP11" s="15">
        <f t="shared" si="25"/>
        <v>3921.8280036</v>
      </c>
      <c r="BQ11" s="15">
        <f t="shared" si="26"/>
        <v>11819.8480036</v>
      </c>
      <c r="BR11" s="15">
        <v>430</v>
      </c>
      <c r="BT11" s="15">
        <f t="shared" si="80"/>
        <v>48569.9</v>
      </c>
      <c r="BU11" s="15">
        <f t="shared" si="27"/>
        <v>24117.790782</v>
      </c>
      <c r="BV11" s="15">
        <f t="shared" si="28"/>
        <v>72687.690782</v>
      </c>
      <c r="BW11" s="15">
        <v>2645</v>
      </c>
      <c r="BY11" s="15">
        <f t="shared" si="81"/>
        <v>326284.87</v>
      </c>
      <c r="BZ11" s="15">
        <f t="shared" si="29"/>
        <v>162019.4859366</v>
      </c>
      <c r="CA11" s="15">
        <f t="shared" si="30"/>
        <v>488304.3559366</v>
      </c>
      <c r="CB11" s="15">
        <v>17771</v>
      </c>
      <c r="CD11" s="15">
        <f t="shared" si="82"/>
        <v>47075.84</v>
      </c>
      <c r="CE11" s="15">
        <f t="shared" si="31"/>
        <v>23375.9027712</v>
      </c>
      <c r="CF11" s="15">
        <f t="shared" si="32"/>
        <v>70451.74277119999</v>
      </c>
      <c r="CG11" s="15">
        <v>2564</v>
      </c>
      <c r="CI11" s="15">
        <f t="shared" si="83"/>
        <v>96189.64</v>
      </c>
      <c r="CJ11" s="15">
        <f t="shared" si="33"/>
        <v>47763.771655200006</v>
      </c>
      <c r="CK11" s="15">
        <f t="shared" si="34"/>
        <v>143953.4116552</v>
      </c>
      <c r="CL11" s="15">
        <v>5239</v>
      </c>
      <c r="CN11" s="15">
        <f t="shared" si="84"/>
        <v>15599.94</v>
      </c>
      <c r="CO11" s="15">
        <f t="shared" si="35"/>
        <v>7746.2809092</v>
      </c>
      <c r="CP11" s="15">
        <f t="shared" si="36"/>
        <v>23346.2209092</v>
      </c>
      <c r="CQ11" s="15">
        <v>850</v>
      </c>
      <c r="CS11" s="15">
        <f t="shared" si="85"/>
        <v>80024.34</v>
      </c>
      <c r="CT11" s="15">
        <f t="shared" si="37"/>
        <v>39736.7565012</v>
      </c>
      <c r="CU11" s="15">
        <f t="shared" si="38"/>
        <v>119761.0965012</v>
      </c>
      <c r="CV11" s="15">
        <v>4359</v>
      </c>
      <c r="CX11" s="15">
        <f t="shared" si="86"/>
        <v>715.21</v>
      </c>
      <c r="CY11" s="15">
        <f t="shared" si="39"/>
        <v>355.1435178</v>
      </c>
      <c r="CZ11" s="15">
        <f t="shared" si="40"/>
        <v>1070.3535178</v>
      </c>
      <c r="DA11" s="15">
        <v>39</v>
      </c>
      <c r="DC11" s="15">
        <f t="shared" si="87"/>
        <v>941.28</v>
      </c>
      <c r="DD11" s="15">
        <f t="shared" si="41"/>
        <v>467.4004704000001</v>
      </c>
      <c r="DE11" s="15">
        <f t="shared" si="42"/>
        <v>1408.6804704</v>
      </c>
      <c r="DF11" s="15">
        <v>51</v>
      </c>
      <c r="DH11" s="15">
        <f t="shared" si="88"/>
        <v>47429.19</v>
      </c>
      <c r="DI11" s="15">
        <f t="shared" si="43"/>
        <v>23551.3616742</v>
      </c>
      <c r="DJ11" s="15">
        <f t="shared" si="44"/>
        <v>70980.5516742</v>
      </c>
      <c r="DK11" s="15">
        <v>2583</v>
      </c>
      <c r="DM11" s="15">
        <f t="shared" si="89"/>
        <v>902.8</v>
      </c>
      <c r="DN11" s="15">
        <f t="shared" si="45"/>
        <v>448.2929040000001</v>
      </c>
      <c r="DO11" s="15">
        <f t="shared" si="46"/>
        <v>1351.092904</v>
      </c>
      <c r="DP11" s="15">
        <v>49</v>
      </c>
      <c r="DR11" s="15">
        <f t="shared" si="90"/>
        <v>13489.83</v>
      </c>
      <c r="DS11" s="15">
        <f t="shared" si="47"/>
        <v>6698.4881094</v>
      </c>
      <c r="DT11" s="15">
        <f t="shared" si="48"/>
        <v>20188.3181094</v>
      </c>
      <c r="DU11" s="15">
        <v>735</v>
      </c>
      <c r="DW11" s="15">
        <f t="shared" si="91"/>
        <v>9370.99</v>
      </c>
      <c r="DX11" s="15">
        <f t="shared" si="49"/>
        <v>4653.2435982</v>
      </c>
      <c r="DY11" s="15">
        <f t="shared" si="50"/>
        <v>14024.2335982</v>
      </c>
      <c r="DZ11" s="15">
        <v>510</v>
      </c>
      <c r="EB11" s="15">
        <f t="shared" si="92"/>
        <v>3658.19</v>
      </c>
      <c r="EC11" s="15">
        <f t="shared" si="51"/>
        <v>1816.5048942</v>
      </c>
      <c r="ED11" s="15">
        <f t="shared" si="52"/>
        <v>5474.6948942</v>
      </c>
      <c r="EE11" s="15">
        <v>199</v>
      </c>
      <c r="EG11" s="15">
        <f t="shared" si="93"/>
        <v>41111.07</v>
      </c>
      <c r="EH11" s="15">
        <f t="shared" si="53"/>
        <v>20414.0462526</v>
      </c>
      <c r="EI11" s="15">
        <f t="shared" si="54"/>
        <v>61525.1162526</v>
      </c>
      <c r="EJ11" s="15">
        <v>2239</v>
      </c>
      <c r="EL11" s="15">
        <f t="shared" si="94"/>
        <v>92656.14</v>
      </c>
      <c r="EM11" s="15">
        <f t="shared" si="55"/>
        <v>46009.1826252</v>
      </c>
      <c r="EN11" s="15">
        <f t="shared" si="56"/>
        <v>138665.3226252</v>
      </c>
      <c r="EO11" s="15">
        <v>5047</v>
      </c>
      <c r="EQ11" s="15">
        <f t="shared" si="95"/>
        <v>11824.09</v>
      </c>
      <c r="ER11" s="15">
        <f t="shared" si="57"/>
        <v>5871.3509562</v>
      </c>
      <c r="ES11" s="15">
        <f t="shared" si="58"/>
        <v>17695.4409562</v>
      </c>
      <c r="ET11" s="15">
        <v>644</v>
      </c>
      <c r="EV11" s="15">
        <f t="shared" si="96"/>
        <v>18776.760000000002</v>
      </c>
      <c r="EW11" s="15">
        <f t="shared" si="59"/>
        <v>9323.7574968</v>
      </c>
      <c r="EX11" s="15">
        <f t="shared" si="60"/>
        <v>28100.517496800003</v>
      </c>
      <c r="EY11" s="15">
        <v>1023</v>
      </c>
      <c r="FA11" s="15">
        <f t="shared" si="97"/>
        <v>87019.93</v>
      </c>
      <c r="FB11" s="15">
        <f t="shared" si="61"/>
        <v>43210.475327399996</v>
      </c>
      <c r="FC11" s="15">
        <f t="shared" si="62"/>
        <v>130230.40532739999</v>
      </c>
      <c r="FD11" s="15">
        <v>4740</v>
      </c>
      <c r="FF11" s="15">
        <f t="shared" si="98"/>
        <v>4618.34</v>
      </c>
      <c r="FG11" s="15">
        <f t="shared" si="63"/>
        <v>2293.2754212</v>
      </c>
      <c r="FH11" s="15">
        <f t="shared" si="64"/>
        <v>6911.6154212</v>
      </c>
      <c r="FI11" s="15">
        <v>252</v>
      </c>
      <c r="FK11" s="15">
        <f t="shared" si="99"/>
        <v>26478.68</v>
      </c>
      <c r="FL11" s="15">
        <f t="shared" si="65"/>
        <v>13148.2104024</v>
      </c>
      <c r="FM11" s="15">
        <f t="shared" si="66"/>
        <v>39626.8904024</v>
      </c>
      <c r="FN11" s="15">
        <v>1442</v>
      </c>
    </row>
    <row r="12" spans="1:170" ht="12.75">
      <c r="A12" s="2">
        <v>40452</v>
      </c>
      <c r="C12" s="16"/>
      <c r="D12" s="16">
        <v>1744766</v>
      </c>
      <c r="E12" s="16">
        <f t="shared" si="0"/>
        <v>1744766</v>
      </c>
      <c r="H12" s="15">
        <f t="shared" si="1"/>
        <v>115407.89602319998</v>
      </c>
      <c r="I12" s="33">
        <f t="shared" si="2"/>
        <v>115407.89602319998</v>
      </c>
      <c r="J12" s="33">
        <v>13330</v>
      </c>
      <c r="M12" s="15">
        <f t="shared" si="3"/>
        <v>1970.8876736</v>
      </c>
      <c r="N12" s="15">
        <f t="shared" si="4"/>
        <v>1970.8876736</v>
      </c>
      <c r="O12" s="15">
        <v>228</v>
      </c>
      <c r="Q12" s="33"/>
      <c r="R12" s="15">
        <f t="shared" si="5"/>
        <v>8897.259740399999</v>
      </c>
      <c r="S12" s="15">
        <f t="shared" si="6"/>
        <v>8897.259740399999</v>
      </c>
      <c r="T12" s="15">
        <v>1028</v>
      </c>
      <c r="W12" s="15">
        <f t="shared" si="7"/>
        <v>154725.3254502</v>
      </c>
      <c r="X12" s="15">
        <f t="shared" si="8"/>
        <v>154725.3254502</v>
      </c>
      <c r="Y12" s="15">
        <v>17871</v>
      </c>
      <c r="AB12" s="15">
        <f t="shared" si="9"/>
        <v>1874.2276372000001</v>
      </c>
      <c r="AC12" s="15">
        <f t="shared" si="10"/>
        <v>1874.2276372000001</v>
      </c>
      <c r="AD12" s="15">
        <v>216</v>
      </c>
      <c r="AG12" s="15">
        <f t="shared" si="11"/>
        <v>1580.5835194</v>
      </c>
      <c r="AH12" s="15">
        <f t="shared" si="12"/>
        <v>1580.5835194</v>
      </c>
      <c r="AI12" s="15">
        <v>183</v>
      </c>
      <c r="AL12" s="15">
        <f t="shared" si="13"/>
        <v>64847.3689688</v>
      </c>
      <c r="AM12" s="15">
        <f t="shared" si="14"/>
        <v>64847.3689688</v>
      </c>
      <c r="AN12" s="15">
        <v>7490</v>
      </c>
      <c r="AQ12" s="15">
        <f t="shared" si="15"/>
        <v>133059.86812179998</v>
      </c>
      <c r="AR12" s="15">
        <f t="shared" si="16"/>
        <v>133059.86812179998</v>
      </c>
      <c r="AS12" s="15">
        <v>15369</v>
      </c>
      <c r="AV12" s="15">
        <f t="shared" si="17"/>
        <v>1536.0919863999998</v>
      </c>
      <c r="AW12" s="15">
        <f t="shared" si="18"/>
        <v>1536.0919863999998</v>
      </c>
      <c r="AX12" s="15">
        <v>177</v>
      </c>
      <c r="BA12" s="15">
        <f t="shared" si="19"/>
        <v>1031.8546124</v>
      </c>
      <c r="BB12" s="15">
        <f t="shared" si="20"/>
        <v>1031.8546124</v>
      </c>
      <c r="BC12" s="15">
        <v>119</v>
      </c>
      <c r="BF12" s="15">
        <f t="shared" si="21"/>
        <v>-153.7138846</v>
      </c>
      <c r="BG12" s="15">
        <f t="shared" si="22"/>
        <v>-153.7138846</v>
      </c>
      <c r="BH12" s="15">
        <v>-18</v>
      </c>
      <c r="BK12" s="15">
        <f t="shared" si="23"/>
        <v>-100.1495684</v>
      </c>
      <c r="BL12" s="15">
        <f t="shared" si="24"/>
        <v>-100.1495684</v>
      </c>
      <c r="BM12" s="15">
        <v>-12</v>
      </c>
      <c r="BP12" s="15">
        <f t="shared" si="25"/>
        <v>3724.3775036</v>
      </c>
      <c r="BQ12" s="15">
        <f t="shared" si="26"/>
        <v>3724.3775036</v>
      </c>
      <c r="BR12" s="15">
        <v>430</v>
      </c>
      <c r="BU12" s="15">
        <f t="shared" si="27"/>
        <v>22903.543282</v>
      </c>
      <c r="BV12" s="15">
        <f t="shared" si="28"/>
        <v>22903.543282</v>
      </c>
      <c r="BW12" s="15">
        <v>2645</v>
      </c>
      <c r="BZ12" s="15">
        <f t="shared" si="29"/>
        <v>153862.3641866</v>
      </c>
      <c r="CA12" s="15">
        <f t="shared" si="30"/>
        <v>153862.3641866</v>
      </c>
      <c r="CB12" s="15">
        <v>17771</v>
      </c>
      <c r="CE12" s="15">
        <f t="shared" si="31"/>
        <v>22199.0067712</v>
      </c>
      <c r="CF12" s="15">
        <f t="shared" si="32"/>
        <v>22199.0067712</v>
      </c>
      <c r="CG12" s="15">
        <v>2564</v>
      </c>
      <c r="CJ12" s="15">
        <f t="shared" si="33"/>
        <v>45359.0306552</v>
      </c>
      <c r="CK12" s="15">
        <f t="shared" si="34"/>
        <v>45359.0306552</v>
      </c>
      <c r="CL12" s="15">
        <v>5239</v>
      </c>
      <c r="CO12" s="15">
        <f t="shared" si="35"/>
        <v>7356.2824092</v>
      </c>
      <c r="CP12" s="15">
        <f t="shared" si="36"/>
        <v>7356.2824092</v>
      </c>
      <c r="CQ12" s="15">
        <v>850</v>
      </c>
      <c r="CT12" s="15">
        <f t="shared" si="37"/>
        <v>37736.148001199996</v>
      </c>
      <c r="CU12" s="15">
        <f t="shared" si="38"/>
        <v>37736.148001199996</v>
      </c>
      <c r="CV12" s="15">
        <v>4359</v>
      </c>
      <c r="CY12" s="15">
        <f t="shared" si="39"/>
        <v>337.26326780000005</v>
      </c>
      <c r="CZ12" s="15">
        <f t="shared" si="40"/>
        <v>337.26326780000005</v>
      </c>
      <c r="DA12" s="15">
        <v>39</v>
      </c>
      <c r="DD12" s="15">
        <f t="shared" si="41"/>
        <v>443.8684704</v>
      </c>
      <c r="DE12" s="15">
        <f t="shared" si="42"/>
        <v>443.8684704</v>
      </c>
      <c r="DF12" s="15">
        <v>51</v>
      </c>
      <c r="DI12" s="15">
        <f t="shared" si="43"/>
        <v>22365.631924200003</v>
      </c>
      <c r="DJ12" s="15">
        <f t="shared" si="44"/>
        <v>22365.631924200003</v>
      </c>
      <c r="DK12" s="15">
        <v>2583</v>
      </c>
      <c r="DN12" s="15">
        <f t="shared" si="45"/>
        <v>425.722904</v>
      </c>
      <c r="DO12" s="15">
        <f t="shared" si="46"/>
        <v>425.722904</v>
      </c>
      <c r="DP12" s="15">
        <v>49</v>
      </c>
      <c r="DS12" s="15">
        <f t="shared" si="47"/>
        <v>6361.2423594</v>
      </c>
      <c r="DT12" s="15">
        <f t="shared" si="48"/>
        <v>6361.2423594</v>
      </c>
      <c r="DU12" s="15">
        <v>735</v>
      </c>
      <c r="DX12" s="15">
        <f t="shared" si="49"/>
        <v>4418.9688482</v>
      </c>
      <c r="DY12" s="15">
        <f t="shared" si="50"/>
        <v>4418.9688482</v>
      </c>
      <c r="DZ12" s="15">
        <v>510</v>
      </c>
      <c r="EC12" s="15">
        <f t="shared" si="51"/>
        <v>1725.0501442</v>
      </c>
      <c r="ED12" s="15">
        <f t="shared" si="52"/>
        <v>1725.0501442</v>
      </c>
      <c r="EE12" s="15">
        <v>199</v>
      </c>
      <c r="EH12" s="15">
        <f t="shared" si="53"/>
        <v>19386.2695026</v>
      </c>
      <c r="EI12" s="15">
        <f t="shared" si="54"/>
        <v>19386.2695026</v>
      </c>
      <c r="EJ12" s="15">
        <v>2239</v>
      </c>
      <c r="EM12" s="15">
        <f t="shared" si="55"/>
        <v>43692.779125199995</v>
      </c>
      <c r="EN12" s="15">
        <f t="shared" si="56"/>
        <v>43692.779125199995</v>
      </c>
      <c r="EO12" s="15">
        <v>5047</v>
      </c>
      <c r="ER12" s="15">
        <f t="shared" si="57"/>
        <v>5575.748706200001</v>
      </c>
      <c r="ES12" s="15">
        <f t="shared" si="58"/>
        <v>5575.748706200001</v>
      </c>
      <c r="ET12" s="15">
        <v>644</v>
      </c>
      <c r="EW12" s="15">
        <f t="shared" si="59"/>
        <v>8854.338496800001</v>
      </c>
      <c r="EX12" s="15">
        <f t="shared" si="60"/>
        <v>8854.338496800001</v>
      </c>
      <c r="EY12" s="15">
        <v>1023</v>
      </c>
      <c r="FB12" s="15">
        <f t="shared" si="61"/>
        <v>41034.9770774</v>
      </c>
      <c r="FC12" s="15">
        <f t="shared" si="62"/>
        <v>41034.9770774</v>
      </c>
      <c r="FD12" s="15">
        <v>4740</v>
      </c>
      <c r="FG12" s="15">
        <f t="shared" si="63"/>
        <v>2177.8169212</v>
      </c>
      <c r="FH12" s="15">
        <f t="shared" si="64"/>
        <v>2177.8169212</v>
      </c>
      <c r="FI12" s="15">
        <v>252</v>
      </c>
      <c r="FL12" s="15">
        <f t="shared" si="65"/>
        <v>12486.243402400001</v>
      </c>
      <c r="FM12" s="15">
        <f t="shared" si="66"/>
        <v>12486.243402400001</v>
      </c>
      <c r="FN12" s="15">
        <v>1442</v>
      </c>
    </row>
    <row r="13" spans="1:170" ht="12.75">
      <c r="A13" s="2">
        <v>40634</v>
      </c>
      <c r="C13" s="16">
        <v>3880000</v>
      </c>
      <c r="D13" s="16">
        <v>1744766</v>
      </c>
      <c r="E13" s="16">
        <f t="shared" si="0"/>
        <v>5624766</v>
      </c>
      <c r="G13" s="15">
        <f t="shared" si="67"/>
        <v>256643.376</v>
      </c>
      <c r="H13" s="15">
        <f t="shared" si="1"/>
        <v>115407.89602319998</v>
      </c>
      <c r="I13" s="33">
        <f t="shared" si="2"/>
        <v>372051.27202319994</v>
      </c>
      <c r="J13" s="33">
        <v>13330</v>
      </c>
      <c r="L13" s="15">
        <f t="shared" si="68"/>
        <v>4382.848000000001</v>
      </c>
      <c r="M13" s="15">
        <f t="shared" si="3"/>
        <v>1970.8876736</v>
      </c>
      <c r="N13" s="15">
        <f t="shared" si="4"/>
        <v>6353.735673600001</v>
      </c>
      <c r="O13" s="15">
        <v>228</v>
      </c>
      <c r="Q13" s="33">
        <f t="shared" si="69"/>
        <v>19785.672</v>
      </c>
      <c r="R13" s="15">
        <f t="shared" si="5"/>
        <v>8897.259740399999</v>
      </c>
      <c r="S13" s="15">
        <f t="shared" si="6"/>
        <v>28682.931740399996</v>
      </c>
      <c r="T13" s="15">
        <v>1028</v>
      </c>
      <c r="V13" s="15">
        <f t="shared" si="70"/>
        <v>344077.23600000003</v>
      </c>
      <c r="W13" s="15">
        <f t="shared" si="7"/>
        <v>154725.3254502</v>
      </c>
      <c r="X13" s="15">
        <f t="shared" si="8"/>
        <v>498802.56145020004</v>
      </c>
      <c r="Y13" s="15">
        <v>17871</v>
      </c>
      <c r="AA13" s="15">
        <f t="shared" si="71"/>
        <v>4167.896000000001</v>
      </c>
      <c r="AB13" s="15">
        <f t="shared" si="9"/>
        <v>1874.2276372000001</v>
      </c>
      <c r="AC13" s="15">
        <f t="shared" si="10"/>
        <v>6042.1236372</v>
      </c>
      <c r="AD13" s="15">
        <v>216</v>
      </c>
      <c r="AF13" s="15">
        <f t="shared" si="72"/>
        <v>3514.8920000000003</v>
      </c>
      <c r="AG13" s="15">
        <f t="shared" si="11"/>
        <v>1580.5835194</v>
      </c>
      <c r="AH13" s="15">
        <f t="shared" si="12"/>
        <v>5095.4755194</v>
      </c>
      <c r="AI13" s="15">
        <v>183</v>
      </c>
      <c r="AK13" s="15">
        <f t="shared" si="73"/>
        <v>144207.184</v>
      </c>
      <c r="AL13" s="15">
        <f t="shared" si="13"/>
        <v>64847.3689688</v>
      </c>
      <c r="AM13" s="15">
        <f t="shared" si="14"/>
        <v>209054.5529688</v>
      </c>
      <c r="AN13" s="15">
        <v>7490</v>
      </c>
      <c r="AP13" s="15">
        <f t="shared" si="74"/>
        <v>295897.724</v>
      </c>
      <c r="AQ13" s="15">
        <f t="shared" si="15"/>
        <v>133059.86812179998</v>
      </c>
      <c r="AR13" s="15">
        <f t="shared" si="16"/>
        <v>428957.59212179994</v>
      </c>
      <c r="AS13" s="15">
        <v>15369</v>
      </c>
      <c r="AU13" s="15">
        <f t="shared" si="75"/>
        <v>3415.9519999999993</v>
      </c>
      <c r="AV13" s="15">
        <f t="shared" si="17"/>
        <v>1536.0919863999998</v>
      </c>
      <c r="AW13" s="15">
        <f t="shared" si="18"/>
        <v>4952.043986399999</v>
      </c>
      <c r="AX13" s="15">
        <v>177</v>
      </c>
      <c r="AZ13" s="15">
        <f t="shared" si="76"/>
        <v>2294.6319999999996</v>
      </c>
      <c r="BA13" s="15">
        <f t="shared" si="19"/>
        <v>1031.8546124</v>
      </c>
      <c r="BB13" s="15">
        <f t="shared" si="20"/>
        <v>3326.4866123999996</v>
      </c>
      <c r="BC13" s="15">
        <v>119</v>
      </c>
      <c r="BE13" s="15">
        <f t="shared" si="77"/>
        <v>-341.82800000000003</v>
      </c>
      <c r="BF13" s="15">
        <f t="shared" si="21"/>
        <v>-153.7138846</v>
      </c>
      <c r="BG13" s="15">
        <f t="shared" si="22"/>
        <v>-495.5418846</v>
      </c>
      <c r="BH13" s="15">
        <v>-18</v>
      </c>
      <c r="BJ13" s="15">
        <f t="shared" si="78"/>
        <v>-222.71200000000002</v>
      </c>
      <c r="BK13" s="15">
        <f t="shared" si="23"/>
        <v>-100.1495684</v>
      </c>
      <c r="BL13" s="15">
        <f t="shared" si="24"/>
        <v>-322.8615684</v>
      </c>
      <c r="BM13" s="15">
        <v>-12</v>
      </c>
      <c r="BO13" s="15">
        <f t="shared" si="79"/>
        <v>8282.248</v>
      </c>
      <c r="BP13" s="15">
        <f t="shared" si="25"/>
        <v>3724.3775036</v>
      </c>
      <c r="BQ13" s="15">
        <f t="shared" si="26"/>
        <v>12006.6255036</v>
      </c>
      <c r="BR13" s="15">
        <v>430</v>
      </c>
      <c r="BT13" s="15">
        <f t="shared" si="80"/>
        <v>50932.76</v>
      </c>
      <c r="BU13" s="15">
        <f t="shared" si="27"/>
        <v>22903.543282</v>
      </c>
      <c r="BV13" s="15">
        <f t="shared" si="28"/>
        <v>73836.30328200001</v>
      </c>
      <c r="BW13" s="15">
        <v>2645</v>
      </c>
      <c r="BY13" s="15">
        <f t="shared" si="81"/>
        <v>342158.18799999997</v>
      </c>
      <c r="BZ13" s="15">
        <f t="shared" si="29"/>
        <v>153862.3641866</v>
      </c>
      <c r="CA13" s="15">
        <f t="shared" si="30"/>
        <v>496020.55218659993</v>
      </c>
      <c r="CB13" s="15">
        <v>17771</v>
      </c>
      <c r="CD13" s="15">
        <f t="shared" si="82"/>
        <v>49366.015999999996</v>
      </c>
      <c r="CE13" s="15">
        <f t="shared" si="31"/>
        <v>22199.0067712</v>
      </c>
      <c r="CF13" s="15">
        <f t="shared" si="32"/>
        <v>71565.02277119999</v>
      </c>
      <c r="CG13" s="15">
        <v>2564</v>
      </c>
      <c r="CI13" s="15">
        <f t="shared" si="83"/>
        <v>100869.136</v>
      </c>
      <c r="CJ13" s="15">
        <f t="shared" si="33"/>
        <v>45359.0306552</v>
      </c>
      <c r="CK13" s="15">
        <f t="shared" si="34"/>
        <v>146228.1666552</v>
      </c>
      <c r="CL13" s="15">
        <v>5239</v>
      </c>
      <c r="CN13" s="15">
        <f t="shared" si="84"/>
        <v>16358.856000000002</v>
      </c>
      <c r="CO13" s="15">
        <f t="shared" si="35"/>
        <v>7356.2824092</v>
      </c>
      <c r="CP13" s="15">
        <f t="shared" si="36"/>
        <v>23715.1384092</v>
      </c>
      <c r="CQ13" s="15">
        <v>850</v>
      </c>
      <c r="CS13" s="15">
        <f t="shared" si="85"/>
        <v>83917.416</v>
      </c>
      <c r="CT13" s="15">
        <f t="shared" si="37"/>
        <v>37736.148001199996</v>
      </c>
      <c r="CU13" s="15">
        <f t="shared" si="38"/>
        <v>121653.5640012</v>
      </c>
      <c r="CV13" s="15">
        <v>4359</v>
      </c>
      <c r="CX13" s="15">
        <f t="shared" si="86"/>
        <v>750.0039999999999</v>
      </c>
      <c r="CY13" s="15">
        <f t="shared" si="39"/>
        <v>337.26326780000005</v>
      </c>
      <c r="CZ13" s="15">
        <f t="shared" si="40"/>
        <v>1087.2672678</v>
      </c>
      <c r="DA13" s="15">
        <v>39</v>
      </c>
      <c r="DC13" s="15">
        <f t="shared" si="87"/>
        <v>987.072</v>
      </c>
      <c r="DD13" s="15">
        <f t="shared" si="41"/>
        <v>443.8684704</v>
      </c>
      <c r="DE13" s="15">
        <f t="shared" si="42"/>
        <v>1430.9404703999999</v>
      </c>
      <c r="DF13" s="15">
        <v>51</v>
      </c>
      <c r="DH13" s="15">
        <f t="shared" si="88"/>
        <v>49736.556000000004</v>
      </c>
      <c r="DI13" s="15">
        <f t="shared" si="43"/>
        <v>22365.631924200003</v>
      </c>
      <c r="DJ13" s="15">
        <f t="shared" si="44"/>
        <v>72102.1879242</v>
      </c>
      <c r="DK13" s="15">
        <v>2583</v>
      </c>
      <c r="DM13" s="15">
        <f t="shared" si="89"/>
        <v>946.72</v>
      </c>
      <c r="DN13" s="15">
        <f t="shared" si="45"/>
        <v>425.722904</v>
      </c>
      <c r="DO13" s="15">
        <f t="shared" si="46"/>
        <v>1372.442904</v>
      </c>
      <c r="DP13" s="15">
        <v>49</v>
      </c>
      <c r="DR13" s="15">
        <f t="shared" si="90"/>
        <v>14146.092000000002</v>
      </c>
      <c r="DS13" s="15">
        <f t="shared" si="47"/>
        <v>6361.2423594</v>
      </c>
      <c r="DT13" s="15">
        <f t="shared" si="48"/>
        <v>20507.334359400003</v>
      </c>
      <c r="DU13" s="15">
        <v>735</v>
      </c>
      <c r="DW13" s="15">
        <f t="shared" si="91"/>
        <v>9826.876</v>
      </c>
      <c r="DX13" s="15">
        <f t="shared" si="49"/>
        <v>4418.9688482</v>
      </c>
      <c r="DY13" s="15">
        <f t="shared" si="50"/>
        <v>14245.8448482</v>
      </c>
      <c r="DZ13" s="15">
        <v>510</v>
      </c>
      <c r="EB13" s="15">
        <f t="shared" si="92"/>
        <v>3836.156</v>
      </c>
      <c r="EC13" s="15">
        <f t="shared" si="51"/>
        <v>1725.0501442</v>
      </c>
      <c r="ED13" s="15">
        <f t="shared" si="52"/>
        <v>5561.2061441999995</v>
      </c>
      <c r="EE13" s="15">
        <v>199</v>
      </c>
      <c r="EG13" s="15">
        <f t="shared" si="93"/>
        <v>43111.068</v>
      </c>
      <c r="EH13" s="15">
        <f t="shared" si="53"/>
        <v>19386.2695026</v>
      </c>
      <c r="EI13" s="15">
        <f t="shared" si="54"/>
        <v>62497.3375026</v>
      </c>
      <c r="EJ13" s="15">
        <v>2239</v>
      </c>
      <c r="EL13" s="15">
        <f t="shared" si="94"/>
        <v>97163.73599999999</v>
      </c>
      <c r="EM13" s="15">
        <f t="shared" si="55"/>
        <v>43692.779125199995</v>
      </c>
      <c r="EN13" s="15">
        <f t="shared" si="56"/>
        <v>140856.51512519998</v>
      </c>
      <c r="EO13" s="15">
        <v>5047</v>
      </c>
      <c r="EQ13" s="15">
        <f t="shared" si="95"/>
        <v>12399.316</v>
      </c>
      <c r="ER13" s="15">
        <f t="shared" si="57"/>
        <v>5575.748706200001</v>
      </c>
      <c r="ES13" s="15">
        <f t="shared" si="58"/>
        <v>17975.064706200003</v>
      </c>
      <c r="ET13" s="15">
        <v>644</v>
      </c>
      <c r="EV13" s="15">
        <f t="shared" si="96"/>
        <v>19690.224000000002</v>
      </c>
      <c r="EW13" s="15">
        <f t="shared" si="59"/>
        <v>8854.338496800001</v>
      </c>
      <c r="EX13" s="15">
        <f t="shared" si="60"/>
        <v>28544.562496800005</v>
      </c>
      <c r="EY13" s="15">
        <v>1023</v>
      </c>
      <c r="FA13" s="15">
        <f t="shared" si="97"/>
        <v>91253.332</v>
      </c>
      <c r="FB13" s="15">
        <f t="shared" si="61"/>
        <v>41034.9770774</v>
      </c>
      <c r="FC13" s="15">
        <f t="shared" si="62"/>
        <v>132288.3090774</v>
      </c>
      <c r="FD13" s="15">
        <v>4740</v>
      </c>
      <c r="FF13" s="15">
        <f t="shared" si="98"/>
        <v>4843.016</v>
      </c>
      <c r="FG13" s="15">
        <f t="shared" si="63"/>
        <v>2177.8169212</v>
      </c>
      <c r="FH13" s="15">
        <f t="shared" si="64"/>
        <v>7020.832921199999</v>
      </c>
      <c r="FI13" s="15">
        <v>252</v>
      </c>
      <c r="FK13" s="15">
        <f t="shared" si="99"/>
        <v>27766.832000000002</v>
      </c>
      <c r="FL13" s="15">
        <f t="shared" si="65"/>
        <v>12486.243402400001</v>
      </c>
      <c r="FM13" s="15">
        <f t="shared" si="66"/>
        <v>40253.075402400005</v>
      </c>
      <c r="FN13" s="15">
        <v>1442</v>
      </c>
    </row>
    <row r="14" spans="1:170" ht="12.75">
      <c r="A14" s="2">
        <v>40817</v>
      </c>
      <c r="C14" s="16"/>
      <c r="D14" s="16">
        <v>1647766</v>
      </c>
      <c r="E14" s="16">
        <f t="shared" si="0"/>
        <v>1647766</v>
      </c>
      <c r="H14" s="15">
        <f t="shared" si="1"/>
        <v>108991.81162319999</v>
      </c>
      <c r="I14" s="33">
        <f t="shared" si="2"/>
        <v>108991.81162319999</v>
      </c>
      <c r="J14" s="33">
        <v>13330</v>
      </c>
      <c r="M14" s="15">
        <f t="shared" si="3"/>
        <v>1861.3164736</v>
      </c>
      <c r="N14" s="15">
        <f t="shared" si="4"/>
        <v>1861.3164736</v>
      </c>
      <c r="O14" s="15">
        <v>228</v>
      </c>
      <c r="Q14" s="33"/>
      <c r="R14" s="15">
        <f t="shared" si="5"/>
        <v>8402.6179404</v>
      </c>
      <c r="S14" s="15">
        <f t="shared" si="6"/>
        <v>8402.6179404</v>
      </c>
      <c r="T14" s="15">
        <v>1028</v>
      </c>
      <c r="W14" s="15">
        <f t="shared" si="7"/>
        <v>146123.3945502</v>
      </c>
      <c r="X14" s="15">
        <f t="shared" si="8"/>
        <v>146123.3945502</v>
      </c>
      <c r="Y14" s="15">
        <v>17871</v>
      </c>
      <c r="AB14" s="15">
        <f t="shared" si="9"/>
        <v>1770.0302371999999</v>
      </c>
      <c r="AC14" s="15">
        <f t="shared" si="10"/>
        <v>1770.0302371999999</v>
      </c>
      <c r="AD14" s="15">
        <v>216</v>
      </c>
      <c r="AG14" s="15">
        <f t="shared" si="11"/>
        <v>1492.7112194000001</v>
      </c>
      <c r="AH14" s="15">
        <f t="shared" si="12"/>
        <v>1492.7112194000001</v>
      </c>
      <c r="AI14" s="15">
        <v>183</v>
      </c>
      <c r="AL14" s="15">
        <f t="shared" si="13"/>
        <v>61242.1893688</v>
      </c>
      <c r="AM14" s="15">
        <f t="shared" si="14"/>
        <v>61242.1893688</v>
      </c>
      <c r="AN14" s="15">
        <v>7490</v>
      </c>
      <c r="AQ14" s="15">
        <f t="shared" si="15"/>
        <v>125662.4250218</v>
      </c>
      <c r="AR14" s="15">
        <f t="shared" si="16"/>
        <v>125662.4250218</v>
      </c>
      <c r="AS14" s="15">
        <v>15369</v>
      </c>
      <c r="AV14" s="15">
        <f t="shared" si="17"/>
        <v>1450.6931863999998</v>
      </c>
      <c r="AW14" s="15">
        <f t="shared" si="18"/>
        <v>1450.6931863999998</v>
      </c>
      <c r="AX14" s="15">
        <v>177</v>
      </c>
      <c r="BA14" s="15">
        <f t="shared" si="19"/>
        <v>974.4888124</v>
      </c>
      <c r="BB14" s="15">
        <f t="shared" si="20"/>
        <v>974.4888124</v>
      </c>
      <c r="BC14" s="15">
        <v>119</v>
      </c>
      <c r="BF14" s="15">
        <f t="shared" si="21"/>
        <v>-145.16818460000002</v>
      </c>
      <c r="BG14" s="15">
        <f t="shared" si="22"/>
        <v>-145.16818460000002</v>
      </c>
      <c r="BH14" s="15">
        <v>-18</v>
      </c>
      <c r="BK14" s="15">
        <f t="shared" si="23"/>
        <v>-94.5817684</v>
      </c>
      <c r="BL14" s="15">
        <f t="shared" si="24"/>
        <v>-94.5817684</v>
      </c>
      <c r="BM14" s="15">
        <v>-12</v>
      </c>
      <c r="BP14" s="15">
        <f t="shared" si="25"/>
        <v>3517.3213036</v>
      </c>
      <c r="BQ14" s="15">
        <f t="shared" si="26"/>
        <v>3517.3213036</v>
      </c>
      <c r="BR14" s="15">
        <v>430</v>
      </c>
      <c r="BU14" s="15">
        <f t="shared" si="27"/>
        <v>21630.224282</v>
      </c>
      <c r="BV14" s="15">
        <f t="shared" si="28"/>
        <v>21630.224282</v>
      </c>
      <c r="BW14" s="15">
        <v>2645</v>
      </c>
      <c r="BZ14" s="15">
        <f t="shared" si="29"/>
        <v>145308.4094866</v>
      </c>
      <c r="CA14" s="15">
        <f t="shared" si="30"/>
        <v>145308.4094866</v>
      </c>
      <c r="CB14" s="15">
        <v>17771</v>
      </c>
      <c r="CE14" s="15">
        <f t="shared" si="31"/>
        <v>20964.8563712</v>
      </c>
      <c r="CF14" s="15">
        <f t="shared" si="32"/>
        <v>20964.8563712</v>
      </c>
      <c r="CG14" s="15">
        <v>2564</v>
      </c>
      <c r="CJ14" s="15">
        <f t="shared" si="33"/>
        <v>42837.3022552</v>
      </c>
      <c r="CK14" s="15">
        <f t="shared" si="34"/>
        <v>42837.3022552</v>
      </c>
      <c r="CL14" s="15">
        <v>5239</v>
      </c>
      <c r="CO14" s="15">
        <f t="shared" si="35"/>
        <v>6947.3110092</v>
      </c>
      <c r="CP14" s="15">
        <f t="shared" si="36"/>
        <v>6947.3110092</v>
      </c>
      <c r="CQ14" s="15">
        <v>850</v>
      </c>
      <c r="CT14" s="15">
        <f t="shared" si="37"/>
        <v>35638.2126012</v>
      </c>
      <c r="CU14" s="15">
        <f t="shared" si="38"/>
        <v>35638.2126012</v>
      </c>
      <c r="CV14" s="15">
        <v>4359</v>
      </c>
      <c r="CY14" s="15">
        <f t="shared" si="39"/>
        <v>318.5131678</v>
      </c>
      <c r="CZ14" s="15">
        <f t="shared" si="40"/>
        <v>318.5131678</v>
      </c>
      <c r="DA14" s="15">
        <v>39</v>
      </c>
      <c r="DD14" s="15">
        <f t="shared" si="41"/>
        <v>419.1916704</v>
      </c>
      <c r="DE14" s="15">
        <f t="shared" si="42"/>
        <v>419.1916704</v>
      </c>
      <c r="DF14" s="15">
        <v>51</v>
      </c>
      <c r="DI14" s="15">
        <f t="shared" si="43"/>
        <v>21122.2180242</v>
      </c>
      <c r="DJ14" s="15">
        <f t="shared" si="44"/>
        <v>21122.2180242</v>
      </c>
      <c r="DK14" s="15">
        <v>2583</v>
      </c>
      <c r="DN14" s="15">
        <f t="shared" si="45"/>
        <v>402.054904</v>
      </c>
      <c r="DO14" s="15">
        <f t="shared" si="46"/>
        <v>402.054904</v>
      </c>
      <c r="DP14" s="15">
        <v>49</v>
      </c>
      <c r="DS14" s="15">
        <f t="shared" si="47"/>
        <v>6007.5900594</v>
      </c>
      <c r="DT14" s="15">
        <f t="shared" si="48"/>
        <v>6007.5900594</v>
      </c>
      <c r="DU14" s="15">
        <v>735</v>
      </c>
      <c r="DX14" s="15">
        <f t="shared" si="49"/>
        <v>4173.2969482</v>
      </c>
      <c r="DY14" s="15">
        <f t="shared" si="50"/>
        <v>4173.2969482</v>
      </c>
      <c r="DZ14" s="15">
        <v>510</v>
      </c>
      <c r="EC14" s="15">
        <f t="shared" si="51"/>
        <v>1629.1462442000002</v>
      </c>
      <c r="ED14" s="15">
        <f t="shared" si="52"/>
        <v>1629.1462442000002</v>
      </c>
      <c r="EE14" s="15">
        <v>199</v>
      </c>
      <c r="EH14" s="15">
        <f t="shared" si="53"/>
        <v>18308.4928026</v>
      </c>
      <c r="EI14" s="15">
        <f t="shared" si="54"/>
        <v>18308.4928026</v>
      </c>
      <c r="EJ14" s="15">
        <v>2239</v>
      </c>
      <c r="EM14" s="15">
        <f t="shared" si="55"/>
        <v>41263.685725200005</v>
      </c>
      <c r="EN14" s="15">
        <f t="shared" si="56"/>
        <v>41263.685725200005</v>
      </c>
      <c r="EO14" s="15">
        <v>5047</v>
      </c>
      <c r="ER14" s="15">
        <f t="shared" si="57"/>
        <v>5265.7658062</v>
      </c>
      <c r="ES14" s="15">
        <f t="shared" si="58"/>
        <v>5265.7658062</v>
      </c>
      <c r="ET14" s="15">
        <v>644</v>
      </c>
      <c r="EW14" s="15">
        <f t="shared" si="59"/>
        <v>8362.0828968</v>
      </c>
      <c r="EX14" s="15">
        <f t="shared" si="60"/>
        <v>8362.0828968</v>
      </c>
      <c r="EY14" s="15">
        <v>1023</v>
      </c>
      <c r="FB14" s="15">
        <f t="shared" si="61"/>
        <v>38753.6437774</v>
      </c>
      <c r="FC14" s="15">
        <f t="shared" si="62"/>
        <v>38753.6437774</v>
      </c>
      <c r="FD14" s="15">
        <v>4740</v>
      </c>
      <c r="FG14" s="15">
        <f t="shared" si="63"/>
        <v>2056.7415212</v>
      </c>
      <c r="FH14" s="15">
        <f t="shared" si="64"/>
        <v>2056.7415212</v>
      </c>
      <c r="FI14" s="15">
        <v>252</v>
      </c>
      <c r="FL14" s="15">
        <f t="shared" si="65"/>
        <v>11792.0726024</v>
      </c>
      <c r="FM14" s="15">
        <f t="shared" si="66"/>
        <v>11792.0726024</v>
      </c>
      <c r="FN14" s="15">
        <v>1442</v>
      </c>
    </row>
    <row r="15" spans="1:170" ht="12.75">
      <c r="A15" s="2">
        <v>41000</v>
      </c>
      <c r="C15" s="16">
        <v>4075000</v>
      </c>
      <c r="D15" s="16">
        <v>1647766</v>
      </c>
      <c r="E15" s="16">
        <f t="shared" si="0"/>
        <v>5722766</v>
      </c>
      <c r="G15" s="15">
        <f t="shared" si="67"/>
        <v>269541.69</v>
      </c>
      <c r="H15" s="15">
        <f t="shared" si="1"/>
        <v>108991.81162319999</v>
      </c>
      <c r="I15" s="33">
        <f t="shared" si="2"/>
        <v>378533.5016232</v>
      </c>
      <c r="J15" s="33">
        <v>13330</v>
      </c>
      <c r="L15" s="15">
        <f t="shared" si="68"/>
        <v>4603.12</v>
      </c>
      <c r="M15" s="15">
        <f t="shared" si="3"/>
        <v>1861.3164736</v>
      </c>
      <c r="N15" s="15">
        <f t="shared" si="4"/>
        <v>6464.4364736</v>
      </c>
      <c r="O15" s="15">
        <v>228</v>
      </c>
      <c r="Q15" s="33">
        <f t="shared" si="69"/>
        <v>20780.054999999997</v>
      </c>
      <c r="R15" s="15">
        <f t="shared" si="5"/>
        <v>8402.6179404</v>
      </c>
      <c r="S15" s="15">
        <f t="shared" si="6"/>
        <v>29182.672940399996</v>
      </c>
      <c r="T15" s="15">
        <v>1028</v>
      </c>
      <c r="V15" s="15">
        <f t="shared" si="70"/>
        <v>361369.7775</v>
      </c>
      <c r="W15" s="15">
        <f t="shared" si="7"/>
        <v>146123.3945502</v>
      </c>
      <c r="X15" s="15">
        <f t="shared" si="8"/>
        <v>507493.17205020005</v>
      </c>
      <c r="Y15" s="15">
        <v>17871</v>
      </c>
      <c r="AA15" s="15">
        <f t="shared" si="71"/>
        <v>4377.365</v>
      </c>
      <c r="AB15" s="15">
        <f t="shared" si="9"/>
        <v>1770.0302371999999</v>
      </c>
      <c r="AC15" s="15">
        <f t="shared" si="10"/>
        <v>6147.395237199999</v>
      </c>
      <c r="AD15" s="15">
        <v>216</v>
      </c>
      <c r="AF15" s="15">
        <f t="shared" si="72"/>
        <v>3691.5425</v>
      </c>
      <c r="AG15" s="15">
        <f t="shared" si="11"/>
        <v>1492.7112194000001</v>
      </c>
      <c r="AH15" s="15">
        <f t="shared" si="12"/>
        <v>5184.2537194</v>
      </c>
      <c r="AI15" s="15">
        <v>183</v>
      </c>
      <c r="AK15" s="15">
        <f t="shared" si="73"/>
        <v>151454.71</v>
      </c>
      <c r="AL15" s="15">
        <f t="shared" si="13"/>
        <v>61242.1893688</v>
      </c>
      <c r="AM15" s="15">
        <f t="shared" si="14"/>
        <v>212696.8993688</v>
      </c>
      <c r="AN15" s="15">
        <v>7490</v>
      </c>
      <c r="AP15" s="15">
        <f t="shared" si="74"/>
        <v>310768.8725</v>
      </c>
      <c r="AQ15" s="15">
        <f t="shared" si="15"/>
        <v>125662.4250218</v>
      </c>
      <c r="AR15" s="15">
        <f t="shared" si="16"/>
        <v>436431.2975218</v>
      </c>
      <c r="AS15" s="15">
        <v>15369</v>
      </c>
      <c r="AU15" s="15">
        <f t="shared" si="75"/>
        <v>3587.63</v>
      </c>
      <c r="AV15" s="15">
        <f t="shared" si="17"/>
        <v>1450.6931863999998</v>
      </c>
      <c r="AW15" s="15">
        <f t="shared" si="18"/>
        <v>5038.3231864</v>
      </c>
      <c r="AX15" s="15">
        <v>177</v>
      </c>
      <c r="AZ15" s="15">
        <f t="shared" si="76"/>
        <v>2409.955</v>
      </c>
      <c r="BA15" s="15">
        <f t="shared" si="19"/>
        <v>974.4888124</v>
      </c>
      <c r="BB15" s="15">
        <f t="shared" si="20"/>
        <v>3384.4438124</v>
      </c>
      <c r="BC15" s="15">
        <v>119</v>
      </c>
      <c r="BE15" s="15">
        <f t="shared" si="77"/>
        <v>-359.0075</v>
      </c>
      <c r="BF15" s="15">
        <f t="shared" si="21"/>
        <v>-145.16818460000002</v>
      </c>
      <c r="BG15" s="15">
        <f t="shared" si="22"/>
        <v>-504.1756846</v>
      </c>
      <c r="BH15" s="15">
        <v>-18</v>
      </c>
      <c r="BJ15" s="15">
        <f t="shared" si="78"/>
        <v>-233.905</v>
      </c>
      <c r="BK15" s="15">
        <f t="shared" si="23"/>
        <v>-94.5817684</v>
      </c>
      <c r="BL15" s="15">
        <f t="shared" si="24"/>
        <v>-328.4867684</v>
      </c>
      <c r="BM15" s="15">
        <v>-12</v>
      </c>
      <c r="BO15" s="15">
        <f t="shared" si="79"/>
        <v>8698.495</v>
      </c>
      <c r="BP15" s="15">
        <f t="shared" si="25"/>
        <v>3517.3213036</v>
      </c>
      <c r="BQ15" s="15">
        <f t="shared" si="26"/>
        <v>12215.8163036</v>
      </c>
      <c r="BR15" s="15">
        <v>430</v>
      </c>
      <c r="BT15" s="15">
        <f t="shared" si="80"/>
        <v>53492.525</v>
      </c>
      <c r="BU15" s="15">
        <f t="shared" si="27"/>
        <v>21630.224282</v>
      </c>
      <c r="BV15" s="15">
        <f t="shared" si="28"/>
        <v>75122.749282</v>
      </c>
      <c r="BW15" s="15">
        <v>2645</v>
      </c>
      <c r="BY15" s="15">
        <f t="shared" si="81"/>
        <v>359354.2825</v>
      </c>
      <c r="BZ15" s="15">
        <f t="shared" si="29"/>
        <v>145308.4094866</v>
      </c>
      <c r="CA15" s="15">
        <f t="shared" si="30"/>
        <v>504662.69198659994</v>
      </c>
      <c r="CB15" s="15">
        <v>17771</v>
      </c>
      <c r="CD15" s="15">
        <f t="shared" si="82"/>
        <v>51847.04</v>
      </c>
      <c r="CE15" s="15">
        <f t="shared" si="31"/>
        <v>20964.8563712</v>
      </c>
      <c r="CF15" s="15">
        <f t="shared" si="32"/>
        <v>72811.8963712</v>
      </c>
      <c r="CG15" s="15">
        <v>2564</v>
      </c>
      <c r="CI15" s="15">
        <f t="shared" si="83"/>
        <v>105938.59</v>
      </c>
      <c r="CJ15" s="15">
        <f t="shared" si="33"/>
        <v>42837.3022552</v>
      </c>
      <c r="CK15" s="15">
        <f t="shared" si="34"/>
        <v>148775.8922552</v>
      </c>
      <c r="CL15" s="15">
        <v>5239</v>
      </c>
      <c r="CN15" s="15">
        <f t="shared" si="84"/>
        <v>17181.015</v>
      </c>
      <c r="CO15" s="15">
        <f t="shared" si="35"/>
        <v>6947.3110092</v>
      </c>
      <c r="CP15" s="15">
        <f t="shared" si="36"/>
        <v>24128.3260092</v>
      </c>
      <c r="CQ15" s="15">
        <v>850</v>
      </c>
      <c r="CS15" s="15">
        <f t="shared" si="85"/>
        <v>88134.915</v>
      </c>
      <c r="CT15" s="15">
        <f t="shared" si="37"/>
        <v>35638.2126012</v>
      </c>
      <c r="CU15" s="15">
        <f t="shared" si="38"/>
        <v>123773.12760119999</v>
      </c>
      <c r="CV15" s="15">
        <v>4359</v>
      </c>
      <c r="CX15" s="15">
        <f t="shared" si="86"/>
        <v>787.6975</v>
      </c>
      <c r="CY15" s="15">
        <f t="shared" si="39"/>
        <v>318.5131678</v>
      </c>
      <c r="CZ15" s="15">
        <f t="shared" si="40"/>
        <v>1106.2106678</v>
      </c>
      <c r="DA15" s="15">
        <v>39</v>
      </c>
      <c r="DC15" s="15">
        <f t="shared" si="87"/>
        <v>1036.68</v>
      </c>
      <c r="DD15" s="15">
        <f t="shared" si="41"/>
        <v>419.1916704</v>
      </c>
      <c r="DE15" s="15">
        <f t="shared" si="42"/>
        <v>1455.8716704</v>
      </c>
      <c r="DF15" s="15">
        <v>51</v>
      </c>
      <c r="DH15" s="15">
        <f t="shared" si="88"/>
        <v>52236.2025</v>
      </c>
      <c r="DI15" s="15">
        <f t="shared" si="43"/>
        <v>21122.2180242</v>
      </c>
      <c r="DJ15" s="15">
        <f t="shared" si="44"/>
        <v>73358.4205242</v>
      </c>
      <c r="DK15" s="15">
        <v>2583</v>
      </c>
      <c r="DM15" s="15">
        <f t="shared" si="89"/>
        <v>994.3</v>
      </c>
      <c r="DN15" s="15">
        <f t="shared" si="45"/>
        <v>402.054904</v>
      </c>
      <c r="DO15" s="15">
        <f t="shared" si="46"/>
        <v>1396.354904</v>
      </c>
      <c r="DP15" s="15">
        <v>49</v>
      </c>
      <c r="DR15" s="15">
        <f t="shared" si="90"/>
        <v>14857.0425</v>
      </c>
      <c r="DS15" s="15">
        <f t="shared" si="47"/>
        <v>6007.5900594</v>
      </c>
      <c r="DT15" s="15">
        <f t="shared" si="48"/>
        <v>20864.6325594</v>
      </c>
      <c r="DU15" s="15">
        <v>735</v>
      </c>
      <c r="DW15" s="15">
        <f t="shared" si="91"/>
        <v>10320.7525</v>
      </c>
      <c r="DX15" s="15">
        <f t="shared" si="49"/>
        <v>4173.2969482</v>
      </c>
      <c r="DY15" s="15">
        <f t="shared" si="50"/>
        <v>14494.0494482</v>
      </c>
      <c r="DZ15" s="15">
        <v>510</v>
      </c>
      <c r="EB15" s="15">
        <f t="shared" si="92"/>
        <v>4028.9525</v>
      </c>
      <c r="EC15" s="15">
        <f t="shared" si="51"/>
        <v>1629.1462442000002</v>
      </c>
      <c r="ED15" s="15">
        <f t="shared" si="52"/>
        <v>5658.0987442000005</v>
      </c>
      <c r="EE15" s="15">
        <v>199</v>
      </c>
      <c r="EG15" s="15">
        <f t="shared" si="93"/>
        <v>45277.7325</v>
      </c>
      <c r="EH15" s="15">
        <f t="shared" si="53"/>
        <v>18308.4928026</v>
      </c>
      <c r="EI15" s="15">
        <f t="shared" si="54"/>
        <v>63586.225302599996</v>
      </c>
      <c r="EJ15" s="15">
        <v>2239</v>
      </c>
      <c r="EL15" s="15">
        <f t="shared" si="94"/>
        <v>102046.965</v>
      </c>
      <c r="EM15" s="15">
        <f t="shared" si="55"/>
        <v>41263.685725200005</v>
      </c>
      <c r="EN15" s="15">
        <f t="shared" si="56"/>
        <v>143310.65072520002</v>
      </c>
      <c r="EO15" s="15">
        <v>5047</v>
      </c>
      <c r="EQ15" s="15">
        <f t="shared" si="95"/>
        <v>13022.4775</v>
      </c>
      <c r="ER15" s="15">
        <f t="shared" si="57"/>
        <v>5265.7658062</v>
      </c>
      <c r="ES15" s="15">
        <f t="shared" si="58"/>
        <v>18288.243306200002</v>
      </c>
      <c r="ET15" s="15">
        <v>644</v>
      </c>
      <c r="EV15" s="15">
        <f t="shared" si="96"/>
        <v>20679.81</v>
      </c>
      <c r="EW15" s="15">
        <f t="shared" si="59"/>
        <v>8362.0828968</v>
      </c>
      <c r="EX15" s="15">
        <f t="shared" si="60"/>
        <v>29041.892896800004</v>
      </c>
      <c r="EY15" s="15">
        <v>1023</v>
      </c>
      <c r="FA15" s="15">
        <f t="shared" si="97"/>
        <v>95839.5175</v>
      </c>
      <c r="FB15" s="15">
        <f t="shared" si="61"/>
        <v>38753.6437774</v>
      </c>
      <c r="FC15" s="15">
        <f t="shared" si="62"/>
        <v>134593.1612774</v>
      </c>
      <c r="FD15" s="15">
        <v>4740</v>
      </c>
      <c r="FF15" s="15">
        <f t="shared" si="98"/>
        <v>5086.415</v>
      </c>
      <c r="FG15" s="15">
        <f t="shared" si="63"/>
        <v>2056.7415212</v>
      </c>
      <c r="FH15" s="15">
        <f t="shared" si="64"/>
        <v>7143.1565212000005</v>
      </c>
      <c r="FI15" s="15">
        <v>252</v>
      </c>
      <c r="FK15" s="15">
        <f t="shared" si="99"/>
        <v>29162.33</v>
      </c>
      <c r="FL15" s="15">
        <f t="shared" si="65"/>
        <v>11792.0726024</v>
      </c>
      <c r="FM15" s="15">
        <f t="shared" si="66"/>
        <v>40954.402602400005</v>
      </c>
      <c r="FN15" s="15">
        <v>1442</v>
      </c>
    </row>
    <row r="16" spans="1:170" ht="12.75">
      <c r="A16" s="2">
        <v>41183</v>
      </c>
      <c r="C16" s="16"/>
      <c r="D16" s="16">
        <v>1545891</v>
      </c>
      <c r="E16" s="16">
        <f t="shared" si="0"/>
        <v>1545891</v>
      </c>
      <c r="H16" s="15">
        <f t="shared" si="1"/>
        <v>102253.26937319999</v>
      </c>
      <c r="I16" s="33">
        <f t="shared" si="2"/>
        <v>102253.26937319999</v>
      </c>
      <c r="J16" s="33">
        <v>13330</v>
      </c>
      <c r="M16" s="15">
        <f t="shared" si="3"/>
        <v>1746.2384736000001</v>
      </c>
      <c r="N16" s="15">
        <f t="shared" si="4"/>
        <v>1746.2384736000001</v>
      </c>
      <c r="O16" s="15">
        <v>228</v>
      </c>
      <c r="Q16" s="33"/>
      <c r="R16" s="15">
        <f t="shared" si="5"/>
        <v>7883.116565399999</v>
      </c>
      <c r="S16" s="15">
        <f t="shared" si="6"/>
        <v>7883.116565399999</v>
      </c>
      <c r="T16" s="15">
        <v>1028</v>
      </c>
      <c r="W16" s="15">
        <f t="shared" si="7"/>
        <v>137089.1501127</v>
      </c>
      <c r="X16" s="15">
        <f t="shared" si="8"/>
        <v>137089.1501127</v>
      </c>
      <c r="Y16" s="15">
        <v>17871</v>
      </c>
      <c r="AB16" s="15">
        <f t="shared" si="9"/>
        <v>1660.5961121999999</v>
      </c>
      <c r="AC16" s="15">
        <f t="shared" si="10"/>
        <v>1660.5961121999999</v>
      </c>
      <c r="AD16" s="15">
        <v>216</v>
      </c>
      <c r="AG16" s="15">
        <f t="shared" si="11"/>
        <v>1400.4226569</v>
      </c>
      <c r="AH16" s="15">
        <f t="shared" si="12"/>
        <v>1400.4226569</v>
      </c>
      <c r="AI16" s="15">
        <v>183</v>
      </c>
      <c r="AL16" s="15">
        <f t="shared" si="13"/>
        <v>57455.82161880001</v>
      </c>
      <c r="AM16" s="15">
        <f t="shared" si="14"/>
        <v>57455.82161880001</v>
      </c>
      <c r="AN16" s="15">
        <v>7490</v>
      </c>
      <c r="AQ16" s="15">
        <f t="shared" si="15"/>
        <v>117893.20320929999</v>
      </c>
      <c r="AR16" s="15">
        <f t="shared" si="16"/>
        <v>117893.20320929999</v>
      </c>
      <c r="AS16" s="15">
        <v>15369</v>
      </c>
      <c r="AV16" s="15">
        <f t="shared" si="17"/>
        <v>1361.0024364</v>
      </c>
      <c r="AW16" s="15">
        <f t="shared" si="18"/>
        <v>1361.0024364</v>
      </c>
      <c r="AX16" s="15">
        <v>177</v>
      </c>
      <c r="BA16" s="15">
        <f t="shared" si="19"/>
        <v>914.2399373999999</v>
      </c>
      <c r="BB16" s="15">
        <f t="shared" si="20"/>
        <v>914.2399373999999</v>
      </c>
      <c r="BC16" s="15">
        <v>119</v>
      </c>
      <c r="BF16" s="15">
        <f t="shared" si="21"/>
        <v>-136.19299709999999</v>
      </c>
      <c r="BG16" s="15">
        <f t="shared" si="22"/>
        <v>-136.19299709999999</v>
      </c>
      <c r="BH16" s="15">
        <v>-18</v>
      </c>
      <c r="BK16" s="15">
        <f t="shared" si="23"/>
        <v>-88.73414340000001</v>
      </c>
      <c r="BL16" s="15">
        <f t="shared" si="24"/>
        <v>-88.73414340000001</v>
      </c>
      <c r="BM16" s="15">
        <v>-12</v>
      </c>
      <c r="BP16" s="15">
        <f t="shared" si="25"/>
        <v>3299.8589286</v>
      </c>
      <c r="BQ16" s="15">
        <f t="shared" si="26"/>
        <v>3299.8589286</v>
      </c>
      <c r="BR16" s="15">
        <v>430</v>
      </c>
      <c r="BU16" s="15">
        <f t="shared" si="27"/>
        <v>20292.911157</v>
      </c>
      <c r="BV16" s="15">
        <f t="shared" si="28"/>
        <v>20292.911157</v>
      </c>
      <c r="BW16" s="15">
        <v>2645</v>
      </c>
      <c r="BZ16" s="15">
        <f t="shared" si="29"/>
        <v>136324.5524241</v>
      </c>
      <c r="CA16" s="15">
        <f t="shared" si="30"/>
        <v>136324.5524241</v>
      </c>
      <c r="CB16" s="15">
        <v>17771</v>
      </c>
      <c r="CE16" s="15">
        <f t="shared" si="31"/>
        <v>19668.680371199996</v>
      </c>
      <c r="CF16" s="15">
        <f t="shared" si="32"/>
        <v>19668.680371199996</v>
      </c>
      <c r="CG16" s="15">
        <v>2564</v>
      </c>
      <c r="CJ16" s="15">
        <f t="shared" si="33"/>
        <v>40188.837505200005</v>
      </c>
      <c r="CK16" s="15">
        <f t="shared" si="34"/>
        <v>40188.837505200005</v>
      </c>
      <c r="CL16" s="15">
        <v>5239</v>
      </c>
      <c r="CO16" s="15">
        <f t="shared" si="35"/>
        <v>6517.7856342000005</v>
      </c>
      <c r="CP16" s="15">
        <f t="shared" si="36"/>
        <v>6517.7856342000005</v>
      </c>
      <c r="CQ16" s="15">
        <v>850</v>
      </c>
      <c r="CT16" s="15">
        <f t="shared" si="37"/>
        <v>33434.8397262</v>
      </c>
      <c r="CU16" s="15">
        <f t="shared" si="38"/>
        <v>33434.8397262</v>
      </c>
      <c r="CV16" s="15">
        <v>4359</v>
      </c>
      <c r="CY16" s="15">
        <f t="shared" si="39"/>
        <v>298.8207303</v>
      </c>
      <c r="CZ16" s="15">
        <f t="shared" si="40"/>
        <v>298.8207303</v>
      </c>
      <c r="DA16" s="15">
        <v>39</v>
      </c>
      <c r="DD16" s="15">
        <f t="shared" si="41"/>
        <v>393.27467040000005</v>
      </c>
      <c r="DE16" s="15">
        <f t="shared" si="42"/>
        <v>393.27467040000005</v>
      </c>
      <c r="DF16" s="15">
        <v>51</v>
      </c>
      <c r="DI16" s="15">
        <f t="shared" si="43"/>
        <v>19816.3129617</v>
      </c>
      <c r="DJ16" s="15">
        <f t="shared" si="44"/>
        <v>19816.3129617</v>
      </c>
      <c r="DK16" s="15">
        <v>2583</v>
      </c>
      <c r="DN16" s="15">
        <f t="shared" si="45"/>
        <v>377.197404</v>
      </c>
      <c r="DO16" s="15">
        <f t="shared" si="46"/>
        <v>377.197404</v>
      </c>
      <c r="DP16" s="15">
        <v>49</v>
      </c>
      <c r="DS16" s="15">
        <f t="shared" si="47"/>
        <v>5636.1639969</v>
      </c>
      <c r="DT16" s="15">
        <f t="shared" si="48"/>
        <v>5636.1639969</v>
      </c>
      <c r="DU16" s="15">
        <v>735</v>
      </c>
      <c r="DX16" s="15">
        <f t="shared" si="49"/>
        <v>3915.2781357</v>
      </c>
      <c r="DY16" s="15">
        <f t="shared" si="50"/>
        <v>3915.2781357</v>
      </c>
      <c r="DZ16" s="15">
        <v>510</v>
      </c>
      <c r="EC16" s="15">
        <f t="shared" si="51"/>
        <v>1528.4224317</v>
      </c>
      <c r="ED16" s="15">
        <f t="shared" si="52"/>
        <v>1528.4224317</v>
      </c>
      <c r="EE16" s="15">
        <v>199</v>
      </c>
      <c r="EH16" s="15">
        <f t="shared" si="53"/>
        <v>17176.549490100002</v>
      </c>
      <c r="EI16" s="15">
        <f t="shared" si="54"/>
        <v>17176.549490100002</v>
      </c>
      <c r="EJ16" s="15">
        <v>2239</v>
      </c>
      <c r="EM16" s="15">
        <f t="shared" si="55"/>
        <v>38712.5116002</v>
      </c>
      <c r="EN16" s="15">
        <f t="shared" si="56"/>
        <v>38712.5116002</v>
      </c>
      <c r="EO16" s="15">
        <v>5047</v>
      </c>
      <c r="ER16" s="15">
        <f t="shared" si="57"/>
        <v>4940.2038687</v>
      </c>
      <c r="ES16" s="15">
        <f t="shared" si="58"/>
        <v>4940.2038687</v>
      </c>
      <c r="ET16" s="15">
        <v>644</v>
      </c>
      <c r="EW16" s="15">
        <f t="shared" si="59"/>
        <v>7845.087646800001</v>
      </c>
      <c r="EX16" s="15">
        <f t="shared" si="60"/>
        <v>7845.087646800001</v>
      </c>
      <c r="EY16" s="15">
        <v>1023</v>
      </c>
      <c r="FB16" s="15">
        <f t="shared" si="61"/>
        <v>36357.6558399</v>
      </c>
      <c r="FC16" s="15">
        <f t="shared" si="62"/>
        <v>36357.6558399</v>
      </c>
      <c r="FD16" s="15">
        <v>4740</v>
      </c>
      <c r="FG16" s="15">
        <f t="shared" si="63"/>
        <v>1929.5811462000001</v>
      </c>
      <c r="FH16" s="15">
        <f t="shared" si="64"/>
        <v>1929.5811462000001</v>
      </c>
      <c r="FI16" s="15">
        <v>252</v>
      </c>
      <c r="FL16" s="15">
        <f t="shared" si="65"/>
        <v>11063.0143524</v>
      </c>
      <c r="FM16" s="15">
        <f t="shared" si="66"/>
        <v>11063.0143524</v>
      </c>
      <c r="FN16" s="15">
        <v>1442</v>
      </c>
    </row>
    <row r="17" spans="1:170" ht="12.75">
      <c r="A17" s="2">
        <v>41365</v>
      </c>
      <c r="C17" s="16">
        <v>4280000</v>
      </c>
      <c r="D17" s="16">
        <v>1545891</v>
      </c>
      <c r="E17" s="16">
        <f t="shared" si="0"/>
        <v>5825891</v>
      </c>
      <c r="G17" s="15">
        <f t="shared" si="67"/>
        <v>283101.456</v>
      </c>
      <c r="H17" s="15">
        <f t="shared" si="1"/>
        <v>102253.26937319999</v>
      </c>
      <c r="I17" s="33">
        <f t="shared" si="2"/>
        <v>385354.7253732</v>
      </c>
      <c r="J17" s="33">
        <v>13330</v>
      </c>
      <c r="L17" s="15">
        <f t="shared" si="68"/>
        <v>4834.688</v>
      </c>
      <c r="M17" s="15">
        <f t="shared" si="3"/>
        <v>1746.2384736000001</v>
      </c>
      <c r="N17" s="15">
        <f t="shared" si="4"/>
        <v>6580.9264736000005</v>
      </c>
      <c r="O17" s="15">
        <v>228</v>
      </c>
      <c r="Q17" s="33">
        <f t="shared" si="69"/>
        <v>21825.431999999997</v>
      </c>
      <c r="R17" s="15">
        <f t="shared" si="5"/>
        <v>7883.116565399999</v>
      </c>
      <c r="S17" s="15">
        <f t="shared" si="6"/>
        <v>29708.548565399997</v>
      </c>
      <c r="T17" s="15">
        <v>1028</v>
      </c>
      <c r="V17" s="15">
        <f t="shared" si="70"/>
        <v>379549.11600000004</v>
      </c>
      <c r="W17" s="15">
        <f t="shared" si="7"/>
        <v>137089.1501127</v>
      </c>
      <c r="X17" s="15">
        <f t="shared" si="8"/>
        <v>516638.26611270005</v>
      </c>
      <c r="Y17" s="15">
        <v>17871</v>
      </c>
      <c r="AA17" s="15">
        <f t="shared" si="71"/>
        <v>4597.576</v>
      </c>
      <c r="AB17" s="15">
        <f t="shared" si="9"/>
        <v>1660.5961121999999</v>
      </c>
      <c r="AC17" s="15">
        <f t="shared" si="10"/>
        <v>6258.1721122</v>
      </c>
      <c r="AD17" s="15">
        <v>216</v>
      </c>
      <c r="AF17" s="15">
        <f t="shared" si="72"/>
        <v>3877.252</v>
      </c>
      <c r="AG17" s="15">
        <f t="shared" si="11"/>
        <v>1400.4226569</v>
      </c>
      <c r="AH17" s="15">
        <f t="shared" si="12"/>
        <v>5277.6746569</v>
      </c>
      <c r="AI17" s="15">
        <v>183</v>
      </c>
      <c r="AK17" s="15">
        <f t="shared" si="73"/>
        <v>159073.904</v>
      </c>
      <c r="AL17" s="15">
        <f t="shared" si="13"/>
        <v>57455.82161880001</v>
      </c>
      <c r="AM17" s="15">
        <f t="shared" si="14"/>
        <v>216529.72561880003</v>
      </c>
      <c r="AN17" s="15">
        <v>7490</v>
      </c>
      <c r="AP17" s="15">
        <f t="shared" si="74"/>
        <v>326402.644</v>
      </c>
      <c r="AQ17" s="15">
        <f t="shared" si="15"/>
        <v>117893.20320929999</v>
      </c>
      <c r="AR17" s="15">
        <f t="shared" si="16"/>
        <v>444295.8472093</v>
      </c>
      <c r="AS17" s="15">
        <v>15369</v>
      </c>
      <c r="AU17" s="15">
        <f t="shared" si="75"/>
        <v>3768.1119999999996</v>
      </c>
      <c r="AV17" s="15">
        <f t="shared" si="17"/>
        <v>1361.0024364</v>
      </c>
      <c r="AW17" s="15">
        <f t="shared" si="18"/>
        <v>5129.114436399999</v>
      </c>
      <c r="AX17" s="15">
        <v>177</v>
      </c>
      <c r="AZ17" s="15">
        <f t="shared" si="76"/>
        <v>2531.192</v>
      </c>
      <c r="BA17" s="15">
        <f t="shared" si="19"/>
        <v>914.2399373999999</v>
      </c>
      <c r="BB17" s="15">
        <f t="shared" si="20"/>
        <v>3445.4319373999997</v>
      </c>
      <c r="BC17" s="15">
        <v>119</v>
      </c>
      <c r="BE17" s="15">
        <f t="shared" si="77"/>
        <v>-377.06800000000004</v>
      </c>
      <c r="BF17" s="15">
        <f t="shared" si="21"/>
        <v>-136.19299709999999</v>
      </c>
      <c r="BG17" s="15">
        <f t="shared" si="22"/>
        <v>-513.2609971</v>
      </c>
      <c r="BH17" s="15">
        <v>-18</v>
      </c>
      <c r="BJ17" s="15">
        <f t="shared" si="78"/>
        <v>-245.672</v>
      </c>
      <c r="BK17" s="15">
        <f t="shared" si="23"/>
        <v>-88.73414340000001</v>
      </c>
      <c r="BL17" s="15">
        <f t="shared" si="24"/>
        <v>-334.4061434</v>
      </c>
      <c r="BM17" s="15">
        <v>-12</v>
      </c>
      <c r="BO17" s="15">
        <f t="shared" si="79"/>
        <v>9136.088</v>
      </c>
      <c r="BP17" s="15">
        <f t="shared" si="25"/>
        <v>3299.8589286</v>
      </c>
      <c r="BQ17" s="15">
        <f t="shared" si="26"/>
        <v>12435.9469286</v>
      </c>
      <c r="BR17" s="15">
        <v>430</v>
      </c>
      <c r="BT17" s="15">
        <f t="shared" si="80"/>
        <v>56183.56</v>
      </c>
      <c r="BU17" s="15">
        <f t="shared" si="27"/>
        <v>20292.911157</v>
      </c>
      <c r="BV17" s="15">
        <f t="shared" si="28"/>
        <v>76476.47115699999</v>
      </c>
      <c r="BW17" s="15">
        <v>2645</v>
      </c>
      <c r="BY17" s="15">
        <f t="shared" si="81"/>
        <v>377432.22799999994</v>
      </c>
      <c r="BZ17" s="15">
        <f t="shared" si="29"/>
        <v>136324.5524241</v>
      </c>
      <c r="CA17" s="15">
        <f t="shared" si="30"/>
        <v>513756.78042409994</v>
      </c>
      <c r="CB17" s="15">
        <v>17771</v>
      </c>
      <c r="CD17" s="15">
        <f t="shared" si="82"/>
        <v>54455.295999999995</v>
      </c>
      <c r="CE17" s="15">
        <f t="shared" si="31"/>
        <v>19668.680371199996</v>
      </c>
      <c r="CF17" s="15">
        <f t="shared" si="32"/>
        <v>74123.9763712</v>
      </c>
      <c r="CG17" s="15">
        <v>2564</v>
      </c>
      <c r="CI17" s="15">
        <f t="shared" si="83"/>
        <v>111268.016</v>
      </c>
      <c r="CJ17" s="15">
        <f t="shared" si="33"/>
        <v>40188.837505200005</v>
      </c>
      <c r="CK17" s="15">
        <f t="shared" si="34"/>
        <v>151456.8535052</v>
      </c>
      <c r="CL17" s="15">
        <v>5239</v>
      </c>
      <c r="CN17" s="15">
        <f t="shared" si="84"/>
        <v>18045.336</v>
      </c>
      <c r="CO17" s="15">
        <f t="shared" si="35"/>
        <v>6517.7856342000005</v>
      </c>
      <c r="CP17" s="15">
        <f t="shared" si="36"/>
        <v>24563.1216342</v>
      </c>
      <c r="CQ17" s="15">
        <v>850</v>
      </c>
      <c r="CS17" s="15">
        <f t="shared" si="85"/>
        <v>92568.696</v>
      </c>
      <c r="CT17" s="15">
        <f t="shared" si="37"/>
        <v>33434.8397262</v>
      </c>
      <c r="CU17" s="15">
        <f t="shared" si="38"/>
        <v>126003.5357262</v>
      </c>
      <c r="CV17" s="15">
        <v>4359</v>
      </c>
      <c r="CX17" s="15">
        <f t="shared" si="86"/>
        <v>827.324</v>
      </c>
      <c r="CY17" s="15">
        <f t="shared" si="39"/>
        <v>298.8207303</v>
      </c>
      <c r="CZ17" s="15">
        <f t="shared" si="40"/>
        <v>1126.1447303</v>
      </c>
      <c r="DA17" s="15">
        <v>39</v>
      </c>
      <c r="DC17" s="15">
        <f t="shared" si="87"/>
        <v>1088.8319999999999</v>
      </c>
      <c r="DD17" s="15">
        <f t="shared" si="41"/>
        <v>393.27467040000005</v>
      </c>
      <c r="DE17" s="15">
        <f t="shared" si="42"/>
        <v>1482.1066704</v>
      </c>
      <c r="DF17" s="15">
        <v>51</v>
      </c>
      <c r="DH17" s="15">
        <f t="shared" si="88"/>
        <v>54864.03600000001</v>
      </c>
      <c r="DI17" s="15">
        <f t="shared" si="43"/>
        <v>19816.3129617</v>
      </c>
      <c r="DJ17" s="15">
        <f t="shared" si="44"/>
        <v>74680.34896170002</v>
      </c>
      <c r="DK17" s="15">
        <v>2583</v>
      </c>
      <c r="DM17" s="15">
        <f t="shared" si="89"/>
        <v>1044.32</v>
      </c>
      <c r="DN17" s="15">
        <f t="shared" si="45"/>
        <v>377.197404</v>
      </c>
      <c r="DO17" s="15">
        <f t="shared" si="46"/>
        <v>1421.517404</v>
      </c>
      <c r="DP17" s="15">
        <v>49</v>
      </c>
      <c r="DR17" s="15">
        <f t="shared" si="90"/>
        <v>15604.452000000001</v>
      </c>
      <c r="DS17" s="15">
        <f t="shared" si="47"/>
        <v>5636.1639969</v>
      </c>
      <c r="DT17" s="15">
        <f t="shared" si="48"/>
        <v>21240.6159969</v>
      </c>
      <c r="DU17" s="15">
        <v>735</v>
      </c>
      <c r="DW17" s="15">
        <f t="shared" si="91"/>
        <v>10839.956</v>
      </c>
      <c r="DX17" s="15">
        <f t="shared" si="49"/>
        <v>3915.2781357</v>
      </c>
      <c r="DY17" s="15">
        <f t="shared" si="50"/>
        <v>14755.2341357</v>
      </c>
      <c r="DZ17" s="15">
        <v>510</v>
      </c>
      <c r="EB17" s="15">
        <f t="shared" si="92"/>
        <v>4231.6359999999995</v>
      </c>
      <c r="EC17" s="15">
        <f t="shared" si="51"/>
        <v>1528.4224317</v>
      </c>
      <c r="ED17" s="15">
        <f t="shared" si="52"/>
        <v>5760.058431699999</v>
      </c>
      <c r="EE17" s="15">
        <v>199</v>
      </c>
      <c r="EG17" s="15">
        <f t="shared" si="93"/>
        <v>47555.508</v>
      </c>
      <c r="EH17" s="15">
        <f t="shared" si="53"/>
        <v>17176.549490100002</v>
      </c>
      <c r="EI17" s="15">
        <f t="shared" si="54"/>
        <v>64732.05749010001</v>
      </c>
      <c r="EJ17" s="15">
        <v>2239</v>
      </c>
      <c r="EL17" s="15">
        <f t="shared" si="94"/>
        <v>107180.616</v>
      </c>
      <c r="EM17" s="15">
        <f t="shared" si="55"/>
        <v>38712.5116002</v>
      </c>
      <c r="EN17" s="15">
        <f t="shared" si="56"/>
        <v>145893.1276002</v>
      </c>
      <c r="EO17" s="15">
        <v>5047</v>
      </c>
      <c r="EQ17" s="15">
        <f t="shared" si="95"/>
        <v>13677.596000000001</v>
      </c>
      <c r="ER17" s="15">
        <f t="shared" si="57"/>
        <v>4940.2038687</v>
      </c>
      <c r="ES17" s="15">
        <f t="shared" si="58"/>
        <v>18617.7998687</v>
      </c>
      <c r="ET17" s="15">
        <v>644</v>
      </c>
      <c r="EV17" s="15">
        <f t="shared" si="96"/>
        <v>21720.144000000004</v>
      </c>
      <c r="EW17" s="15">
        <f t="shared" si="59"/>
        <v>7845.087646800001</v>
      </c>
      <c r="EX17" s="15">
        <f t="shared" si="60"/>
        <v>29565.231646800006</v>
      </c>
      <c r="EY17" s="15">
        <v>1023</v>
      </c>
      <c r="FA17" s="15">
        <f t="shared" si="97"/>
        <v>100660.89199999999</v>
      </c>
      <c r="FB17" s="15">
        <f t="shared" si="61"/>
        <v>36357.6558399</v>
      </c>
      <c r="FC17" s="15">
        <f t="shared" si="62"/>
        <v>137018.54783989998</v>
      </c>
      <c r="FD17" s="15">
        <v>4740</v>
      </c>
      <c r="FF17" s="15">
        <f t="shared" si="98"/>
        <v>5342.295999999999</v>
      </c>
      <c r="FG17" s="15">
        <f t="shared" si="63"/>
        <v>1929.5811462000001</v>
      </c>
      <c r="FH17" s="15">
        <f t="shared" si="64"/>
        <v>7271.8771461999995</v>
      </c>
      <c r="FI17" s="15">
        <v>252</v>
      </c>
      <c r="FK17" s="15">
        <f t="shared" si="99"/>
        <v>30629.392000000003</v>
      </c>
      <c r="FL17" s="15">
        <f t="shared" si="65"/>
        <v>11063.0143524</v>
      </c>
      <c r="FM17" s="15">
        <f t="shared" si="66"/>
        <v>41692.4063524</v>
      </c>
      <c r="FN17" s="15">
        <v>1442</v>
      </c>
    </row>
    <row r="18" spans="1:170" ht="12.75">
      <c r="A18" s="2">
        <v>41548</v>
      </c>
      <c r="B18" s="11"/>
      <c r="C18" s="16"/>
      <c r="D18" s="16">
        <v>1438891</v>
      </c>
      <c r="E18" s="16">
        <f t="shared" si="0"/>
        <v>1438891</v>
      </c>
      <c r="H18" s="15">
        <f t="shared" si="1"/>
        <v>95175.73297319999</v>
      </c>
      <c r="I18" s="33">
        <f t="shared" si="2"/>
        <v>95175.73297319999</v>
      </c>
      <c r="J18" s="33">
        <v>13330</v>
      </c>
      <c r="M18" s="15">
        <f t="shared" si="3"/>
        <v>1625.3712736000002</v>
      </c>
      <c r="N18" s="15">
        <f t="shared" si="4"/>
        <v>1625.3712736000002</v>
      </c>
      <c r="O18" s="15">
        <v>228</v>
      </c>
      <c r="Q18" s="33"/>
      <c r="R18" s="15">
        <f t="shared" si="5"/>
        <v>7337.4807654</v>
      </c>
      <c r="S18" s="15">
        <f t="shared" si="6"/>
        <v>7337.4807654</v>
      </c>
      <c r="T18" s="15">
        <v>1028</v>
      </c>
      <c r="W18" s="15">
        <f t="shared" si="7"/>
        <v>127600.42221269998</v>
      </c>
      <c r="X18" s="15">
        <f t="shared" si="8"/>
        <v>127600.42221269998</v>
      </c>
      <c r="Y18" s="15">
        <v>17871</v>
      </c>
      <c r="AB18" s="15">
        <f t="shared" si="9"/>
        <v>1545.6567122</v>
      </c>
      <c r="AC18" s="15">
        <f t="shared" si="10"/>
        <v>1545.6567122</v>
      </c>
      <c r="AD18" s="15">
        <v>216</v>
      </c>
      <c r="AG18" s="15">
        <f t="shared" si="11"/>
        <v>1303.4913569</v>
      </c>
      <c r="AH18" s="15">
        <f t="shared" si="12"/>
        <v>1303.4913569</v>
      </c>
      <c r="AI18" s="15">
        <v>183</v>
      </c>
      <c r="AL18" s="15">
        <f t="shared" si="13"/>
        <v>53478.97401880001</v>
      </c>
      <c r="AM18" s="15">
        <f t="shared" si="14"/>
        <v>53478.97401880001</v>
      </c>
      <c r="AN18" s="15">
        <v>7490</v>
      </c>
      <c r="AQ18" s="15">
        <f t="shared" si="15"/>
        <v>109733.13710929999</v>
      </c>
      <c r="AR18" s="15">
        <f t="shared" si="16"/>
        <v>109733.13710929999</v>
      </c>
      <c r="AS18" s="15">
        <v>15369</v>
      </c>
      <c r="AV18" s="15">
        <f t="shared" si="17"/>
        <v>1266.7996363999998</v>
      </c>
      <c r="AW18" s="15">
        <f t="shared" si="18"/>
        <v>1266.7996363999998</v>
      </c>
      <c r="AX18" s="15">
        <v>177</v>
      </c>
      <c r="BA18" s="15">
        <f t="shared" si="19"/>
        <v>850.9601373999999</v>
      </c>
      <c r="BB18" s="15">
        <f t="shared" si="20"/>
        <v>850.9601373999999</v>
      </c>
      <c r="BC18" s="15">
        <v>119</v>
      </c>
      <c r="BF18" s="15">
        <f t="shared" si="21"/>
        <v>-126.76629710000002</v>
      </c>
      <c r="BG18" s="15">
        <f t="shared" si="22"/>
        <v>-126.76629710000002</v>
      </c>
      <c r="BH18" s="15">
        <v>-18</v>
      </c>
      <c r="BK18" s="15">
        <f t="shared" si="23"/>
        <v>-82.5923434</v>
      </c>
      <c r="BL18" s="15">
        <f t="shared" si="24"/>
        <v>-82.5923434</v>
      </c>
      <c r="BM18" s="15">
        <v>-12</v>
      </c>
      <c r="BP18" s="15">
        <f t="shared" si="25"/>
        <v>3071.4567286</v>
      </c>
      <c r="BQ18" s="15">
        <f t="shared" si="26"/>
        <v>3071.4567286</v>
      </c>
      <c r="BR18" s="15">
        <v>430</v>
      </c>
      <c r="BU18" s="15">
        <f t="shared" si="27"/>
        <v>18888.322157000002</v>
      </c>
      <c r="BV18" s="15">
        <f t="shared" si="28"/>
        <v>18888.322157000002</v>
      </c>
      <c r="BW18" s="15">
        <v>2645</v>
      </c>
      <c r="BZ18" s="15">
        <f t="shared" si="29"/>
        <v>126888.7467241</v>
      </c>
      <c r="CA18" s="15">
        <f t="shared" si="30"/>
        <v>126888.7467241</v>
      </c>
      <c r="CB18" s="15">
        <v>17771</v>
      </c>
      <c r="CE18" s="15">
        <f t="shared" si="31"/>
        <v>18307.297971199998</v>
      </c>
      <c r="CF18" s="15">
        <f t="shared" si="32"/>
        <v>18307.297971199998</v>
      </c>
      <c r="CG18" s="15">
        <v>2564</v>
      </c>
      <c r="CJ18" s="15">
        <f t="shared" si="33"/>
        <v>37407.1371052</v>
      </c>
      <c r="CK18" s="15">
        <f t="shared" si="34"/>
        <v>37407.1371052</v>
      </c>
      <c r="CL18" s="15">
        <v>5239</v>
      </c>
      <c r="CO18" s="15">
        <f t="shared" si="35"/>
        <v>6066.652234199999</v>
      </c>
      <c r="CP18" s="15">
        <f t="shared" si="36"/>
        <v>6066.652234199999</v>
      </c>
      <c r="CQ18" s="15">
        <v>850</v>
      </c>
      <c r="CT18" s="15">
        <f t="shared" si="37"/>
        <v>31120.6223262</v>
      </c>
      <c r="CU18" s="15">
        <f t="shared" si="38"/>
        <v>31120.6223262</v>
      </c>
      <c r="CV18" s="15">
        <v>4359</v>
      </c>
      <c r="CY18" s="15">
        <f t="shared" si="39"/>
        <v>278.13763029999996</v>
      </c>
      <c r="CZ18" s="15">
        <f t="shared" si="40"/>
        <v>278.13763029999996</v>
      </c>
      <c r="DA18" s="15">
        <v>39</v>
      </c>
      <c r="DD18" s="15">
        <f t="shared" si="41"/>
        <v>366.0538704</v>
      </c>
      <c r="DE18" s="15">
        <f t="shared" si="42"/>
        <v>366.0538704</v>
      </c>
      <c r="DF18" s="15">
        <v>51</v>
      </c>
      <c r="DI18" s="15">
        <f t="shared" si="43"/>
        <v>18444.7120617</v>
      </c>
      <c r="DJ18" s="15">
        <f t="shared" si="44"/>
        <v>18444.7120617</v>
      </c>
      <c r="DK18" s="15">
        <v>2583</v>
      </c>
      <c r="DN18" s="15">
        <f t="shared" si="45"/>
        <v>351.089404</v>
      </c>
      <c r="DO18" s="15">
        <f t="shared" si="46"/>
        <v>351.089404</v>
      </c>
      <c r="DP18" s="15">
        <v>49</v>
      </c>
      <c r="DS18" s="15">
        <f t="shared" si="47"/>
        <v>5246.0526969</v>
      </c>
      <c r="DT18" s="15">
        <f t="shared" si="48"/>
        <v>5246.0526969</v>
      </c>
      <c r="DU18" s="15">
        <v>735</v>
      </c>
      <c r="DX18" s="15">
        <f t="shared" si="49"/>
        <v>3644.2792357</v>
      </c>
      <c r="DY18" s="15">
        <f t="shared" si="50"/>
        <v>3644.2792357</v>
      </c>
      <c r="DZ18" s="15">
        <v>510</v>
      </c>
      <c r="EC18" s="15">
        <f t="shared" si="51"/>
        <v>1422.6315317</v>
      </c>
      <c r="ED18" s="15">
        <f t="shared" si="52"/>
        <v>1422.6315317</v>
      </c>
      <c r="EE18" s="15">
        <v>199</v>
      </c>
      <c r="EH18" s="15">
        <f t="shared" si="53"/>
        <v>15987.6617901</v>
      </c>
      <c r="EI18" s="15">
        <f t="shared" si="54"/>
        <v>15987.6617901</v>
      </c>
      <c r="EJ18" s="15">
        <v>2239</v>
      </c>
      <c r="EM18" s="15">
        <f t="shared" si="55"/>
        <v>36032.9962002</v>
      </c>
      <c r="EN18" s="15">
        <f t="shared" si="56"/>
        <v>36032.9962002</v>
      </c>
      <c r="EO18" s="15">
        <v>5047</v>
      </c>
      <c r="ER18" s="15">
        <f t="shared" si="57"/>
        <v>4598.263968700001</v>
      </c>
      <c r="ES18" s="15">
        <f t="shared" si="58"/>
        <v>4598.263968700001</v>
      </c>
      <c r="ET18" s="15">
        <v>644</v>
      </c>
      <c r="EW18" s="15">
        <f t="shared" si="59"/>
        <v>7302.084046800001</v>
      </c>
      <c r="EX18" s="15">
        <f t="shared" si="60"/>
        <v>7302.084046800001</v>
      </c>
      <c r="EY18" s="15">
        <v>1023</v>
      </c>
      <c r="FB18" s="15">
        <f t="shared" si="61"/>
        <v>33841.1335399</v>
      </c>
      <c r="FC18" s="15">
        <f t="shared" si="62"/>
        <v>33841.1335399</v>
      </c>
      <c r="FD18" s="15">
        <v>4740</v>
      </c>
      <c r="FG18" s="15">
        <f t="shared" si="63"/>
        <v>1796.0237461999998</v>
      </c>
      <c r="FH18" s="15">
        <f t="shared" si="64"/>
        <v>1796.0237461999998</v>
      </c>
      <c r="FI18" s="15">
        <v>252</v>
      </c>
      <c r="FL18" s="15">
        <f t="shared" si="65"/>
        <v>10297.279552400001</v>
      </c>
      <c r="FM18" s="15">
        <f t="shared" si="66"/>
        <v>10297.279552400001</v>
      </c>
      <c r="FN18" s="15">
        <v>1442</v>
      </c>
    </row>
    <row r="19" spans="1:170" ht="12.75">
      <c r="A19" s="2">
        <v>41730</v>
      </c>
      <c r="C19" s="16">
        <v>4495000</v>
      </c>
      <c r="D19" s="16">
        <v>1438891</v>
      </c>
      <c r="E19" s="16">
        <f t="shared" si="0"/>
        <v>5933891</v>
      </c>
      <c r="G19" s="15">
        <f t="shared" si="67"/>
        <v>297322.674</v>
      </c>
      <c r="H19" s="15">
        <f t="shared" si="1"/>
        <v>95175.73297319999</v>
      </c>
      <c r="I19" s="33">
        <f t="shared" si="2"/>
        <v>392498.4069732</v>
      </c>
      <c r="J19" s="33">
        <v>13330</v>
      </c>
      <c r="L19" s="15">
        <f t="shared" si="68"/>
        <v>5077.552</v>
      </c>
      <c r="M19" s="15">
        <f t="shared" si="3"/>
        <v>1625.3712736000002</v>
      </c>
      <c r="N19" s="15">
        <f t="shared" si="4"/>
        <v>6702.923273599999</v>
      </c>
      <c r="O19" s="15">
        <v>228</v>
      </c>
      <c r="Q19" s="33">
        <f t="shared" si="69"/>
        <v>22921.803</v>
      </c>
      <c r="R19" s="15">
        <f t="shared" si="5"/>
        <v>7337.4807654</v>
      </c>
      <c r="S19" s="15">
        <f t="shared" si="6"/>
        <v>30259.2837654</v>
      </c>
      <c r="T19" s="15">
        <v>1028</v>
      </c>
      <c r="V19" s="15">
        <f t="shared" si="70"/>
        <v>398615.2515</v>
      </c>
      <c r="W19" s="15">
        <f t="shared" si="7"/>
        <v>127600.42221269998</v>
      </c>
      <c r="X19" s="15">
        <f t="shared" si="8"/>
        <v>526215.6737127</v>
      </c>
      <c r="Y19" s="15">
        <v>17871</v>
      </c>
      <c r="AA19" s="15">
        <f t="shared" si="71"/>
        <v>4828.529</v>
      </c>
      <c r="AB19" s="15">
        <f t="shared" si="9"/>
        <v>1545.6567122</v>
      </c>
      <c r="AC19" s="15">
        <f t="shared" si="10"/>
        <v>6374.1857122</v>
      </c>
      <c r="AD19" s="15">
        <v>216</v>
      </c>
      <c r="AF19" s="15">
        <f t="shared" si="72"/>
        <v>4072.0205</v>
      </c>
      <c r="AG19" s="15">
        <f t="shared" si="11"/>
        <v>1303.4913569</v>
      </c>
      <c r="AH19" s="15">
        <f t="shared" si="12"/>
        <v>5375.511856900001</v>
      </c>
      <c r="AI19" s="15">
        <v>183</v>
      </c>
      <c r="AK19" s="15">
        <f t="shared" si="73"/>
        <v>167064.766</v>
      </c>
      <c r="AL19" s="15">
        <f t="shared" si="13"/>
        <v>53478.97401880001</v>
      </c>
      <c r="AM19" s="15">
        <f t="shared" si="14"/>
        <v>220543.74001880002</v>
      </c>
      <c r="AN19" s="15">
        <v>7490</v>
      </c>
      <c r="AP19" s="15">
        <f t="shared" si="74"/>
        <v>342799.0385</v>
      </c>
      <c r="AQ19" s="15">
        <f t="shared" si="15"/>
        <v>109733.13710929999</v>
      </c>
      <c r="AR19" s="15">
        <f t="shared" si="16"/>
        <v>452532.17560930003</v>
      </c>
      <c r="AS19" s="15">
        <v>15369</v>
      </c>
      <c r="AU19" s="15">
        <f t="shared" si="75"/>
        <v>3957.3979999999997</v>
      </c>
      <c r="AV19" s="15">
        <f t="shared" si="17"/>
        <v>1266.7996363999998</v>
      </c>
      <c r="AW19" s="15">
        <f t="shared" si="18"/>
        <v>5224.197636399999</v>
      </c>
      <c r="AX19" s="15">
        <v>177</v>
      </c>
      <c r="AZ19" s="15">
        <f t="shared" si="76"/>
        <v>2658.343</v>
      </c>
      <c r="BA19" s="15">
        <f t="shared" si="19"/>
        <v>850.9601373999999</v>
      </c>
      <c r="BB19" s="15">
        <f t="shared" si="20"/>
        <v>3509.3031373999997</v>
      </c>
      <c r="BC19" s="15">
        <v>119</v>
      </c>
      <c r="BE19" s="15">
        <f t="shared" si="77"/>
        <v>-396.00949999999995</v>
      </c>
      <c r="BF19" s="15">
        <f t="shared" si="21"/>
        <v>-126.76629710000002</v>
      </c>
      <c r="BG19" s="15">
        <f t="shared" si="22"/>
        <v>-522.7757971</v>
      </c>
      <c r="BH19" s="15">
        <v>-18</v>
      </c>
      <c r="BJ19" s="15">
        <f t="shared" si="78"/>
        <v>-258.01300000000003</v>
      </c>
      <c r="BK19" s="15">
        <f t="shared" si="23"/>
        <v>-82.5923434</v>
      </c>
      <c r="BL19" s="15">
        <f t="shared" si="24"/>
        <v>-340.60534340000004</v>
      </c>
      <c r="BM19" s="15">
        <v>-12</v>
      </c>
      <c r="BO19" s="15">
        <f t="shared" si="79"/>
        <v>9595.027</v>
      </c>
      <c r="BP19" s="15">
        <f t="shared" si="25"/>
        <v>3071.4567286</v>
      </c>
      <c r="BQ19" s="15">
        <f t="shared" si="26"/>
        <v>12666.4837286</v>
      </c>
      <c r="BR19" s="15">
        <v>430</v>
      </c>
      <c r="BT19" s="15">
        <f t="shared" si="80"/>
        <v>59005.865</v>
      </c>
      <c r="BU19" s="15">
        <f t="shared" si="27"/>
        <v>18888.322157000002</v>
      </c>
      <c r="BV19" s="15">
        <f t="shared" si="28"/>
        <v>77894.18715700001</v>
      </c>
      <c r="BW19" s="15">
        <v>2645</v>
      </c>
      <c r="BY19" s="15">
        <f t="shared" si="81"/>
        <v>396392.02450000006</v>
      </c>
      <c r="BZ19" s="15">
        <f t="shared" si="29"/>
        <v>126888.7467241</v>
      </c>
      <c r="CA19" s="15">
        <f t="shared" si="30"/>
        <v>523280.7712241</v>
      </c>
      <c r="CB19" s="15">
        <v>17771</v>
      </c>
      <c r="CD19" s="15">
        <f t="shared" si="82"/>
        <v>57190.78399999999</v>
      </c>
      <c r="CE19" s="15">
        <f t="shared" si="31"/>
        <v>18307.297971199998</v>
      </c>
      <c r="CF19" s="15">
        <f t="shared" si="32"/>
        <v>75498.0819712</v>
      </c>
      <c r="CG19" s="15">
        <v>2564</v>
      </c>
      <c r="CI19" s="15">
        <f t="shared" si="83"/>
        <v>116857.414</v>
      </c>
      <c r="CJ19" s="15">
        <f t="shared" si="33"/>
        <v>37407.1371052</v>
      </c>
      <c r="CK19" s="15">
        <f t="shared" si="34"/>
        <v>154264.55110520002</v>
      </c>
      <c r="CL19" s="15">
        <v>5239</v>
      </c>
      <c r="CN19" s="15">
        <f t="shared" si="84"/>
        <v>18951.819</v>
      </c>
      <c r="CO19" s="15">
        <f t="shared" si="35"/>
        <v>6066.652234199999</v>
      </c>
      <c r="CP19" s="15">
        <f t="shared" si="36"/>
        <v>25018.4712342</v>
      </c>
      <c r="CQ19" s="15">
        <v>850</v>
      </c>
      <c r="CS19" s="15">
        <f t="shared" si="85"/>
        <v>97218.759</v>
      </c>
      <c r="CT19" s="15">
        <f t="shared" si="37"/>
        <v>31120.6223262</v>
      </c>
      <c r="CU19" s="15">
        <f t="shared" si="38"/>
        <v>128339.3813262</v>
      </c>
      <c r="CV19" s="15">
        <v>4359</v>
      </c>
      <c r="CX19" s="15">
        <f t="shared" si="86"/>
        <v>868.8835</v>
      </c>
      <c r="CY19" s="15">
        <f t="shared" si="39"/>
        <v>278.13763029999996</v>
      </c>
      <c r="CZ19" s="15">
        <f t="shared" si="40"/>
        <v>1147.0211303</v>
      </c>
      <c r="DA19" s="15">
        <v>39</v>
      </c>
      <c r="DC19" s="15">
        <f t="shared" si="87"/>
        <v>1143.528</v>
      </c>
      <c r="DD19" s="15">
        <f t="shared" si="41"/>
        <v>366.0538704</v>
      </c>
      <c r="DE19" s="15">
        <f t="shared" si="42"/>
        <v>1509.5818704</v>
      </c>
      <c r="DF19" s="15">
        <v>51</v>
      </c>
      <c r="DH19" s="15">
        <f t="shared" si="88"/>
        <v>57620.056500000006</v>
      </c>
      <c r="DI19" s="15">
        <f t="shared" si="43"/>
        <v>18444.7120617</v>
      </c>
      <c r="DJ19" s="15">
        <f t="shared" si="44"/>
        <v>76064.76856170001</v>
      </c>
      <c r="DK19" s="15">
        <v>2583</v>
      </c>
      <c r="DM19" s="15">
        <f t="shared" si="89"/>
        <v>1096.78</v>
      </c>
      <c r="DN19" s="15">
        <f t="shared" si="45"/>
        <v>351.089404</v>
      </c>
      <c r="DO19" s="15">
        <f t="shared" si="46"/>
        <v>1447.869404</v>
      </c>
      <c r="DP19" s="15">
        <v>49</v>
      </c>
      <c r="DR19" s="15">
        <f t="shared" si="90"/>
        <v>16388.3205</v>
      </c>
      <c r="DS19" s="15">
        <f t="shared" si="47"/>
        <v>5246.0526969</v>
      </c>
      <c r="DT19" s="15">
        <f t="shared" si="48"/>
        <v>21634.3731969</v>
      </c>
      <c r="DU19" s="15">
        <v>735</v>
      </c>
      <c r="DW19" s="15">
        <f t="shared" si="91"/>
        <v>11384.486499999999</v>
      </c>
      <c r="DX19" s="15">
        <f t="shared" si="49"/>
        <v>3644.2792357</v>
      </c>
      <c r="DY19" s="15">
        <f t="shared" si="50"/>
        <v>15028.765735699999</v>
      </c>
      <c r="DZ19" s="15">
        <v>510</v>
      </c>
      <c r="EB19" s="15">
        <f t="shared" si="92"/>
        <v>4444.2065</v>
      </c>
      <c r="EC19" s="15">
        <f t="shared" si="51"/>
        <v>1422.6315317</v>
      </c>
      <c r="ED19" s="15">
        <f t="shared" si="52"/>
        <v>5866.8380317</v>
      </c>
      <c r="EE19" s="15">
        <v>199</v>
      </c>
      <c r="EG19" s="15">
        <f t="shared" si="93"/>
        <v>49944.3945</v>
      </c>
      <c r="EH19" s="15">
        <f t="shared" si="53"/>
        <v>15987.6617901</v>
      </c>
      <c r="EI19" s="15">
        <f t="shared" si="54"/>
        <v>65932.05629010001</v>
      </c>
      <c r="EJ19" s="15">
        <v>2239</v>
      </c>
      <c r="EL19" s="15">
        <f t="shared" si="94"/>
        <v>112564.689</v>
      </c>
      <c r="EM19" s="15">
        <f t="shared" si="55"/>
        <v>36032.9962002</v>
      </c>
      <c r="EN19" s="15">
        <f t="shared" si="56"/>
        <v>148597.6852002</v>
      </c>
      <c r="EO19" s="15">
        <v>5047</v>
      </c>
      <c r="EQ19" s="15">
        <f t="shared" si="95"/>
        <v>14364.671500000002</v>
      </c>
      <c r="ER19" s="15">
        <f t="shared" si="57"/>
        <v>4598.263968700001</v>
      </c>
      <c r="ES19" s="15">
        <f t="shared" si="58"/>
        <v>18962.9354687</v>
      </c>
      <c r="ET19" s="15">
        <v>644</v>
      </c>
      <c r="EV19" s="15">
        <f t="shared" si="96"/>
        <v>22811.226000000002</v>
      </c>
      <c r="EW19" s="15">
        <f t="shared" si="59"/>
        <v>7302.084046800001</v>
      </c>
      <c r="EX19" s="15">
        <f t="shared" si="60"/>
        <v>30113.310046800005</v>
      </c>
      <c r="EY19" s="15">
        <v>1023</v>
      </c>
      <c r="FA19" s="15">
        <f t="shared" si="97"/>
        <v>105717.45550000001</v>
      </c>
      <c r="FB19" s="15">
        <f t="shared" si="61"/>
        <v>33841.1335399</v>
      </c>
      <c r="FC19" s="15">
        <f t="shared" si="62"/>
        <v>139558.58903990002</v>
      </c>
      <c r="FD19" s="15">
        <v>4740</v>
      </c>
      <c r="FF19" s="15">
        <f t="shared" si="98"/>
        <v>5610.659000000001</v>
      </c>
      <c r="FG19" s="15">
        <f t="shared" si="63"/>
        <v>1796.0237461999998</v>
      </c>
      <c r="FH19" s="15">
        <f t="shared" si="64"/>
        <v>7406.6827462</v>
      </c>
      <c r="FI19" s="15">
        <v>252</v>
      </c>
      <c r="FK19" s="15">
        <f t="shared" si="99"/>
        <v>32168.018000000004</v>
      </c>
      <c r="FL19" s="15">
        <f t="shared" si="65"/>
        <v>10297.279552400001</v>
      </c>
      <c r="FM19" s="15">
        <f t="shared" si="66"/>
        <v>42465.29755240001</v>
      </c>
      <c r="FN19" s="15">
        <v>1442</v>
      </c>
    </row>
    <row r="20" spans="1:170" ht="12.75">
      <c r="A20" s="2">
        <v>41913</v>
      </c>
      <c r="C20" s="16"/>
      <c r="D20" s="16">
        <v>1326516</v>
      </c>
      <c r="E20" s="16">
        <f t="shared" si="0"/>
        <v>1326516</v>
      </c>
      <c r="H20" s="15">
        <f t="shared" si="1"/>
        <v>87742.6661232</v>
      </c>
      <c r="I20" s="33">
        <f t="shared" si="2"/>
        <v>87742.6661232</v>
      </c>
      <c r="J20" s="33">
        <v>13330</v>
      </c>
      <c r="M20" s="15">
        <f t="shared" si="3"/>
        <v>1498.4324736</v>
      </c>
      <c r="N20" s="15">
        <f t="shared" si="4"/>
        <v>1498.4324736</v>
      </c>
      <c r="O20" s="15">
        <v>228</v>
      </c>
      <c r="Q20" s="33"/>
      <c r="R20" s="15">
        <f t="shared" si="5"/>
        <v>6764.4356904</v>
      </c>
      <c r="S20" s="15">
        <f t="shared" si="6"/>
        <v>6764.4356904</v>
      </c>
      <c r="T20" s="15">
        <v>1028</v>
      </c>
      <c r="W20" s="15">
        <f t="shared" si="7"/>
        <v>117635.04092520001</v>
      </c>
      <c r="X20" s="15">
        <f t="shared" si="8"/>
        <v>117635.04092520001</v>
      </c>
      <c r="Y20" s="15">
        <v>17871</v>
      </c>
      <c r="AB20" s="15">
        <f t="shared" si="9"/>
        <v>1424.9434872000002</v>
      </c>
      <c r="AC20" s="15">
        <f t="shared" si="10"/>
        <v>1424.9434872000002</v>
      </c>
      <c r="AD20" s="15">
        <v>216</v>
      </c>
      <c r="AG20" s="15">
        <f t="shared" si="11"/>
        <v>1201.6908444</v>
      </c>
      <c r="AH20" s="15">
        <f t="shared" si="12"/>
        <v>1201.6908444</v>
      </c>
      <c r="AI20" s="15">
        <v>183</v>
      </c>
      <c r="AL20" s="15">
        <f t="shared" si="13"/>
        <v>49302.35486880001</v>
      </c>
      <c r="AM20" s="15">
        <f t="shared" si="14"/>
        <v>49302.35486880001</v>
      </c>
      <c r="AN20" s="15">
        <v>7490</v>
      </c>
      <c r="AQ20" s="15">
        <f t="shared" si="15"/>
        <v>101163.16114679999</v>
      </c>
      <c r="AR20" s="15">
        <f t="shared" si="16"/>
        <v>101163.16114679999</v>
      </c>
      <c r="AS20" s="15">
        <v>15369</v>
      </c>
      <c r="AV20" s="15">
        <f t="shared" si="17"/>
        <v>1167.8646864</v>
      </c>
      <c r="AW20" s="15">
        <f t="shared" si="18"/>
        <v>1167.8646864</v>
      </c>
      <c r="AX20" s="15">
        <v>177</v>
      </c>
      <c r="BA20" s="15">
        <f t="shared" si="19"/>
        <v>784.5015624</v>
      </c>
      <c r="BB20" s="15">
        <f t="shared" si="20"/>
        <v>784.5015624</v>
      </c>
      <c r="BC20" s="15">
        <v>119</v>
      </c>
      <c r="BF20" s="15">
        <f t="shared" si="21"/>
        <v>-116.86605960000001</v>
      </c>
      <c r="BG20" s="15">
        <f t="shared" si="22"/>
        <v>-116.86605960000001</v>
      </c>
      <c r="BH20" s="15">
        <v>-18</v>
      </c>
      <c r="BK20" s="15">
        <f t="shared" si="23"/>
        <v>-76.14201840000001</v>
      </c>
      <c r="BL20" s="15">
        <f t="shared" si="24"/>
        <v>-76.14201840000001</v>
      </c>
      <c r="BM20" s="15">
        <v>-12</v>
      </c>
      <c r="BP20" s="15">
        <f t="shared" si="25"/>
        <v>2831.5810536</v>
      </c>
      <c r="BQ20" s="15">
        <f t="shared" si="26"/>
        <v>2831.5810536</v>
      </c>
      <c r="BR20" s="15">
        <v>430</v>
      </c>
      <c r="BU20" s="15">
        <f t="shared" si="27"/>
        <v>17413.175532</v>
      </c>
      <c r="BV20" s="15">
        <f t="shared" si="28"/>
        <v>17413.175532</v>
      </c>
      <c r="BW20" s="15">
        <v>2645</v>
      </c>
      <c r="BZ20" s="15">
        <f t="shared" si="29"/>
        <v>116978.94611159999</v>
      </c>
      <c r="CA20" s="15">
        <f t="shared" si="30"/>
        <v>116978.94611159999</v>
      </c>
      <c r="CB20" s="15">
        <v>17771</v>
      </c>
      <c r="CE20" s="15">
        <f t="shared" si="31"/>
        <v>16877.5283712</v>
      </c>
      <c r="CF20" s="15">
        <f t="shared" si="32"/>
        <v>16877.5283712</v>
      </c>
      <c r="CG20" s="15">
        <v>2564</v>
      </c>
      <c r="CJ20" s="15">
        <f t="shared" si="33"/>
        <v>34485.7017552</v>
      </c>
      <c r="CK20" s="15">
        <f t="shared" si="34"/>
        <v>34485.7017552</v>
      </c>
      <c r="CL20" s="15">
        <v>5239</v>
      </c>
      <c r="CO20" s="15">
        <f t="shared" si="35"/>
        <v>5592.8567592</v>
      </c>
      <c r="CP20" s="15">
        <f t="shared" si="36"/>
        <v>5592.8567592</v>
      </c>
      <c r="CQ20" s="15">
        <v>850</v>
      </c>
      <c r="CT20" s="15">
        <f t="shared" si="37"/>
        <v>28690.1533512</v>
      </c>
      <c r="CU20" s="15">
        <f t="shared" si="38"/>
        <v>28690.1533512</v>
      </c>
      <c r="CV20" s="15">
        <v>4359</v>
      </c>
      <c r="CY20" s="15">
        <f t="shared" si="39"/>
        <v>256.4155428</v>
      </c>
      <c r="CZ20" s="15">
        <f t="shared" si="40"/>
        <v>256.4155428</v>
      </c>
      <c r="DA20" s="15">
        <v>39</v>
      </c>
      <c r="DD20" s="15">
        <f t="shared" si="41"/>
        <v>337.4656704</v>
      </c>
      <c r="DE20" s="15">
        <f t="shared" si="42"/>
        <v>337.4656704</v>
      </c>
      <c r="DF20" s="15">
        <v>51</v>
      </c>
      <c r="DI20" s="15">
        <f t="shared" si="43"/>
        <v>17004.210649200002</v>
      </c>
      <c r="DJ20" s="15">
        <f t="shared" si="44"/>
        <v>17004.210649200002</v>
      </c>
      <c r="DK20" s="15">
        <v>2583</v>
      </c>
      <c r="DN20" s="15">
        <f t="shared" si="45"/>
        <v>323.66990400000003</v>
      </c>
      <c r="DO20" s="15">
        <f t="shared" si="46"/>
        <v>323.66990400000003</v>
      </c>
      <c r="DP20" s="15">
        <v>49</v>
      </c>
      <c r="DS20" s="15">
        <f t="shared" si="47"/>
        <v>4836.3446844</v>
      </c>
      <c r="DT20" s="15">
        <f t="shared" si="48"/>
        <v>4836.3446844</v>
      </c>
      <c r="DU20" s="15">
        <v>735</v>
      </c>
      <c r="DX20" s="15">
        <f t="shared" si="49"/>
        <v>3359.6670732</v>
      </c>
      <c r="DY20" s="15">
        <f t="shared" si="50"/>
        <v>3359.6670732</v>
      </c>
      <c r="DZ20" s="15">
        <v>510</v>
      </c>
      <c r="EC20" s="15">
        <f t="shared" si="51"/>
        <v>1311.5263691999999</v>
      </c>
      <c r="ED20" s="15">
        <f t="shared" si="52"/>
        <v>1311.5263691999999</v>
      </c>
      <c r="EE20" s="15">
        <v>199</v>
      </c>
      <c r="EH20" s="15">
        <f t="shared" si="53"/>
        <v>14739.0519276</v>
      </c>
      <c r="EI20" s="15">
        <f t="shared" si="54"/>
        <v>14739.0519276</v>
      </c>
      <c r="EJ20" s="15">
        <v>2239</v>
      </c>
      <c r="EM20" s="15">
        <f t="shared" si="55"/>
        <v>33218.8789752</v>
      </c>
      <c r="EN20" s="15">
        <f t="shared" si="56"/>
        <v>33218.8789752</v>
      </c>
      <c r="EO20" s="15">
        <v>5047</v>
      </c>
      <c r="ER20" s="15">
        <f t="shared" si="57"/>
        <v>4239.1471812</v>
      </c>
      <c r="ES20" s="15">
        <f t="shared" si="58"/>
        <v>4239.1471812</v>
      </c>
      <c r="ET20" s="15">
        <v>644</v>
      </c>
      <c r="EW20" s="15">
        <f t="shared" si="59"/>
        <v>6731.803396800001</v>
      </c>
      <c r="EX20" s="15">
        <f t="shared" si="60"/>
        <v>6731.803396800001</v>
      </c>
      <c r="EY20" s="15">
        <v>1023</v>
      </c>
      <c r="FB20" s="15">
        <f t="shared" si="61"/>
        <v>31198.197152399996</v>
      </c>
      <c r="FC20" s="15">
        <f t="shared" si="62"/>
        <v>31198.197152399996</v>
      </c>
      <c r="FD20" s="15">
        <v>4740</v>
      </c>
      <c r="FG20" s="15">
        <f t="shared" si="63"/>
        <v>1655.7572711999999</v>
      </c>
      <c r="FH20" s="15">
        <f t="shared" si="64"/>
        <v>1655.7572711999999</v>
      </c>
      <c r="FI20" s="15">
        <v>252</v>
      </c>
      <c r="FL20" s="15">
        <f t="shared" si="65"/>
        <v>9493.079102400001</v>
      </c>
      <c r="FM20" s="15">
        <f t="shared" si="66"/>
        <v>9493.079102400001</v>
      </c>
      <c r="FN20" s="15">
        <v>1442</v>
      </c>
    </row>
    <row r="21" spans="1:170" ht="12.75">
      <c r="A21" s="2">
        <v>42095</v>
      </c>
      <c r="C21" s="16">
        <v>4720000</v>
      </c>
      <c r="D21" s="16">
        <v>1326516</v>
      </c>
      <c r="E21" s="16">
        <f t="shared" si="0"/>
        <v>6046516</v>
      </c>
      <c r="G21" s="15">
        <f t="shared" si="67"/>
        <v>312205.344</v>
      </c>
      <c r="H21" s="15">
        <f t="shared" si="1"/>
        <v>87742.6661232</v>
      </c>
      <c r="I21" s="33">
        <f t="shared" si="2"/>
        <v>399948.0101232</v>
      </c>
      <c r="J21" s="33">
        <v>13330</v>
      </c>
      <c r="L21" s="15">
        <f t="shared" si="68"/>
        <v>5331.712</v>
      </c>
      <c r="M21" s="15">
        <f t="shared" si="3"/>
        <v>1498.4324736</v>
      </c>
      <c r="N21" s="15">
        <f t="shared" si="4"/>
        <v>6830.1444736</v>
      </c>
      <c r="O21" s="15">
        <v>228</v>
      </c>
      <c r="Q21" s="33">
        <f t="shared" si="69"/>
        <v>24069.167999999998</v>
      </c>
      <c r="R21" s="15">
        <f t="shared" si="5"/>
        <v>6764.4356904</v>
      </c>
      <c r="S21" s="15">
        <f t="shared" si="6"/>
        <v>30833.6036904</v>
      </c>
      <c r="T21" s="15">
        <v>1028</v>
      </c>
      <c r="V21" s="15">
        <f t="shared" si="70"/>
        <v>418568.184</v>
      </c>
      <c r="W21" s="15">
        <f t="shared" si="7"/>
        <v>117635.04092520001</v>
      </c>
      <c r="X21" s="15">
        <f t="shared" si="8"/>
        <v>536203.2249252</v>
      </c>
      <c r="Y21" s="15">
        <v>17871</v>
      </c>
      <c r="AA21" s="15">
        <f t="shared" si="71"/>
        <v>5070.224</v>
      </c>
      <c r="AB21" s="15">
        <f t="shared" si="9"/>
        <v>1424.9434872000002</v>
      </c>
      <c r="AC21" s="15">
        <f t="shared" si="10"/>
        <v>6495.1674872</v>
      </c>
      <c r="AD21" s="15">
        <v>216</v>
      </c>
      <c r="AF21" s="15">
        <f t="shared" si="72"/>
        <v>4275.848000000001</v>
      </c>
      <c r="AG21" s="15">
        <f t="shared" si="11"/>
        <v>1201.6908444</v>
      </c>
      <c r="AH21" s="15">
        <f t="shared" si="12"/>
        <v>5477.538844400001</v>
      </c>
      <c r="AI21" s="15">
        <v>183</v>
      </c>
      <c r="AK21" s="15">
        <f t="shared" si="73"/>
        <v>175427.296</v>
      </c>
      <c r="AL21" s="15">
        <f t="shared" si="13"/>
        <v>49302.35486880001</v>
      </c>
      <c r="AM21" s="15">
        <f t="shared" si="14"/>
        <v>224729.6508688</v>
      </c>
      <c r="AN21" s="15">
        <v>7490</v>
      </c>
      <c r="AP21" s="15">
        <f t="shared" si="74"/>
        <v>359958.05600000004</v>
      </c>
      <c r="AQ21" s="15">
        <f t="shared" si="15"/>
        <v>101163.16114679999</v>
      </c>
      <c r="AR21" s="15">
        <f t="shared" si="16"/>
        <v>461121.2171468</v>
      </c>
      <c r="AS21" s="15">
        <v>15369</v>
      </c>
      <c r="AU21" s="15">
        <f t="shared" si="75"/>
        <v>4155.488</v>
      </c>
      <c r="AV21" s="15">
        <f t="shared" si="17"/>
        <v>1167.8646864</v>
      </c>
      <c r="AW21" s="15">
        <f t="shared" si="18"/>
        <v>5323.3526864000005</v>
      </c>
      <c r="AX21" s="15">
        <v>177</v>
      </c>
      <c r="AZ21" s="15">
        <f t="shared" si="76"/>
        <v>2791.408</v>
      </c>
      <c r="BA21" s="15">
        <f t="shared" si="19"/>
        <v>784.5015624</v>
      </c>
      <c r="BB21" s="15">
        <f t="shared" si="20"/>
        <v>3575.9095624</v>
      </c>
      <c r="BC21" s="15">
        <v>119</v>
      </c>
      <c r="BE21" s="15">
        <f t="shared" si="77"/>
        <v>-415.832</v>
      </c>
      <c r="BF21" s="15">
        <f t="shared" si="21"/>
        <v>-116.86605960000001</v>
      </c>
      <c r="BG21" s="15">
        <f t="shared" si="22"/>
        <v>-532.6980596</v>
      </c>
      <c r="BH21" s="15">
        <v>-18</v>
      </c>
      <c r="BJ21" s="15">
        <f t="shared" si="78"/>
        <v>-270.92800000000005</v>
      </c>
      <c r="BK21" s="15">
        <f t="shared" si="23"/>
        <v>-76.14201840000001</v>
      </c>
      <c r="BL21" s="15">
        <f t="shared" si="24"/>
        <v>-347.0700184000001</v>
      </c>
      <c r="BM21" s="15">
        <v>-12</v>
      </c>
      <c r="BO21" s="15">
        <f t="shared" si="79"/>
        <v>10075.312</v>
      </c>
      <c r="BP21" s="15">
        <f t="shared" si="25"/>
        <v>2831.5810536</v>
      </c>
      <c r="BQ21" s="15">
        <f t="shared" si="26"/>
        <v>12906.8930536</v>
      </c>
      <c r="BR21" s="15">
        <v>430</v>
      </c>
      <c r="BT21" s="15">
        <f t="shared" si="80"/>
        <v>61959.44</v>
      </c>
      <c r="BU21" s="15">
        <f t="shared" si="27"/>
        <v>17413.175532</v>
      </c>
      <c r="BV21" s="15">
        <f t="shared" si="28"/>
        <v>79372.615532</v>
      </c>
      <c r="BW21" s="15">
        <v>2645</v>
      </c>
      <c r="BY21" s="15">
        <f t="shared" si="81"/>
        <v>416233.672</v>
      </c>
      <c r="BZ21" s="15">
        <f t="shared" si="29"/>
        <v>116978.94611159999</v>
      </c>
      <c r="CA21" s="15">
        <f t="shared" si="30"/>
        <v>533212.6181116</v>
      </c>
      <c r="CB21" s="15">
        <v>17771</v>
      </c>
      <c r="CD21" s="15">
        <f t="shared" si="82"/>
        <v>60053.50399999999</v>
      </c>
      <c r="CE21" s="15">
        <f t="shared" si="31"/>
        <v>16877.5283712</v>
      </c>
      <c r="CF21" s="15">
        <f t="shared" si="32"/>
        <v>76931.0323712</v>
      </c>
      <c r="CG21" s="15">
        <v>2564</v>
      </c>
      <c r="CI21" s="15">
        <f t="shared" si="83"/>
        <v>122706.784</v>
      </c>
      <c r="CJ21" s="15">
        <f t="shared" si="33"/>
        <v>34485.7017552</v>
      </c>
      <c r="CK21" s="15">
        <f t="shared" si="34"/>
        <v>157192.4857552</v>
      </c>
      <c r="CL21" s="15">
        <v>5239</v>
      </c>
      <c r="CN21" s="15">
        <f t="shared" si="84"/>
        <v>19900.464</v>
      </c>
      <c r="CO21" s="15">
        <f t="shared" si="35"/>
        <v>5592.8567592</v>
      </c>
      <c r="CP21" s="15">
        <f t="shared" si="36"/>
        <v>25493.3207592</v>
      </c>
      <c r="CQ21" s="15">
        <v>850</v>
      </c>
      <c r="CS21" s="15">
        <f t="shared" si="85"/>
        <v>102085.104</v>
      </c>
      <c r="CT21" s="15">
        <f t="shared" si="37"/>
        <v>28690.1533512</v>
      </c>
      <c r="CU21" s="15">
        <f t="shared" si="38"/>
        <v>130775.25735120001</v>
      </c>
      <c r="CV21" s="15">
        <v>4359</v>
      </c>
      <c r="CX21" s="15">
        <f t="shared" si="86"/>
        <v>912.3760000000001</v>
      </c>
      <c r="CY21" s="15">
        <f t="shared" si="39"/>
        <v>256.4155428</v>
      </c>
      <c r="CZ21" s="15">
        <f t="shared" si="40"/>
        <v>1168.7915428000001</v>
      </c>
      <c r="DA21" s="15">
        <v>39</v>
      </c>
      <c r="DC21" s="15">
        <f t="shared" si="87"/>
        <v>1200.768</v>
      </c>
      <c r="DD21" s="15">
        <f t="shared" si="41"/>
        <v>337.4656704</v>
      </c>
      <c r="DE21" s="15">
        <f t="shared" si="42"/>
        <v>1538.2336704</v>
      </c>
      <c r="DF21" s="15">
        <v>51</v>
      </c>
      <c r="DH21" s="15">
        <f t="shared" si="88"/>
        <v>60504.264</v>
      </c>
      <c r="DI21" s="15">
        <f t="shared" si="43"/>
        <v>17004.210649200002</v>
      </c>
      <c r="DJ21" s="15">
        <f t="shared" si="44"/>
        <v>77508.47464920001</v>
      </c>
      <c r="DK21" s="15">
        <v>2583</v>
      </c>
      <c r="DM21" s="15">
        <f t="shared" si="89"/>
        <v>1151.68</v>
      </c>
      <c r="DN21" s="15">
        <f t="shared" si="45"/>
        <v>323.66990400000003</v>
      </c>
      <c r="DO21" s="15">
        <f t="shared" si="46"/>
        <v>1475.3499040000002</v>
      </c>
      <c r="DP21" s="15">
        <v>49</v>
      </c>
      <c r="DR21" s="15">
        <f t="shared" si="90"/>
        <v>17208.648</v>
      </c>
      <c r="DS21" s="15">
        <f t="shared" si="47"/>
        <v>4836.3446844</v>
      </c>
      <c r="DT21" s="15">
        <f t="shared" si="48"/>
        <v>22044.9926844</v>
      </c>
      <c r="DU21" s="15">
        <v>735</v>
      </c>
      <c r="DW21" s="15">
        <f t="shared" si="91"/>
        <v>11954.344</v>
      </c>
      <c r="DX21" s="15">
        <f t="shared" si="49"/>
        <v>3359.6670732</v>
      </c>
      <c r="DY21" s="15">
        <f t="shared" si="50"/>
        <v>15314.0110732</v>
      </c>
      <c r="DZ21" s="15">
        <v>510</v>
      </c>
      <c r="EB21" s="15">
        <f t="shared" si="92"/>
        <v>4666.664000000001</v>
      </c>
      <c r="EC21" s="15">
        <f t="shared" si="51"/>
        <v>1311.5263691999999</v>
      </c>
      <c r="ED21" s="15">
        <f t="shared" si="52"/>
        <v>5978.1903692000005</v>
      </c>
      <c r="EE21" s="15">
        <v>199</v>
      </c>
      <c r="EG21" s="15">
        <f t="shared" si="93"/>
        <v>52444.392</v>
      </c>
      <c r="EH21" s="15">
        <f t="shared" si="53"/>
        <v>14739.0519276</v>
      </c>
      <c r="EI21" s="15">
        <f t="shared" si="54"/>
        <v>67183.4439276</v>
      </c>
      <c r="EJ21" s="15">
        <v>2239</v>
      </c>
      <c r="EL21" s="15">
        <f t="shared" si="94"/>
        <v>118199.18400000001</v>
      </c>
      <c r="EM21" s="15">
        <f t="shared" si="55"/>
        <v>33218.8789752</v>
      </c>
      <c r="EN21" s="15">
        <f t="shared" si="56"/>
        <v>151418.0629752</v>
      </c>
      <c r="EO21" s="15">
        <v>5047</v>
      </c>
      <c r="EQ21" s="15">
        <f t="shared" si="95"/>
        <v>15083.704000000002</v>
      </c>
      <c r="ER21" s="15">
        <f t="shared" si="57"/>
        <v>4239.1471812</v>
      </c>
      <c r="ES21" s="15">
        <f t="shared" si="58"/>
        <v>19322.8511812</v>
      </c>
      <c r="ET21" s="15">
        <v>644</v>
      </c>
      <c r="EV21" s="15">
        <f t="shared" si="96"/>
        <v>23953.056</v>
      </c>
      <c r="EW21" s="15">
        <f t="shared" si="59"/>
        <v>6731.803396800001</v>
      </c>
      <c r="EX21" s="15">
        <f t="shared" si="60"/>
        <v>30684.859396800002</v>
      </c>
      <c r="EY21" s="15">
        <v>1023</v>
      </c>
      <c r="FA21" s="15">
        <f t="shared" si="97"/>
        <v>111009.20800000001</v>
      </c>
      <c r="FB21" s="15">
        <f t="shared" si="61"/>
        <v>31198.197152399996</v>
      </c>
      <c r="FC21" s="15">
        <f t="shared" si="62"/>
        <v>142207.40515240002</v>
      </c>
      <c r="FD21" s="15">
        <v>4740</v>
      </c>
      <c r="FF21" s="15">
        <f t="shared" si="98"/>
        <v>5891.504</v>
      </c>
      <c r="FG21" s="15">
        <f t="shared" si="63"/>
        <v>1655.7572711999999</v>
      </c>
      <c r="FH21" s="15">
        <f t="shared" si="64"/>
        <v>7547.2612712</v>
      </c>
      <c r="FI21" s="15">
        <v>252</v>
      </c>
      <c r="FK21" s="15">
        <f t="shared" si="99"/>
        <v>33778.208000000006</v>
      </c>
      <c r="FL21" s="15">
        <f t="shared" si="65"/>
        <v>9493.079102400001</v>
      </c>
      <c r="FM21" s="15">
        <f t="shared" si="66"/>
        <v>43271.287102400005</v>
      </c>
      <c r="FN21" s="15">
        <v>1442</v>
      </c>
    </row>
    <row r="22" spans="1:170" ht="12.75">
      <c r="A22" s="2">
        <v>42278</v>
      </c>
      <c r="C22" s="16"/>
      <c r="D22" s="16">
        <v>1208516</v>
      </c>
      <c r="E22" s="16">
        <f t="shared" si="0"/>
        <v>1208516</v>
      </c>
      <c r="H22" s="15">
        <f t="shared" si="1"/>
        <v>79937.5325232</v>
      </c>
      <c r="I22" s="33">
        <f t="shared" si="2"/>
        <v>79937.5325232</v>
      </c>
      <c r="J22" s="33">
        <v>13330</v>
      </c>
      <c r="M22" s="15">
        <f t="shared" si="3"/>
        <v>1365.1396736000002</v>
      </c>
      <c r="N22" s="15">
        <f t="shared" si="4"/>
        <v>1365.1396736000002</v>
      </c>
      <c r="O22" s="15">
        <v>228</v>
      </c>
      <c r="Q22" s="33"/>
      <c r="R22" s="15">
        <f t="shared" si="5"/>
        <v>6162.706490399999</v>
      </c>
      <c r="S22" s="15">
        <f t="shared" si="6"/>
        <v>6162.706490399999</v>
      </c>
      <c r="T22" s="15">
        <v>1028</v>
      </c>
      <c r="W22" s="15">
        <f t="shared" si="7"/>
        <v>107170.8363252</v>
      </c>
      <c r="X22" s="15">
        <f t="shared" si="8"/>
        <v>107170.8363252</v>
      </c>
      <c r="Y22" s="15">
        <v>17871</v>
      </c>
      <c r="AB22" s="15">
        <f t="shared" si="9"/>
        <v>1298.1878872</v>
      </c>
      <c r="AC22" s="15">
        <f t="shared" si="10"/>
        <v>1298.1878872</v>
      </c>
      <c r="AD22" s="15">
        <v>216</v>
      </c>
      <c r="AG22" s="15">
        <f t="shared" si="11"/>
        <v>1094.7946444000002</v>
      </c>
      <c r="AH22" s="15">
        <f t="shared" si="12"/>
        <v>1094.7946444000002</v>
      </c>
      <c r="AI22" s="15">
        <v>183</v>
      </c>
      <c r="AL22" s="15">
        <f t="shared" si="13"/>
        <v>44916.6724688</v>
      </c>
      <c r="AM22" s="15">
        <f t="shared" si="14"/>
        <v>44916.6724688</v>
      </c>
      <c r="AN22" s="15">
        <v>7490</v>
      </c>
      <c r="AQ22" s="15">
        <f t="shared" si="15"/>
        <v>92164.20974679998</v>
      </c>
      <c r="AR22" s="15">
        <f t="shared" si="16"/>
        <v>92164.20974679998</v>
      </c>
      <c r="AS22" s="15">
        <v>15369</v>
      </c>
      <c r="AV22" s="15">
        <f t="shared" si="17"/>
        <v>1063.9774863999999</v>
      </c>
      <c r="AW22" s="15">
        <f t="shared" si="18"/>
        <v>1063.9774863999999</v>
      </c>
      <c r="AX22" s="15">
        <v>177</v>
      </c>
      <c r="BA22" s="15">
        <f t="shared" si="19"/>
        <v>714.7163624</v>
      </c>
      <c r="BB22" s="15">
        <f t="shared" si="20"/>
        <v>714.7163624</v>
      </c>
      <c r="BC22" s="15">
        <v>119</v>
      </c>
      <c r="BF22" s="15">
        <f t="shared" si="21"/>
        <v>-106.4702596</v>
      </c>
      <c r="BG22" s="15">
        <f t="shared" si="22"/>
        <v>-106.4702596</v>
      </c>
      <c r="BH22" s="15">
        <v>-18</v>
      </c>
      <c r="BK22" s="15">
        <f t="shared" si="23"/>
        <v>-69.3688184</v>
      </c>
      <c r="BL22" s="15">
        <f t="shared" si="24"/>
        <v>-69.3688184</v>
      </c>
      <c r="BM22" s="15">
        <v>-12</v>
      </c>
      <c r="BP22" s="15">
        <f t="shared" si="25"/>
        <v>2579.6982536</v>
      </c>
      <c r="BQ22" s="15">
        <f t="shared" si="26"/>
        <v>2579.6982536</v>
      </c>
      <c r="BR22" s="15">
        <v>430</v>
      </c>
      <c r="BU22" s="15">
        <f t="shared" si="27"/>
        <v>15864.189531999999</v>
      </c>
      <c r="BV22" s="15">
        <f t="shared" si="28"/>
        <v>15864.189531999999</v>
      </c>
      <c r="BW22" s="15">
        <v>2645</v>
      </c>
      <c r="BZ22" s="15">
        <f t="shared" si="29"/>
        <v>106573.1043116</v>
      </c>
      <c r="CA22" s="15">
        <f t="shared" si="30"/>
        <v>106573.1043116</v>
      </c>
      <c r="CB22" s="15">
        <v>17771</v>
      </c>
      <c r="CE22" s="15">
        <f t="shared" si="31"/>
        <v>15376.190771199997</v>
      </c>
      <c r="CF22" s="15">
        <f t="shared" si="32"/>
        <v>15376.190771199997</v>
      </c>
      <c r="CG22" s="15">
        <v>2564</v>
      </c>
      <c r="CJ22" s="15">
        <f t="shared" si="33"/>
        <v>31418.032155200002</v>
      </c>
      <c r="CK22" s="15">
        <f t="shared" si="34"/>
        <v>31418.032155200002</v>
      </c>
      <c r="CL22" s="15">
        <v>5239</v>
      </c>
      <c r="CO22" s="15">
        <f t="shared" si="35"/>
        <v>5095.3451592</v>
      </c>
      <c r="CP22" s="15">
        <f t="shared" si="36"/>
        <v>5095.3451592</v>
      </c>
      <c r="CQ22" s="15">
        <v>850</v>
      </c>
      <c r="CT22" s="15">
        <f t="shared" si="37"/>
        <v>26138.025751200003</v>
      </c>
      <c r="CU22" s="15">
        <f t="shared" si="38"/>
        <v>26138.025751200003</v>
      </c>
      <c r="CV22" s="15">
        <v>4359</v>
      </c>
      <c r="CY22" s="15">
        <f t="shared" si="39"/>
        <v>233.60614280000001</v>
      </c>
      <c r="CZ22" s="15">
        <f t="shared" si="40"/>
        <v>233.60614280000001</v>
      </c>
      <c r="DA22" s="15">
        <v>39</v>
      </c>
      <c r="DD22" s="15">
        <f t="shared" si="41"/>
        <v>307.4464704</v>
      </c>
      <c r="DE22" s="15">
        <f t="shared" si="42"/>
        <v>307.4464704</v>
      </c>
      <c r="DF22" s="15">
        <v>51</v>
      </c>
      <c r="DI22" s="15">
        <f t="shared" si="43"/>
        <v>15491.604049200001</v>
      </c>
      <c r="DJ22" s="15">
        <f t="shared" si="44"/>
        <v>15491.604049200001</v>
      </c>
      <c r="DK22" s="15">
        <v>2583</v>
      </c>
      <c r="DN22" s="15">
        <f t="shared" si="45"/>
        <v>294.877904</v>
      </c>
      <c r="DO22" s="15">
        <f t="shared" si="46"/>
        <v>294.877904</v>
      </c>
      <c r="DP22" s="15">
        <v>49</v>
      </c>
      <c r="DS22" s="15">
        <f t="shared" si="47"/>
        <v>4406.1284844</v>
      </c>
      <c r="DT22" s="15">
        <f t="shared" si="48"/>
        <v>4406.1284844</v>
      </c>
      <c r="DU22" s="15">
        <v>735</v>
      </c>
      <c r="DX22" s="15">
        <f t="shared" si="49"/>
        <v>3060.8084732</v>
      </c>
      <c r="DY22" s="15">
        <f t="shared" si="50"/>
        <v>3060.8084732</v>
      </c>
      <c r="DZ22" s="15">
        <v>510</v>
      </c>
      <c r="EC22" s="15">
        <f t="shared" si="51"/>
        <v>1194.8597692</v>
      </c>
      <c r="ED22" s="15">
        <f t="shared" si="52"/>
        <v>1194.8597692</v>
      </c>
      <c r="EE22" s="15">
        <v>199</v>
      </c>
      <c r="EH22" s="15">
        <f t="shared" si="53"/>
        <v>13427.9421276</v>
      </c>
      <c r="EI22" s="15">
        <f t="shared" si="54"/>
        <v>13427.9421276</v>
      </c>
      <c r="EJ22" s="15">
        <v>2239</v>
      </c>
      <c r="EM22" s="15">
        <f t="shared" si="55"/>
        <v>30263.899375200002</v>
      </c>
      <c r="EN22" s="15">
        <f t="shared" si="56"/>
        <v>30263.899375200002</v>
      </c>
      <c r="EO22" s="15">
        <v>5047</v>
      </c>
      <c r="ER22" s="15">
        <f t="shared" si="57"/>
        <v>3862.0545812</v>
      </c>
      <c r="ES22" s="15">
        <f t="shared" si="58"/>
        <v>3862.0545812</v>
      </c>
      <c r="ET22" s="15">
        <v>644</v>
      </c>
      <c r="EW22" s="15">
        <f t="shared" si="59"/>
        <v>6132.976996800001</v>
      </c>
      <c r="EX22" s="15">
        <f t="shared" si="60"/>
        <v>6132.976996800001</v>
      </c>
      <c r="EY22" s="15">
        <v>1023</v>
      </c>
      <c r="FB22" s="15">
        <f t="shared" si="61"/>
        <v>28422.966952400002</v>
      </c>
      <c r="FC22" s="15">
        <f t="shared" si="62"/>
        <v>28422.966952400002</v>
      </c>
      <c r="FD22" s="15">
        <v>4740</v>
      </c>
      <c r="FG22" s="15">
        <f t="shared" si="63"/>
        <v>1508.4696711999998</v>
      </c>
      <c r="FH22" s="15">
        <f t="shared" si="64"/>
        <v>1508.4696711999998</v>
      </c>
      <c r="FI22" s="15">
        <v>252</v>
      </c>
      <c r="FL22" s="15">
        <f t="shared" si="65"/>
        <v>8648.6239024</v>
      </c>
      <c r="FM22" s="15">
        <f t="shared" si="66"/>
        <v>8648.6239024</v>
      </c>
      <c r="FN22" s="15">
        <v>1442</v>
      </c>
    </row>
    <row r="23" spans="1:170" ht="12.75">
      <c r="A23" s="2">
        <v>42461</v>
      </c>
      <c r="C23" s="16">
        <v>4955000</v>
      </c>
      <c r="D23" s="16">
        <v>1208516</v>
      </c>
      <c r="E23" s="16">
        <f t="shared" si="0"/>
        <v>6163516</v>
      </c>
      <c r="G23" s="15">
        <f t="shared" si="67"/>
        <v>327749.46599999996</v>
      </c>
      <c r="H23" s="15">
        <f t="shared" si="1"/>
        <v>79937.5325232</v>
      </c>
      <c r="I23" s="33">
        <f t="shared" si="2"/>
        <v>407686.99852319993</v>
      </c>
      <c r="J23" s="33">
        <v>13330</v>
      </c>
      <c r="L23" s="15">
        <f t="shared" si="68"/>
        <v>5597.168000000001</v>
      </c>
      <c r="M23" s="15">
        <f t="shared" si="3"/>
        <v>1365.1396736000002</v>
      </c>
      <c r="N23" s="15">
        <f t="shared" si="4"/>
        <v>6962.3076736</v>
      </c>
      <c r="O23" s="15">
        <v>228</v>
      </c>
      <c r="Q23" s="33">
        <f t="shared" si="69"/>
        <v>25267.527</v>
      </c>
      <c r="R23" s="15">
        <f t="shared" si="5"/>
        <v>6162.706490399999</v>
      </c>
      <c r="S23" s="15">
        <f t="shared" si="6"/>
        <v>31430.233490399998</v>
      </c>
      <c r="T23" s="15">
        <v>1028</v>
      </c>
      <c r="V23" s="15">
        <f t="shared" si="70"/>
        <v>439407.9135</v>
      </c>
      <c r="W23" s="15">
        <f t="shared" si="7"/>
        <v>107170.8363252</v>
      </c>
      <c r="X23" s="15">
        <f t="shared" si="8"/>
        <v>546578.7498252001</v>
      </c>
      <c r="Y23" s="15">
        <v>17871</v>
      </c>
      <c r="AA23" s="15">
        <f t="shared" si="71"/>
        <v>5322.661</v>
      </c>
      <c r="AB23" s="15">
        <f t="shared" si="9"/>
        <v>1298.1878872</v>
      </c>
      <c r="AC23" s="15">
        <f t="shared" si="10"/>
        <v>6620.8488872</v>
      </c>
      <c r="AD23" s="15">
        <v>216</v>
      </c>
      <c r="AF23" s="15">
        <f t="shared" si="72"/>
        <v>4488.7345000000005</v>
      </c>
      <c r="AG23" s="15">
        <f t="shared" si="11"/>
        <v>1094.7946444000002</v>
      </c>
      <c r="AH23" s="15">
        <f t="shared" si="12"/>
        <v>5583.5291444</v>
      </c>
      <c r="AI23" s="15">
        <v>183</v>
      </c>
      <c r="AK23" s="15">
        <f t="shared" si="73"/>
        <v>184161.49400000004</v>
      </c>
      <c r="AL23" s="15">
        <f t="shared" si="13"/>
        <v>44916.6724688</v>
      </c>
      <c r="AM23" s="15">
        <f t="shared" si="14"/>
        <v>229078.16646880005</v>
      </c>
      <c r="AN23" s="15">
        <v>7490</v>
      </c>
      <c r="AP23" s="15">
        <f t="shared" si="74"/>
        <v>377879.69649999996</v>
      </c>
      <c r="AQ23" s="15">
        <f t="shared" si="15"/>
        <v>92164.20974679998</v>
      </c>
      <c r="AR23" s="15">
        <f t="shared" si="16"/>
        <v>470043.9062468</v>
      </c>
      <c r="AS23" s="15">
        <v>15369</v>
      </c>
      <c r="AU23" s="15">
        <f t="shared" si="75"/>
        <v>4362.382</v>
      </c>
      <c r="AV23" s="15">
        <f t="shared" si="17"/>
        <v>1063.9774863999999</v>
      </c>
      <c r="AW23" s="15">
        <f t="shared" si="18"/>
        <v>5426.3594864</v>
      </c>
      <c r="AX23" s="15">
        <v>177</v>
      </c>
      <c r="AZ23" s="15">
        <f t="shared" si="76"/>
        <v>2930.387</v>
      </c>
      <c r="BA23" s="15">
        <f t="shared" si="19"/>
        <v>714.7163624</v>
      </c>
      <c r="BB23" s="15">
        <f t="shared" si="20"/>
        <v>3645.1033624</v>
      </c>
      <c r="BC23" s="15">
        <v>119</v>
      </c>
      <c r="BE23" s="15">
        <f t="shared" si="77"/>
        <v>-436.5355</v>
      </c>
      <c r="BF23" s="15">
        <f t="shared" si="21"/>
        <v>-106.4702596</v>
      </c>
      <c r="BG23" s="15">
        <f t="shared" si="22"/>
        <v>-543.0057596</v>
      </c>
      <c r="BH23" s="15">
        <v>-18</v>
      </c>
      <c r="BJ23" s="15">
        <f t="shared" si="78"/>
        <v>-284.41700000000003</v>
      </c>
      <c r="BK23" s="15">
        <f t="shared" si="23"/>
        <v>-69.3688184</v>
      </c>
      <c r="BL23" s="15">
        <f t="shared" si="24"/>
        <v>-353.78581840000004</v>
      </c>
      <c r="BM23" s="15">
        <v>-12</v>
      </c>
      <c r="BO23" s="15">
        <f t="shared" si="79"/>
        <v>10576.943000000001</v>
      </c>
      <c r="BP23" s="15">
        <f t="shared" si="25"/>
        <v>2579.6982536</v>
      </c>
      <c r="BQ23" s="15">
        <f t="shared" si="26"/>
        <v>13156.6412536</v>
      </c>
      <c r="BR23" s="15">
        <v>430</v>
      </c>
      <c r="BT23" s="15">
        <f t="shared" si="80"/>
        <v>65044.285</v>
      </c>
      <c r="BU23" s="15">
        <f t="shared" si="27"/>
        <v>15864.189531999999</v>
      </c>
      <c r="BV23" s="15">
        <f t="shared" si="28"/>
        <v>80908.47453200001</v>
      </c>
      <c r="BW23" s="15">
        <v>2645</v>
      </c>
      <c r="BY23" s="15">
        <f t="shared" si="81"/>
        <v>436957.17049999995</v>
      </c>
      <c r="BZ23" s="15">
        <f t="shared" si="29"/>
        <v>106573.1043116</v>
      </c>
      <c r="CA23" s="15">
        <f t="shared" si="30"/>
        <v>543530.2748116</v>
      </c>
      <c r="CB23" s="15">
        <v>17771</v>
      </c>
      <c r="CD23" s="15">
        <f t="shared" si="82"/>
        <v>63043.456</v>
      </c>
      <c r="CE23" s="15">
        <f t="shared" si="31"/>
        <v>15376.190771199997</v>
      </c>
      <c r="CF23" s="15">
        <f t="shared" si="32"/>
        <v>78419.6467712</v>
      </c>
      <c r="CG23" s="15">
        <v>2564</v>
      </c>
      <c r="CI23" s="15">
        <f t="shared" si="83"/>
        <v>128816.12599999999</v>
      </c>
      <c r="CJ23" s="15">
        <f t="shared" si="33"/>
        <v>31418.032155200002</v>
      </c>
      <c r="CK23" s="15">
        <f t="shared" si="34"/>
        <v>160234.15815519998</v>
      </c>
      <c r="CL23" s="15">
        <v>5239</v>
      </c>
      <c r="CN23" s="15">
        <f t="shared" si="84"/>
        <v>20891.270999999997</v>
      </c>
      <c r="CO23" s="15">
        <f t="shared" si="35"/>
        <v>5095.3451592</v>
      </c>
      <c r="CP23" s="15">
        <f t="shared" si="36"/>
        <v>25986.6161592</v>
      </c>
      <c r="CQ23" s="15">
        <v>850</v>
      </c>
      <c r="CS23" s="15">
        <f t="shared" si="85"/>
        <v>107167.731</v>
      </c>
      <c r="CT23" s="15">
        <f t="shared" si="37"/>
        <v>26138.025751200003</v>
      </c>
      <c r="CU23" s="15">
        <f t="shared" si="38"/>
        <v>133305.7567512</v>
      </c>
      <c r="CV23" s="15">
        <v>4359</v>
      </c>
      <c r="CX23" s="15">
        <f t="shared" si="86"/>
        <v>957.8014999999999</v>
      </c>
      <c r="CY23" s="15">
        <f t="shared" si="39"/>
        <v>233.60614280000001</v>
      </c>
      <c r="CZ23" s="15">
        <f t="shared" si="40"/>
        <v>1191.4076427999998</v>
      </c>
      <c r="DA23" s="15">
        <v>39</v>
      </c>
      <c r="DC23" s="15">
        <f t="shared" si="87"/>
        <v>1260.552</v>
      </c>
      <c r="DD23" s="15">
        <f t="shared" si="41"/>
        <v>307.4464704</v>
      </c>
      <c r="DE23" s="15">
        <f t="shared" si="42"/>
        <v>1567.9984703999999</v>
      </c>
      <c r="DF23" s="15">
        <v>51</v>
      </c>
      <c r="DH23" s="15">
        <f t="shared" si="88"/>
        <v>63516.658500000005</v>
      </c>
      <c r="DI23" s="15">
        <f t="shared" si="43"/>
        <v>15491.604049200001</v>
      </c>
      <c r="DJ23" s="15">
        <f t="shared" si="44"/>
        <v>79008.26254920001</v>
      </c>
      <c r="DK23" s="15">
        <v>2583</v>
      </c>
      <c r="DM23" s="15">
        <f t="shared" si="89"/>
        <v>1209.0200000000002</v>
      </c>
      <c r="DN23" s="15">
        <f t="shared" si="45"/>
        <v>294.877904</v>
      </c>
      <c r="DO23" s="15">
        <f t="shared" si="46"/>
        <v>1503.8979040000002</v>
      </c>
      <c r="DP23" s="15">
        <v>49</v>
      </c>
      <c r="DR23" s="15">
        <f t="shared" si="90"/>
        <v>18065.434500000003</v>
      </c>
      <c r="DS23" s="15">
        <f t="shared" si="47"/>
        <v>4406.1284844</v>
      </c>
      <c r="DT23" s="15">
        <f t="shared" si="48"/>
        <v>22471.562984400003</v>
      </c>
      <c r="DU23" s="15">
        <v>735</v>
      </c>
      <c r="DW23" s="15">
        <f t="shared" si="91"/>
        <v>12549.528499999999</v>
      </c>
      <c r="DX23" s="15">
        <f t="shared" si="49"/>
        <v>3060.8084732</v>
      </c>
      <c r="DY23" s="15">
        <f t="shared" si="50"/>
        <v>15610.3369732</v>
      </c>
      <c r="DZ23" s="15">
        <v>510</v>
      </c>
      <c r="EB23" s="15">
        <f t="shared" si="92"/>
        <v>4899.0085</v>
      </c>
      <c r="EC23" s="15">
        <f t="shared" si="51"/>
        <v>1194.8597692</v>
      </c>
      <c r="ED23" s="15">
        <f t="shared" si="52"/>
        <v>6093.8682692</v>
      </c>
      <c r="EE23" s="15">
        <v>199</v>
      </c>
      <c r="EG23" s="15">
        <f t="shared" si="93"/>
        <v>55055.500499999995</v>
      </c>
      <c r="EH23" s="15">
        <f t="shared" si="53"/>
        <v>13427.9421276</v>
      </c>
      <c r="EI23" s="15">
        <f t="shared" si="54"/>
        <v>68483.44262759999</v>
      </c>
      <c r="EJ23" s="15">
        <v>2239</v>
      </c>
      <c r="EL23" s="15">
        <f t="shared" si="94"/>
        <v>124084.101</v>
      </c>
      <c r="EM23" s="15">
        <f t="shared" si="55"/>
        <v>30263.899375200002</v>
      </c>
      <c r="EN23" s="15">
        <f t="shared" si="56"/>
        <v>154348.0003752</v>
      </c>
      <c r="EO23" s="15">
        <v>5047</v>
      </c>
      <c r="EQ23" s="15">
        <f t="shared" si="95"/>
        <v>15834.693500000001</v>
      </c>
      <c r="ER23" s="15">
        <f t="shared" si="57"/>
        <v>3862.0545812</v>
      </c>
      <c r="ES23" s="15">
        <f t="shared" si="58"/>
        <v>19696.7480812</v>
      </c>
      <c r="ET23" s="15">
        <v>644</v>
      </c>
      <c r="EV23" s="15">
        <f t="shared" si="96"/>
        <v>25145.634000000005</v>
      </c>
      <c r="EW23" s="15">
        <f t="shared" si="59"/>
        <v>6132.976996800001</v>
      </c>
      <c r="EX23" s="15">
        <f t="shared" si="60"/>
        <v>31278.610996800006</v>
      </c>
      <c r="EY23" s="15">
        <v>1023</v>
      </c>
      <c r="FA23" s="15">
        <f t="shared" si="97"/>
        <v>116536.1495</v>
      </c>
      <c r="FB23" s="15">
        <f t="shared" si="61"/>
        <v>28422.966952400002</v>
      </c>
      <c r="FC23" s="15">
        <f t="shared" si="62"/>
        <v>144959.1164524</v>
      </c>
      <c r="FD23" s="15">
        <v>4740</v>
      </c>
      <c r="FF23" s="15">
        <f t="shared" si="98"/>
        <v>6184.831</v>
      </c>
      <c r="FG23" s="15">
        <f t="shared" si="63"/>
        <v>1508.4696711999998</v>
      </c>
      <c r="FH23" s="15">
        <f t="shared" si="64"/>
        <v>7693.3006712</v>
      </c>
      <c r="FI23" s="15">
        <v>252</v>
      </c>
      <c r="FK23" s="15">
        <f t="shared" si="99"/>
        <v>35459.962</v>
      </c>
      <c r="FL23" s="15">
        <f t="shared" si="65"/>
        <v>8648.6239024</v>
      </c>
      <c r="FM23" s="15">
        <f t="shared" si="66"/>
        <v>44108.5859024</v>
      </c>
      <c r="FN23" s="15">
        <v>1442</v>
      </c>
    </row>
    <row r="24" spans="1:170" ht="12.75">
      <c r="A24" s="2">
        <v>42644</v>
      </c>
      <c r="C24" s="16"/>
      <c r="D24" s="16">
        <v>1084641</v>
      </c>
      <c r="E24" s="16">
        <f t="shared" si="0"/>
        <v>1084641</v>
      </c>
      <c r="H24" s="15">
        <f t="shared" si="1"/>
        <v>71743.7958732</v>
      </c>
      <c r="I24" s="33">
        <f t="shared" si="2"/>
        <v>71743.7958732</v>
      </c>
      <c r="J24" s="33">
        <v>13330</v>
      </c>
      <c r="M24" s="15">
        <f t="shared" si="3"/>
        <v>1225.2104736000001</v>
      </c>
      <c r="N24" s="15">
        <f t="shared" si="4"/>
        <v>1225.2104736000001</v>
      </c>
      <c r="O24" s="15">
        <v>228</v>
      </c>
      <c r="Q24" s="33"/>
      <c r="R24" s="15">
        <f t="shared" si="5"/>
        <v>5531.0183154</v>
      </c>
      <c r="S24" s="15">
        <f t="shared" si="6"/>
        <v>5531.0183154</v>
      </c>
      <c r="T24" s="15">
        <v>1028</v>
      </c>
      <c r="W24" s="15">
        <f t="shared" si="7"/>
        <v>96185.6384877</v>
      </c>
      <c r="X24" s="15">
        <f t="shared" si="8"/>
        <v>96185.6384877</v>
      </c>
      <c r="Y24" s="15">
        <v>17871</v>
      </c>
      <c r="AB24" s="15">
        <f t="shared" si="9"/>
        <v>1165.1213622</v>
      </c>
      <c r="AC24" s="15">
        <f t="shared" si="10"/>
        <v>1165.1213622</v>
      </c>
      <c r="AD24" s="15">
        <v>216</v>
      </c>
      <c r="AG24" s="15">
        <f t="shared" si="11"/>
        <v>982.5762819</v>
      </c>
      <c r="AH24" s="15">
        <f t="shared" si="12"/>
        <v>982.5762819</v>
      </c>
      <c r="AI24" s="15">
        <v>183</v>
      </c>
      <c r="AL24" s="15">
        <f t="shared" si="13"/>
        <v>40312.635118800004</v>
      </c>
      <c r="AM24" s="15">
        <f t="shared" si="14"/>
        <v>40312.635118800004</v>
      </c>
      <c r="AN24" s="15">
        <v>7490</v>
      </c>
      <c r="AQ24" s="15">
        <f t="shared" si="15"/>
        <v>82717.2173343</v>
      </c>
      <c r="AR24" s="15">
        <f t="shared" si="16"/>
        <v>82717.2173343</v>
      </c>
      <c r="AS24" s="15">
        <v>15369</v>
      </c>
      <c r="AV24" s="15">
        <f t="shared" si="17"/>
        <v>954.9179363999999</v>
      </c>
      <c r="AW24" s="15">
        <f t="shared" si="18"/>
        <v>954.9179363999999</v>
      </c>
      <c r="AX24" s="15">
        <v>177</v>
      </c>
      <c r="BA24" s="15">
        <f t="shared" si="19"/>
        <v>641.4566874</v>
      </c>
      <c r="BB24" s="15">
        <f t="shared" si="20"/>
        <v>641.4566874</v>
      </c>
      <c r="BC24" s="15">
        <v>119</v>
      </c>
      <c r="BF24" s="15">
        <f t="shared" si="21"/>
        <v>-95.5568721</v>
      </c>
      <c r="BG24" s="15">
        <f t="shared" si="22"/>
        <v>-95.5568721</v>
      </c>
      <c r="BH24" s="15">
        <v>-18</v>
      </c>
      <c r="BK24" s="15">
        <f t="shared" si="23"/>
        <v>-62.2583934</v>
      </c>
      <c r="BL24" s="15">
        <f t="shared" si="24"/>
        <v>-62.2583934</v>
      </c>
      <c r="BM24" s="15">
        <v>-12</v>
      </c>
      <c r="BP24" s="15">
        <f t="shared" si="25"/>
        <v>2315.2746786000002</v>
      </c>
      <c r="BQ24" s="15">
        <f t="shared" si="26"/>
        <v>2315.2746786000002</v>
      </c>
      <c r="BR24" s="15">
        <v>430</v>
      </c>
      <c r="BU24" s="15">
        <f t="shared" si="27"/>
        <v>14238.082407</v>
      </c>
      <c r="BV24" s="15">
        <f t="shared" si="28"/>
        <v>14238.082407</v>
      </c>
      <c r="BW24" s="15">
        <v>2645</v>
      </c>
      <c r="BZ24" s="15">
        <f t="shared" si="29"/>
        <v>95649.1750491</v>
      </c>
      <c r="CA24" s="15">
        <f t="shared" si="30"/>
        <v>95649.1750491</v>
      </c>
      <c r="CB24" s="15">
        <v>17771</v>
      </c>
      <c r="CE24" s="15">
        <f t="shared" si="31"/>
        <v>13800.1043712</v>
      </c>
      <c r="CF24" s="15">
        <f t="shared" si="32"/>
        <v>13800.1043712</v>
      </c>
      <c r="CG24" s="15">
        <v>2564</v>
      </c>
      <c r="CJ24" s="15">
        <f t="shared" si="33"/>
        <v>28197.6290052</v>
      </c>
      <c r="CK24" s="15">
        <f t="shared" si="34"/>
        <v>28197.6290052</v>
      </c>
      <c r="CL24" s="15">
        <v>5239</v>
      </c>
      <c r="CO24" s="15">
        <f t="shared" si="35"/>
        <v>4573.0633842</v>
      </c>
      <c r="CP24" s="15">
        <f t="shared" si="36"/>
        <v>4573.0633842</v>
      </c>
      <c r="CQ24" s="15">
        <v>850</v>
      </c>
      <c r="CT24" s="15">
        <f t="shared" si="37"/>
        <v>23458.8324762</v>
      </c>
      <c r="CU24" s="15">
        <f t="shared" si="38"/>
        <v>23458.8324762</v>
      </c>
      <c r="CV24" s="15">
        <v>4359</v>
      </c>
      <c r="CY24" s="15">
        <f t="shared" si="39"/>
        <v>209.66110530000003</v>
      </c>
      <c r="CZ24" s="15">
        <f t="shared" si="40"/>
        <v>209.66110530000003</v>
      </c>
      <c r="DA24" s="15">
        <v>39</v>
      </c>
      <c r="DD24" s="15">
        <f t="shared" si="41"/>
        <v>275.9326704</v>
      </c>
      <c r="DE24" s="15">
        <f t="shared" si="42"/>
        <v>275.9326704</v>
      </c>
      <c r="DF24" s="15">
        <v>51</v>
      </c>
      <c r="DI24" s="15">
        <f t="shared" si="43"/>
        <v>13903.687586700002</v>
      </c>
      <c r="DJ24" s="15">
        <f t="shared" si="44"/>
        <v>13903.687586700002</v>
      </c>
      <c r="DK24" s="15">
        <v>2583</v>
      </c>
      <c r="DN24" s="15">
        <f t="shared" si="45"/>
        <v>264.65240400000005</v>
      </c>
      <c r="DO24" s="15">
        <f t="shared" si="46"/>
        <v>264.65240400000005</v>
      </c>
      <c r="DP24" s="15">
        <v>49</v>
      </c>
      <c r="DS24" s="15">
        <f t="shared" si="47"/>
        <v>3954.4926219000004</v>
      </c>
      <c r="DT24" s="15">
        <f t="shared" si="48"/>
        <v>3954.4926219000004</v>
      </c>
      <c r="DU24" s="15">
        <v>735</v>
      </c>
      <c r="DX24" s="15">
        <f t="shared" si="49"/>
        <v>2747.0702607000003</v>
      </c>
      <c r="DY24" s="15">
        <f t="shared" si="50"/>
        <v>2747.0702607000003</v>
      </c>
      <c r="DZ24" s="15">
        <v>510</v>
      </c>
      <c r="EC24" s="15">
        <f t="shared" si="51"/>
        <v>1072.3845566999998</v>
      </c>
      <c r="ED24" s="15">
        <f t="shared" si="52"/>
        <v>1072.3845566999998</v>
      </c>
      <c r="EE24" s="15">
        <v>199</v>
      </c>
      <c r="EH24" s="15">
        <f t="shared" si="53"/>
        <v>12051.5546151</v>
      </c>
      <c r="EI24" s="15">
        <f t="shared" si="54"/>
        <v>12051.5546151</v>
      </c>
      <c r="EJ24" s="15">
        <v>2239</v>
      </c>
      <c r="EM24" s="15">
        <f t="shared" si="55"/>
        <v>27161.7968502</v>
      </c>
      <c r="EN24" s="15">
        <f t="shared" si="56"/>
        <v>27161.7968502</v>
      </c>
      <c r="EO24" s="15">
        <v>5047</v>
      </c>
      <c r="ER24" s="15">
        <f t="shared" si="57"/>
        <v>3466.1872437</v>
      </c>
      <c r="ES24" s="15">
        <f t="shared" si="58"/>
        <v>3466.1872437</v>
      </c>
      <c r="ET24" s="15">
        <v>644</v>
      </c>
      <c r="EW24" s="15">
        <f t="shared" si="59"/>
        <v>5504.3361468</v>
      </c>
      <c r="EX24" s="15">
        <f t="shared" si="60"/>
        <v>5504.3361468</v>
      </c>
      <c r="EY24" s="15">
        <v>1023</v>
      </c>
      <c r="FB24" s="15">
        <f t="shared" si="61"/>
        <v>25509.5632149</v>
      </c>
      <c r="FC24" s="15">
        <f t="shared" si="62"/>
        <v>25509.5632149</v>
      </c>
      <c r="FD24" s="15">
        <v>4740</v>
      </c>
      <c r="FG24" s="15">
        <f t="shared" si="63"/>
        <v>1353.8488962000001</v>
      </c>
      <c r="FH24" s="15">
        <f t="shared" si="64"/>
        <v>1353.8488962000001</v>
      </c>
      <c r="FI24" s="15">
        <v>252</v>
      </c>
      <c r="FL24" s="15">
        <f t="shared" si="65"/>
        <v>7762.1248524</v>
      </c>
      <c r="FM24" s="15">
        <f t="shared" si="66"/>
        <v>7762.1248524</v>
      </c>
      <c r="FN24" s="15">
        <v>1442</v>
      </c>
    </row>
    <row r="25" spans="1:170" ht="12.75">
      <c r="A25" s="2">
        <v>42826</v>
      </c>
      <c r="C25" s="16">
        <v>5205000</v>
      </c>
      <c r="D25" s="16">
        <v>1084641</v>
      </c>
      <c r="E25" s="16">
        <f t="shared" si="0"/>
        <v>6289641</v>
      </c>
      <c r="G25" s="15">
        <f t="shared" si="67"/>
        <v>344285.766</v>
      </c>
      <c r="H25" s="15">
        <f t="shared" si="1"/>
        <v>71743.7958732</v>
      </c>
      <c r="I25" s="33">
        <f t="shared" si="2"/>
        <v>416029.5618732</v>
      </c>
      <c r="J25" s="33">
        <v>13330</v>
      </c>
      <c r="L25" s="15">
        <f t="shared" si="68"/>
        <v>5879.568</v>
      </c>
      <c r="M25" s="15">
        <f t="shared" si="3"/>
        <v>1225.2104736000001</v>
      </c>
      <c r="N25" s="15">
        <f t="shared" si="4"/>
        <v>7104.7784736</v>
      </c>
      <c r="O25" s="15">
        <v>228</v>
      </c>
      <c r="Q25" s="33">
        <f t="shared" si="69"/>
        <v>26542.376999999997</v>
      </c>
      <c r="R25" s="15">
        <f t="shared" si="5"/>
        <v>5531.0183154</v>
      </c>
      <c r="S25" s="15">
        <f t="shared" si="6"/>
        <v>32073.395315399997</v>
      </c>
      <c r="T25" s="15">
        <v>1028</v>
      </c>
      <c r="V25" s="15">
        <f t="shared" si="70"/>
        <v>461577.8385</v>
      </c>
      <c r="W25" s="15">
        <f t="shared" si="7"/>
        <v>96185.6384877</v>
      </c>
      <c r="X25" s="15">
        <f t="shared" si="8"/>
        <v>557763.4769877</v>
      </c>
      <c r="Y25" s="15">
        <v>17871</v>
      </c>
      <c r="AA25" s="15">
        <f t="shared" si="71"/>
        <v>5591.210999999999</v>
      </c>
      <c r="AB25" s="15">
        <f t="shared" si="9"/>
        <v>1165.1213622</v>
      </c>
      <c r="AC25" s="15">
        <f t="shared" si="10"/>
        <v>6756.332362199999</v>
      </c>
      <c r="AD25" s="15">
        <v>216</v>
      </c>
      <c r="AF25" s="15">
        <f t="shared" si="72"/>
        <v>4715.2095</v>
      </c>
      <c r="AG25" s="15">
        <f t="shared" si="11"/>
        <v>982.5762819</v>
      </c>
      <c r="AH25" s="15">
        <f t="shared" si="12"/>
        <v>5697.7857819</v>
      </c>
      <c r="AI25" s="15">
        <v>183</v>
      </c>
      <c r="AK25" s="15">
        <f t="shared" si="73"/>
        <v>193453.19400000002</v>
      </c>
      <c r="AL25" s="15">
        <f t="shared" si="13"/>
        <v>40312.635118800004</v>
      </c>
      <c r="AM25" s="15">
        <f t="shared" si="14"/>
        <v>233765.82911880003</v>
      </c>
      <c r="AN25" s="15">
        <v>7490</v>
      </c>
      <c r="AP25" s="15">
        <f t="shared" si="74"/>
        <v>396945.2715</v>
      </c>
      <c r="AQ25" s="15">
        <f t="shared" si="15"/>
        <v>82717.2173343</v>
      </c>
      <c r="AR25" s="15">
        <f t="shared" si="16"/>
        <v>479662.48883429996</v>
      </c>
      <c r="AS25" s="15">
        <v>15369</v>
      </c>
      <c r="AU25" s="15">
        <f t="shared" si="75"/>
        <v>4582.482</v>
      </c>
      <c r="AV25" s="15">
        <f t="shared" si="17"/>
        <v>954.9179363999999</v>
      </c>
      <c r="AW25" s="15">
        <f t="shared" si="18"/>
        <v>5537.3999364</v>
      </c>
      <c r="AX25" s="15">
        <v>177</v>
      </c>
      <c r="AZ25" s="15">
        <f t="shared" si="76"/>
        <v>3078.237</v>
      </c>
      <c r="BA25" s="15">
        <f t="shared" si="19"/>
        <v>641.4566874</v>
      </c>
      <c r="BB25" s="15">
        <f t="shared" si="20"/>
        <v>3719.6936874000003</v>
      </c>
      <c r="BC25" s="15">
        <v>119</v>
      </c>
      <c r="BE25" s="15">
        <f t="shared" si="77"/>
        <v>-458.56050000000005</v>
      </c>
      <c r="BF25" s="15">
        <f t="shared" si="21"/>
        <v>-95.5568721</v>
      </c>
      <c r="BG25" s="15">
        <f t="shared" si="22"/>
        <v>-554.1173721</v>
      </c>
      <c r="BH25" s="15">
        <v>-18</v>
      </c>
      <c r="BJ25" s="15">
        <f t="shared" si="78"/>
        <v>-298.767</v>
      </c>
      <c r="BK25" s="15">
        <f t="shared" si="23"/>
        <v>-62.2583934</v>
      </c>
      <c r="BL25" s="15">
        <f t="shared" si="24"/>
        <v>-361.0253934</v>
      </c>
      <c r="BM25" s="15">
        <v>-12</v>
      </c>
      <c r="BO25" s="15">
        <f t="shared" si="79"/>
        <v>11110.593</v>
      </c>
      <c r="BP25" s="15">
        <f t="shared" si="25"/>
        <v>2315.2746786000002</v>
      </c>
      <c r="BQ25" s="15">
        <f t="shared" si="26"/>
        <v>13425.867678600001</v>
      </c>
      <c r="BR25" s="15">
        <v>430</v>
      </c>
      <c r="BT25" s="15">
        <f t="shared" si="80"/>
        <v>68326.035</v>
      </c>
      <c r="BU25" s="15">
        <f t="shared" si="27"/>
        <v>14238.082407</v>
      </c>
      <c r="BV25" s="15">
        <f t="shared" si="28"/>
        <v>82564.117407</v>
      </c>
      <c r="BW25" s="15">
        <v>2645</v>
      </c>
      <c r="BY25" s="15">
        <f t="shared" si="81"/>
        <v>459003.4455</v>
      </c>
      <c r="BZ25" s="15">
        <f t="shared" si="29"/>
        <v>95649.1750491</v>
      </c>
      <c r="CA25" s="15">
        <f t="shared" si="30"/>
        <v>554652.6205491</v>
      </c>
      <c r="CB25" s="15">
        <v>17771</v>
      </c>
      <c r="CD25" s="15">
        <f t="shared" si="82"/>
        <v>66224.256</v>
      </c>
      <c r="CE25" s="15">
        <f t="shared" si="31"/>
        <v>13800.1043712</v>
      </c>
      <c r="CF25" s="15">
        <f t="shared" si="32"/>
        <v>80024.36037119999</v>
      </c>
      <c r="CG25" s="15">
        <v>2564</v>
      </c>
      <c r="CI25" s="15">
        <f t="shared" si="83"/>
        <v>135315.426</v>
      </c>
      <c r="CJ25" s="15">
        <f t="shared" si="33"/>
        <v>28197.6290052</v>
      </c>
      <c r="CK25" s="15">
        <f t="shared" si="34"/>
        <v>163513.0550052</v>
      </c>
      <c r="CL25" s="15">
        <v>5239</v>
      </c>
      <c r="CN25" s="15">
        <f t="shared" si="84"/>
        <v>21945.321</v>
      </c>
      <c r="CO25" s="15">
        <f t="shared" si="35"/>
        <v>4573.0633842</v>
      </c>
      <c r="CP25" s="15">
        <f t="shared" si="36"/>
        <v>26518.3843842</v>
      </c>
      <c r="CQ25" s="15">
        <v>850</v>
      </c>
      <c r="CS25" s="15">
        <f t="shared" si="85"/>
        <v>112574.781</v>
      </c>
      <c r="CT25" s="15">
        <f t="shared" si="37"/>
        <v>23458.8324762</v>
      </c>
      <c r="CU25" s="15">
        <f t="shared" si="38"/>
        <v>136033.6134762</v>
      </c>
      <c r="CV25" s="15">
        <v>4359</v>
      </c>
      <c r="CX25" s="15">
        <f t="shared" si="86"/>
        <v>1006.1265</v>
      </c>
      <c r="CY25" s="15">
        <f t="shared" si="39"/>
        <v>209.66110530000003</v>
      </c>
      <c r="CZ25" s="15">
        <f t="shared" si="40"/>
        <v>1215.7876053</v>
      </c>
      <c r="DA25" s="15">
        <v>39</v>
      </c>
      <c r="DC25" s="15">
        <f t="shared" si="87"/>
        <v>1324.152</v>
      </c>
      <c r="DD25" s="15">
        <f t="shared" si="41"/>
        <v>275.9326704</v>
      </c>
      <c r="DE25" s="15">
        <f t="shared" si="42"/>
        <v>1600.0846704</v>
      </c>
      <c r="DF25" s="15">
        <v>51</v>
      </c>
      <c r="DH25" s="15">
        <f t="shared" si="88"/>
        <v>66721.33350000001</v>
      </c>
      <c r="DI25" s="15">
        <f t="shared" si="43"/>
        <v>13903.687586700002</v>
      </c>
      <c r="DJ25" s="15">
        <f t="shared" si="44"/>
        <v>80625.02108670001</v>
      </c>
      <c r="DK25" s="15">
        <v>2583</v>
      </c>
      <c r="DM25" s="15">
        <f t="shared" si="89"/>
        <v>1270.0200000000002</v>
      </c>
      <c r="DN25" s="15">
        <f t="shared" si="45"/>
        <v>264.65240400000005</v>
      </c>
      <c r="DO25" s="15">
        <f t="shared" si="46"/>
        <v>1534.6724040000004</v>
      </c>
      <c r="DP25" s="15">
        <v>49</v>
      </c>
      <c r="DR25" s="15">
        <f t="shared" si="90"/>
        <v>18976.9095</v>
      </c>
      <c r="DS25" s="15">
        <f t="shared" si="47"/>
        <v>3954.4926219000004</v>
      </c>
      <c r="DT25" s="15">
        <f t="shared" si="48"/>
        <v>22931.402121900002</v>
      </c>
      <c r="DU25" s="15">
        <v>735</v>
      </c>
      <c r="DW25" s="15">
        <f t="shared" si="91"/>
        <v>13182.703499999998</v>
      </c>
      <c r="DX25" s="15">
        <f t="shared" si="49"/>
        <v>2747.0702607000003</v>
      </c>
      <c r="DY25" s="15">
        <f t="shared" si="50"/>
        <v>15929.773760699998</v>
      </c>
      <c r="DZ25" s="15">
        <v>510</v>
      </c>
      <c r="EB25" s="15">
        <f t="shared" si="92"/>
        <v>5146.1835</v>
      </c>
      <c r="EC25" s="15">
        <f t="shared" si="51"/>
        <v>1072.3845566999998</v>
      </c>
      <c r="ED25" s="15">
        <f t="shared" si="52"/>
        <v>6218.5680567</v>
      </c>
      <c r="EE25" s="15">
        <v>199</v>
      </c>
      <c r="EG25" s="15">
        <f t="shared" si="93"/>
        <v>57833.275499999996</v>
      </c>
      <c r="EH25" s="15">
        <f t="shared" si="53"/>
        <v>12051.5546151</v>
      </c>
      <c r="EI25" s="15">
        <f t="shared" si="54"/>
        <v>69884.83011509999</v>
      </c>
      <c r="EJ25" s="15">
        <v>2239</v>
      </c>
      <c r="EL25" s="15">
        <f t="shared" si="94"/>
        <v>130344.65100000001</v>
      </c>
      <c r="EM25" s="15">
        <f t="shared" si="55"/>
        <v>27161.7968502</v>
      </c>
      <c r="EN25" s="15">
        <f t="shared" si="56"/>
        <v>157506.4478502</v>
      </c>
      <c r="EO25" s="15">
        <v>5047</v>
      </c>
      <c r="EQ25" s="15">
        <f t="shared" si="95"/>
        <v>16633.6185</v>
      </c>
      <c r="ER25" s="15">
        <f t="shared" si="57"/>
        <v>3466.1872437</v>
      </c>
      <c r="ES25" s="15">
        <f t="shared" si="58"/>
        <v>20099.805743700002</v>
      </c>
      <c r="ET25" s="15">
        <v>644</v>
      </c>
      <c r="EV25" s="15">
        <f t="shared" si="96"/>
        <v>26414.334000000003</v>
      </c>
      <c r="EW25" s="15">
        <f t="shared" si="59"/>
        <v>5504.3361468</v>
      </c>
      <c r="EX25" s="15">
        <f t="shared" si="60"/>
        <v>31918.670146800003</v>
      </c>
      <c r="EY25" s="15">
        <v>1023</v>
      </c>
      <c r="FA25" s="15">
        <f t="shared" si="97"/>
        <v>122415.8745</v>
      </c>
      <c r="FB25" s="15">
        <f t="shared" si="61"/>
        <v>25509.5632149</v>
      </c>
      <c r="FC25" s="15">
        <f t="shared" si="62"/>
        <v>147925.4377149</v>
      </c>
      <c r="FD25" s="15">
        <v>4740</v>
      </c>
      <c r="FF25" s="15">
        <f t="shared" si="98"/>
        <v>6496.880999999999</v>
      </c>
      <c r="FG25" s="15">
        <f t="shared" si="63"/>
        <v>1353.8488962000001</v>
      </c>
      <c r="FH25" s="15">
        <f t="shared" si="64"/>
        <v>7850.7298961999995</v>
      </c>
      <c r="FI25" s="15">
        <v>252</v>
      </c>
      <c r="FK25" s="15">
        <f t="shared" si="99"/>
        <v>37249.062000000005</v>
      </c>
      <c r="FL25" s="15">
        <f t="shared" si="65"/>
        <v>7762.1248524</v>
      </c>
      <c r="FM25" s="15">
        <f t="shared" si="66"/>
        <v>45011.1868524</v>
      </c>
      <c r="FN25" s="15">
        <v>1442</v>
      </c>
    </row>
    <row r="26" spans="1:170" ht="12.75">
      <c r="A26" s="2">
        <v>43009</v>
      </c>
      <c r="C26" s="16"/>
      <c r="D26" s="16">
        <v>954516</v>
      </c>
      <c r="E26" s="16">
        <f t="shared" si="0"/>
        <v>954516</v>
      </c>
      <c r="H26" s="15">
        <f t="shared" si="1"/>
        <v>63136.6517232</v>
      </c>
      <c r="I26" s="33">
        <f t="shared" si="2"/>
        <v>63136.6517232</v>
      </c>
      <c r="J26" s="33">
        <v>13330</v>
      </c>
      <c r="M26" s="15">
        <f t="shared" si="3"/>
        <v>1078.2212736</v>
      </c>
      <c r="N26" s="15">
        <f t="shared" si="4"/>
        <v>1078.2212736</v>
      </c>
      <c r="O26" s="15">
        <v>228</v>
      </c>
      <c r="Q26" s="33"/>
      <c r="R26" s="15">
        <f t="shared" si="5"/>
        <v>4867.4588904</v>
      </c>
      <c r="S26" s="15">
        <f t="shared" si="6"/>
        <v>4867.4588904</v>
      </c>
      <c r="T26" s="15">
        <v>1028</v>
      </c>
      <c r="W26" s="15">
        <f t="shared" si="7"/>
        <v>84646.19252520001</v>
      </c>
      <c r="X26" s="15">
        <f t="shared" si="8"/>
        <v>84646.19252520001</v>
      </c>
      <c r="Y26" s="15">
        <v>17871</v>
      </c>
      <c r="AB26" s="15">
        <f t="shared" si="9"/>
        <v>1025.3410872</v>
      </c>
      <c r="AC26" s="15">
        <f t="shared" si="10"/>
        <v>1025.3410872</v>
      </c>
      <c r="AD26" s="15">
        <v>216</v>
      </c>
      <c r="AG26" s="15">
        <f t="shared" si="11"/>
        <v>864.6960444000001</v>
      </c>
      <c r="AH26" s="15">
        <f t="shared" si="12"/>
        <v>864.6960444000001</v>
      </c>
      <c r="AI26" s="15">
        <v>183</v>
      </c>
      <c r="AL26" s="15">
        <f t="shared" si="13"/>
        <v>35476.3052688</v>
      </c>
      <c r="AM26" s="15">
        <f t="shared" si="14"/>
        <v>35476.3052688</v>
      </c>
      <c r="AN26" s="15">
        <v>7490</v>
      </c>
      <c r="AQ26" s="15">
        <f t="shared" si="15"/>
        <v>72793.5855468</v>
      </c>
      <c r="AR26" s="15">
        <f t="shared" si="16"/>
        <v>72793.5855468</v>
      </c>
      <c r="AS26" s="15">
        <v>15369</v>
      </c>
      <c r="AV26" s="15">
        <f t="shared" si="17"/>
        <v>840.3558863999999</v>
      </c>
      <c r="AW26" s="15">
        <f t="shared" si="18"/>
        <v>840.3558863999999</v>
      </c>
      <c r="AX26" s="15">
        <v>177</v>
      </c>
      <c r="BA26" s="15">
        <f t="shared" si="19"/>
        <v>564.5007624</v>
      </c>
      <c r="BB26" s="15">
        <f t="shared" si="20"/>
        <v>564.5007624</v>
      </c>
      <c r="BC26" s="15">
        <v>119</v>
      </c>
      <c r="BF26" s="15">
        <f t="shared" si="21"/>
        <v>-84.0928596</v>
      </c>
      <c r="BG26" s="15">
        <f t="shared" si="22"/>
        <v>-84.0928596</v>
      </c>
      <c r="BH26" s="15">
        <v>-18</v>
      </c>
      <c r="BK26" s="15">
        <f t="shared" si="23"/>
        <v>-54.7892184</v>
      </c>
      <c r="BL26" s="15">
        <f t="shared" si="24"/>
        <v>-54.7892184</v>
      </c>
      <c r="BM26" s="15">
        <v>-12</v>
      </c>
      <c r="BP26" s="15">
        <f t="shared" si="25"/>
        <v>2037.5098536000003</v>
      </c>
      <c r="BQ26" s="15">
        <f t="shared" si="26"/>
        <v>2037.5098536000003</v>
      </c>
      <c r="BR26" s="15">
        <v>430</v>
      </c>
      <c r="BU26" s="15">
        <f t="shared" si="27"/>
        <v>12529.931532</v>
      </c>
      <c r="BV26" s="15">
        <f t="shared" si="28"/>
        <v>12529.931532</v>
      </c>
      <c r="BW26" s="15">
        <v>2645</v>
      </c>
      <c r="BZ26" s="15">
        <f t="shared" si="29"/>
        <v>84174.0889116</v>
      </c>
      <c r="CA26" s="15">
        <f t="shared" si="30"/>
        <v>84174.0889116</v>
      </c>
      <c r="CB26" s="15">
        <v>17771</v>
      </c>
      <c r="CE26" s="15">
        <f t="shared" si="31"/>
        <v>12144.4979712</v>
      </c>
      <c r="CF26" s="15">
        <f t="shared" si="32"/>
        <v>12144.4979712</v>
      </c>
      <c r="CG26" s="15">
        <v>2564</v>
      </c>
      <c r="CJ26" s="15">
        <f t="shared" si="33"/>
        <v>24814.7433552</v>
      </c>
      <c r="CK26" s="15">
        <f t="shared" si="34"/>
        <v>24814.7433552</v>
      </c>
      <c r="CL26" s="15">
        <v>5239</v>
      </c>
      <c r="CO26" s="15">
        <f t="shared" si="35"/>
        <v>4024.4303592</v>
      </c>
      <c r="CP26" s="15">
        <f t="shared" si="36"/>
        <v>4024.4303592</v>
      </c>
      <c r="CQ26" s="15">
        <v>850</v>
      </c>
      <c r="CT26" s="15">
        <f t="shared" si="37"/>
        <v>20644.4629512</v>
      </c>
      <c r="CU26" s="15">
        <f t="shared" si="38"/>
        <v>20644.4629512</v>
      </c>
      <c r="CV26" s="15">
        <v>4359</v>
      </c>
      <c r="CY26" s="15">
        <f t="shared" si="39"/>
        <v>184.5079428</v>
      </c>
      <c r="CZ26" s="15">
        <f t="shared" si="40"/>
        <v>184.5079428</v>
      </c>
      <c r="DA26" s="15">
        <v>39</v>
      </c>
      <c r="DD26" s="15">
        <f t="shared" si="41"/>
        <v>242.82887040000003</v>
      </c>
      <c r="DE26" s="15">
        <f t="shared" si="42"/>
        <v>242.82887040000003</v>
      </c>
      <c r="DF26" s="15">
        <v>51</v>
      </c>
      <c r="DI26" s="15">
        <f t="shared" si="43"/>
        <v>12235.6542492</v>
      </c>
      <c r="DJ26" s="15">
        <f t="shared" si="44"/>
        <v>12235.6542492</v>
      </c>
      <c r="DK26" s="15">
        <v>2583</v>
      </c>
      <c r="DN26" s="15">
        <f t="shared" si="45"/>
        <v>232.90190400000003</v>
      </c>
      <c r="DO26" s="15">
        <f t="shared" si="46"/>
        <v>232.90190400000003</v>
      </c>
      <c r="DP26" s="15">
        <v>49</v>
      </c>
      <c r="DS26" s="15">
        <f t="shared" si="47"/>
        <v>3480.0698844000003</v>
      </c>
      <c r="DT26" s="15">
        <f t="shared" si="48"/>
        <v>3480.0698844000003</v>
      </c>
      <c r="DU26" s="15">
        <v>735</v>
      </c>
      <c r="DX26" s="15">
        <f t="shared" si="49"/>
        <v>2417.5026731999997</v>
      </c>
      <c r="DY26" s="15">
        <f t="shared" si="50"/>
        <v>2417.5026731999997</v>
      </c>
      <c r="DZ26" s="15">
        <v>510</v>
      </c>
      <c r="EC26" s="15">
        <f t="shared" si="51"/>
        <v>943.7299692</v>
      </c>
      <c r="ED26" s="15">
        <f t="shared" si="52"/>
        <v>943.7299692</v>
      </c>
      <c r="EE26" s="15">
        <v>199</v>
      </c>
      <c r="EH26" s="15">
        <f t="shared" si="53"/>
        <v>10605.722727600001</v>
      </c>
      <c r="EI26" s="15">
        <f t="shared" si="54"/>
        <v>10605.722727600001</v>
      </c>
      <c r="EJ26" s="15">
        <v>2239</v>
      </c>
      <c r="EM26" s="15">
        <f t="shared" si="55"/>
        <v>23903.180575200004</v>
      </c>
      <c r="EN26" s="15">
        <f t="shared" si="56"/>
        <v>23903.180575200004</v>
      </c>
      <c r="EO26" s="15">
        <v>5047</v>
      </c>
      <c r="ER26" s="15">
        <f t="shared" si="57"/>
        <v>3050.3467812</v>
      </c>
      <c r="ES26" s="15">
        <f t="shared" si="58"/>
        <v>3050.3467812</v>
      </c>
      <c r="ET26" s="15">
        <v>644</v>
      </c>
      <c r="EW26" s="15">
        <f t="shared" si="59"/>
        <v>4843.977796800001</v>
      </c>
      <c r="EX26" s="15">
        <f t="shared" si="60"/>
        <v>4843.977796800001</v>
      </c>
      <c r="EY26" s="15">
        <v>1023</v>
      </c>
      <c r="FB26" s="15">
        <f t="shared" si="61"/>
        <v>22449.166352400003</v>
      </c>
      <c r="FC26" s="15">
        <f t="shared" si="62"/>
        <v>22449.166352400003</v>
      </c>
      <c r="FD26" s="15">
        <v>4740</v>
      </c>
      <c r="FG26" s="15">
        <f t="shared" si="63"/>
        <v>1191.4268712</v>
      </c>
      <c r="FH26" s="15">
        <f t="shared" si="64"/>
        <v>1191.4268712</v>
      </c>
      <c r="FI26" s="15">
        <v>252</v>
      </c>
      <c r="FL26" s="15">
        <f t="shared" si="65"/>
        <v>6830.898302400001</v>
      </c>
      <c r="FM26" s="15">
        <f t="shared" si="66"/>
        <v>6830.898302400001</v>
      </c>
      <c r="FN26" s="15">
        <v>1442</v>
      </c>
    </row>
    <row r="27" spans="1:171" s="35" customFormat="1" ht="12.75">
      <c r="A27" s="34">
        <v>43191</v>
      </c>
      <c r="C27" s="22">
        <v>5465000</v>
      </c>
      <c r="D27" s="22">
        <v>954516</v>
      </c>
      <c r="E27" s="16">
        <f t="shared" si="0"/>
        <v>6419516</v>
      </c>
      <c r="F27" s="33"/>
      <c r="G27" s="15">
        <f t="shared" si="67"/>
        <v>361483.518</v>
      </c>
      <c r="H27" s="15">
        <f t="shared" si="1"/>
        <v>63136.6517232</v>
      </c>
      <c r="I27" s="33">
        <f t="shared" si="2"/>
        <v>424620.1697232</v>
      </c>
      <c r="J27" s="33">
        <v>13330</v>
      </c>
      <c r="K27" s="33"/>
      <c r="L27" s="15">
        <f t="shared" si="68"/>
        <v>6173.264</v>
      </c>
      <c r="M27" s="15">
        <f t="shared" si="3"/>
        <v>1078.2212736</v>
      </c>
      <c r="N27" s="15">
        <f t="shared" si="4"/>
        <v>7251.4852736</v>
      </c>
      <c r="O27" s="15">
        <v>228</v>
      </c>
      <c r="P27" s="33"/>
      <c r="Q27" s="33">
        <f t="shared" si="69"/>
        <v>27868.220999999998</v>
      </c>
      <c r="R27" s="15">
        <f t="shared" si="5"/>
        <v>4867.4588904</v>
      </c>
      <c r="S27" s="15">
        <f t="shared" si="6"/>
        <v>32735.6798904</v>
      </c>
      <c r="T27" s="15">
        <v>1028</v>
      </c>
      <c r="U27" s="33"/>
      <c r="V27" s="15">
        <f t="shared" si="70"/>
        <v>484634.56049999996</v>
      </c>
      <c r="W27" s="15">
        <f t="shared" si="7"/>
        <v>84646.19252520001</v>
      </c>
      <c r="X27" s="15">
        <f t="shared" si="8"/>
        <v>569280.7530252</v>
      </c>
      <c r="Y27" s="15">
        <v>17871</v>
      </c>
      <c r="Z27" s="33"/>
      <c r="AA27" s="15">
        <f t="shared" si="71"/>
        <v>5870.503000000001</v>
      </c>
      <c r="AB27" s="15">
        <f t="shared" si="9"/>
        <v>1025.3410872</v>
      </c>
      <c r="AC27" s="15">
        <f t="shared" si="10"/>
        <v>6895.844087200001</v>
      </c>
      <c r="AD27" s="15">
        <v>216</v>
      </c>
      <c r="AE27" s="15"/>
      <c r="AF27" s="15">
        <f t="shared" si="72"/>
        <v>4950.7435000000005</v>
      </c>
      <c r="AG27" s="15">
        <f t="shared" si="11"/>
        <v>864.6960444000001</v>
      </c>
      <c r="AH27" s="15">
        <f t="shared" si="12"/>
        <v>5815.4395444</v>
      </c>
      <c r="AI27" s="15">
        <v>183</v>
      </c>
      <c r="AJ27" s="33"/>
      <c r="AK27" s="15">
        <f t="shared" si="73"/>
        <v>203116.56200000003</v>
      </c>
      <c r="AL27" s="15">
        <f t="shared" si="13"/>
        <v>35476.3052688</v>
      </c>
      <c r="AM27" s="15">
        <f t="shared" si="14"/>
        <v>238592.86726880004</v>
      </c>
      <c r="AN27" s="15">
        <v>7490</v>
      </c>
      <c r="AO27" s="33"/>
      <c r="AP27" s="15">
        <f t="shared" si="74"/>
        <v>416773.46949999995</v>
      </c>
      <c r="AQ27" s="15">
        <f t="shared" si="15"/>
        <v>72793.5855468</v>
      </c>
      <c r="AR27" s="15">
        <f t="shared" si="16"/>
        <v>489567.05504679994</v>
      </c>
      <c r="AS27" s="15">
        <v>15369</v>
      </c>
      <c r="AT27" s="33"/>
      <c r="AU27" s="15">
        <f t="shared" si="75"/>
        <v>4811.3859999999995</v>
      </c>
      <c r="AV27" s="15">
        <f t="shared" si="17"/>
        <v>840.3558863999999</v>
      </c>
      <c r="AW27" s="15">
        <f t="shared" si="18"/>
        <v>5651.741886399999</v>
      </c>
      <c r="AX27" s="15">
        <v>177</v>
      </c>
      <c r="AY27" s="33"/>
      <c r="AZ27" s="15">
        <f t="shared" si="76"/>
        <v>3232.0009999999997</v>
      </c>
      <c r="BA27" s="15">
        <f t="shared" si="19"/>
        <v>564.5007624</v>
      </c>
      <c r="BB27" s="15">
        <f t="shared" si="20"/>
        <v>3796.5017623999997</v>
      </c>
      <c r="BC27" s="15">
        <v>119</v>
      </c>
      <c r="BD27" s="33"/>
      <c r="BE27" s="15">
        <f t="shared" si="77"/>
        <v>-481.4665</v>
      </c>
      <c r="BF27" s="15">
        <f t="shared" si="21"/>
        <v>-84.0928596</v>
      </c>
      <c r="BG27" s="15">
        <f t="shared" si="22"/>
        <v>-565.5593596</v>
      </c>
      <c r="BH27" s="15">
        <v>-18</v>
      </c>
      <c r="BI27" s="15"/>
      <c r="BJ27" s="15">
        <f t="shared" si="78"/>
        <v>-313.69100000000003</v>
      </c>
      <c r="BK27" s="15">
        <f t="shared" si="23"/>
        <v>-54.7892184</v>
      </c>
      <c r="BL27" s="15">
        <f t="shared" si="24"/>
        <v>-368.4802184</v>
      </c>
      <c r="BM27" s="15">
        <v>-12</v>
      </c>
      <c r="BN27" s="33"/>
      <c r="BO27" s="15">
        <f t="shared" si="79"/>
        <v>11665.589000000002</v>
      </c>
      <c r="BP27" s="15">
        <f t="shared" si="25"/>
        <v>2037.5098536000003</v>
      </c>
      <c r="BQ27" s="15">
        <f t="shared" si="26"/>
        <v>13703.098853600002</v>
      </c>
      <c r="BR27" s="15">
        <v>430</v>
      </c>
      <c r="BS27" s="33"/>
      <c r="BT27" s="15">
        <f t="shared" si="80"/>
        <v>71739.055</v>
      </c>
      <c r="BU27" s="15">
        <f t="shared" si="27"/>
        <v>12529.931532</v>
      </c>
      <c r="BV27" s="15">
        <f t="shared" si="28"/>
        <v>84268.986532</v>
      </c>
      <c r="BW27" s="15">
        <v>2645</v>
      </c>
      <c r="BX27" s="33"/>
      <c r="BY27" s="15">
        <f t="shared" si="81"/>
        <v>481931.57149999996</v>
      </c>
      <c r="BZ27" s="15">
        <f t="shared" si="29"/>
        <v>84174.0889116</v>
      </c>
      <c r="CA27" s="15">
        <f t="shared" si="30"/>
        <v>566105.6604116</v>
      </c>
      <c r="CB27" s="15">
        <v>17771</v>
      </c>
      <c r="CC27" s="33"/>
      <c r="CD27" s="15">
        <f t="shared" si="82"/>
        <v>69532.288</v>
      </c>
      <c r="CE27" s="15">
        <f t="shared" si="31"/>
        <v>12144.4979712</v>
      </c>
      <c r="CF27" s="15">
        <f t="shared" si="32"/>
        <v>81676.7859712</v>
      </c>
      <c r="CG27" s="15">
        <v>2564</v>
      </c>
      <c r="CH27" s="33"/>
      <c r="CI27" s="15">
        <f t="shared" si="83"/>
        <v>142074.698</v>
      </c>
      <c r="CJ27" s="15">
        <f t="shared" si="33"/>
        <v>24814.7433552</v>
      </c>
      <c r="CK27" s="15">
        <f t="shared" si="34"/>
        <v>166889.44135520002</v>
      </c>
      <c r="CL27" s="15">
        <v>5239</v>
      </c>
      <c r="CM27" s="33"/>
      <c r="CN27" s="15">
        <f t="shared" si="84"/>
        <v>23041.533</v>
      </c>
      <c r="CO27" s="15">
        <f t="shared" si="35"/>
        <v>4024.4303592</v>
      </c>
      <c r="CP27" s="15">
        <f t="shared" si="36"/>
        <v>27065.9633592</v>
      </c>
      <c r="CQ27" s="15">
        <v>850</v>
      </c>
      <c r="CR27" s="33"/>
      <c r="CS27" s="15">
        <f t="shared" si="85"/>
        <v>118198.11299999998</v>
      </c>
      <c r="CT27" s="15">
        <f t="shared" si="37"/>
        <v>20644.4629512</v>
      </c>
      <c r="CU27" s="15">
        <f t="shared" si="38"/>
        <v>138842.57595119998</v>
      </c>
      <c r="CV27" s="15">
        <v>4359</v>
      </c>
      <c r="CW27" s="33"/>
      <c r="CX27" s="15">
        <f t="shared" si="86"/>
        <v>1056.3845</v>
      </c>
      <c r="CY27" s="15">
        <f t="shared" si="39"/>
        <v>184.5079428</v>
      </c>
      <c r="CZ27" s="15">
        <f t="shared" si="40"/>
        <v>1240.8924427999998</v>
      </c>
      <c r="DA27" s="15">
        <v>39</v>
      </c>
      <c r="DB27" s="33"/>
      <c r="DC27" s="15">
        <f t="shared" si="87"/>
        <v>1390.296</v>
      </c>
      <c r="DD27" s="15">
        <f t="shared" si="41"/>
        <v>242.82887040000003</v>
      </c>
      <c r="DE27" s="15">
        <f t="shared" si="42"/>
        <v>1633.1248704</v>
      </c>
      <c r="DF27" s="15">
        <v>51</v>
      </c>
      <c r="DG27" s="33"/>
      <c r="DH27" s="15">
        <f t="shared" si="88"/>
        <v>70054.1955</v>
      </c>
      <c r="DI27" s="15">
        <f t="shared" si="43"/>
        <v>12235.6542492</v>
      </c>
      <c r="DJ27" s="15">
        <f t="shared" si="44"/>
        <v>82289.8497492</v>
      </c>
      <c r="DK27" s="15">
        <v>2583</v>
      </c>
      <c r="DL27" s="33"/>
      <c r="DM27" s="15">
        <f t="shared" si="89"/>
        <v>1333.46</v>
      </c>
      <c r="DN27" s="15">
        <f t="shared" si="45"/>
        <v>232.90190400000003</v>
      </c>
      <c r="DO27" s="15">
        <f t="shared" si="46"/>
        <v>1566.361904</v>
      </c>
      <c r="DP27" s="15">
        <v>49</v>
      </c>
      <c r="DQ27" s="33"/>
      <c r="DR27" s="15">
        <f t="shared" si="90"/>
        <v>19924.843500000003</v>
      </c>
      <c r="DS27" s="15">
        <f t="shared" si="47"/>
        <v>3480.0698844000003</v>
      </c>
      <c r="DT27" s="15">
        <f t="shared" si="48"/>
        <v>23404.913384400003</v>
      </c>
      <c r="DU27" s="15">
        <v>735</v>
      </c>
      <c r="DV27" s="33"/>
      <c r="DW27" s="15">
        <f t="shared" si="91"/>
        <v>13841.2055</v>
      </c>
      <c r="DX27" s="15">
        <f t="shared" si="49"/>
        <v>2417.5026731999997</v>
      </c>
      <c r="DY27" s="15">
        <f t="shared" si="50"/>
        <v>16258.7081732</v>
      </c>
      <c r="DZ27" s="15">
        <v>510</v>
      </c>
      <c r="EA27" s="33"/>
      <c r="EB27" s="15">
        <f t="shared" si="92"/>
        <v>5403.245500000001</v>
      </c>
      <c r="EC27" s="15">
        <f t="shared" si="51"/>
        <v>943.7299692</v>
      </c>
      <c r="ED27" s="15">
        <f t="shared" si="52"/>
        <v>6346.975469200001</v>
      </c>
      <c r="EE27" s="15">
        <v>199</v>
      </c>
      <c r="EF27" s="33"/>
      <c r="EG27" s="15">
        <f t="shared" si="93"/>
        <v>60722.1615</v>
      </c>
      <c r="EH27" s="15">
        <f t="shared" si="53"/>
        <v>10605.722727600001</v>
      </c>
      <c r="EI27" s="15">
        <f t="shared" si="54"/>
        <v>71327.8842276</v>
      </c>
      <c r="EJ27" s="15">
        <v>2239</v>
      </c>
      <c r="EK27" s="33"/>
      <c r="EL27" s="15">
        <f t="shared" si="94"/>
        <v>136855.62300000002</v>
      </c>
      <c r="EM27" s="15">
        <f t="shared" si="55"/>
        <v>23903.180575200004</v>
      </c>
      <c r="EN27" s="15">
        <f t="shared" si="56"/>
        <v>160758.80357520003</v>
      </c>
      <c r="EO27" s="15">
        <v>5047</v>
      </c>
      <c r="EP27" s="33"/>
      <c r="EQ27" s="15">
        <f t="shared" si="95"/>
        <v>17464.500500000002</v>
      </c>
      <c r="ER27" s="15">
        <f t="shared" si="57"/>
        <v>3050.3467812</v>
      </c>
      <c r="ES27" s="15">
        <f t="shared" si="58"/>
        <v>20514.847281200004</v>
      </c>
      <c r="ET27" s="15">
        <v>644</v>
      </c>
      <c r="EU27" s="33"/>
      <c r="EV27" s="15">
        <f t="shared" si="96"/>
        <v>27733.782000000003</v>
      </c>
      <c r="EW27" s="15">
        <f t="shared" si="59"/>
        <v>4843.977796800001</v>
      </c>
      <c r="EX27" s="15">
        <f t="shared" si="60"/>
        <v>32577.759796800005</v>
      </c>
      <c r="EY27" s="15">
        <v>1023</v>
      </c>
      <c r="EZ27" s="33"/>
      <c r="FA27" s="15">
        <f t="shared" si="97"/>
        <v>128530.7885</v>
      </c>
      <c r="FB27" s="15">
        <f t="shared" si="61"/>
        <v>22449.166352400003</v>
      </c>
      <c r="FC27" s="15">
        <f t="shared" si="62"/>
        <v>150979.9548524</v>
      </c>
      <c r="FD27" s="15">
        <v>4740</v>
      </c>
      <c r="FE27" s="33"/>
      <c r="FF27" s="15">
        <f t="shared" si="98"/>
        <v>6821.4130000000005</v>
      </c>
      <c r="FG27" s="15">
        <f t="shared" si="63"/>
        <v>1191.4268712</v>
      </c>
      <c r="FH27" s="15">
        <f t="shared" si="64"/>
        <v>8012.839871200001</v>
      </c>
      <c r="FI27" s="15">
        <v>252</v>
      </c>
      <c r="FJ27" s="33"/>
      <c r="FK27" s="15">
        <f t="shared" si="99"/>
        <v>39109.726</v>
      </c>
      <c r="FL27" s="15">
        <f t="shared" si="65"/>
        <v>6830.898302400001</v>
      </c>
      <c r="FM27" s="15">
        <f t="shared" si="66"/>
        <v>45940.6243024</v>
      </c>
      <c r="FN27" s="15">
        <v>1442</v>
      </c>
      <c r="FO27" s="33"/>
    </row>
    <row r="28" spans="1:171" s="35" customFormat="1" ht="12.75">
      <c r="A28" s="34">
        <v>43374</v>
      </c>
      <c r="C28" s="22"/>
      <c r="D28" s="22">
        <v>845216</v>
      </c>
      <c r="E28" s="16">
        <f t="shared" si="0"/>
        <v>845216</v>
      </c>
      <c r="F28" s="33"/>
      <c r="G28" s="15"/>
      <c r="H28" s="15">
        <f t="shared" si="1"/>
        <v>55906.98136319999</v>
      </c>
      <c r="I28" s="33">
        <f t="shared" si="2"/>
        <v>55906.98136319999</v>
      </c>
      <c r="J28" s="33">
        <v>13330</v>
      </c>
      <c r="K28" s="33"/>
      <c r="L28" s="15"/>
      <c r="M28" s="15">
        <f t="shared" si="3"/>
        <v>954.7559936000001</v>
      </c>
      <c r="N28" s="15">
        <f t="shared" si="4"/>
        <v>954.7559936000001</v>
      </c>
      <c r="O28" s="15">
        <v>228</v>
      </c>
      <c r="P28" s="33"/>
      <c r="Q28" s="33"/>
      <c r="R28" s="15">
        <f t="shared" si="5"/>
        <v>4310.094470399999</v>
      </c>
      <c r="S28" s="15">
        <f t="shared" si="6"/>
        <v>4310.094470399999</v>
      </c>
      <c r="T28" s="15">
        <v>1028</v>
      </c>
      <c r="U28" s="33"/>
      <c r="V28" s="15"/>
      <c r="W28" s="15">
        <f t="shared" si="7"/>
        <v>74953.50131519999</v>
      </c>
      <c r="X28" s="15">
        <f t="shared" si="8"/>
        <v>74953.50131519999</v>
      </c>
      <c r="Y28" s="15">
        <v>17871</v>
      </c>
      <c r="Z28" s="33"/>
      <c r="AA28" s="15"/>
      <c r="AB28" s="15">
        <f t="shared" si="9"/>
        <v>907.9310271999999</v>
      </c>
      <c r="AC28" s="15">
        <f t="shared" si="10"/>
        <v>907.9310271999999</v>
      </c>
      <c r="AD28" s="15">
        <v>216</v>
      </c>
      <c r="AE28" s="15"/>
      <c r="AF28" s="15"/>
      <c r="AG28" s="15">
        <f t="shared" si="11"/>
        <v>765.6811744</v>
      </c>
      <c r="AH28" s="15">
        <f t="shared" si="12"/>
        <v>765.6811744</v>
      </c>
      <c r="AI28" s="15">
        <v>183</v>
      </c>
      <c r="AJ28" s="33"/>
      <c r="AK28" s="15"/>
      <c r="AL28" s="15">
        <f t="shared" si="13"/>
        <v>31413.9740288</v>
      </c>
      <c r="AM28" s="15">
        <f t="shared" si="14"/>
        <v>31413.9740288</v>
      </c>
      <c r="AN28" s="15">
        <v>7490</v>
      </c>
      <c r="AO28" s="33"/>
      <c r="AP28" s="15"/>
      <c r="AQ28" s="15">
        <f t="shared" si="15"/>
        <v>64458.116156799995</v>
      </c>
      <c r="AR28" s="15">
        <f t="shared" si="16"/>
        <v>64458.116156799995</v>
      </c>
      <c r="AS28" s="15">
        <v>15369</v>
      </c>
      <c r="AT28" s="33"/>
      <c r="AU28" s="15"/>
      <c r="AV28" s="15">
        <f t="shared" si="17"/>
        <v>744.1281663999999</v>
      </c>
      <c r="AW28" s="15">
        <f t="shared" si="18"/>
        <v>744.1281663999999</v>
      </c>
      <c r="AX28" s="15">
        <v>177</v>
      </c>
      <c r="AY28" s="33"/>
      <c r="AZ28" s="15"/>
      <c r="BA28" s="15">
        <f t="shared" si="19"/>
        <v>499.8607424</v>
      </c>
      <c r="BB28" s="15">
        <f t="shared" si="20"/>
        <v>499.8607424</v>
      </c>
      <c r="BC28" s="15">
        <v>119</v>
      </c>
      <c r="BD28" s="33"/>
      <c r="BE28" s="15"/>
      <c r="BF28" s="15">
        <f t="shared" si="21"/>
        <v>-74.4635296</v>
      </c>
      <c r="BG28" s="15">
        <f t="shared" si="22"/>
        <v>-74.4635296</v>
      </c>
      <c r="BH28" s="15">
        <v>-18</v>
      </c>
      <c r="BI28" s="15"/>
      <c r="BJ28" s="15"/>
      <c r="BK28" s="15">
        <f t="shared" si="23"/>
        <v>-48.5153984</v>
      </c>
      <c r="BL28" s="15">
        <f t="shared" si="24"/>
        <v>-48.5153984</v>
      </c>
      <c r="BM28" s="15">
        <v>-12</v>
      </c>
      <c r="BN28" s="33"/>
      <c r="BO28" s="15"/>
      <c r="BP28" s="15">
        <f t="shared" si="25"/>
        <v>1804.1980736</v>
      </c>
      <c r="BQ28" s="15">
        <f t="shared" si="26"/>
        <v>1804.1980736</v>
      </c>
      <c r="BR28" s="15">
        <v>430</v>
      </c>
      <c r="BS28" s="33"/>
      <c r="BT28" s="15"/>
      <c r="BU28" s="15">
        <f t="shared" si="27"/>
        <v>11095.150432</v>
      </c>
      <c r="BV28" s="15">
        <f t="shared" si="28"/>
        <v>11095.150432</v>
      </c>
      <c r="BW28" s="15">
        <v>2645</v>
      </c>
      <c r="BX28" s="33"/>
      <c r="BY28" s="15"/>
      <c r="BZ28" s="15">
        <f t="shared" si="29"/>
        <v>74535.4574816</v>
      </c>
      <c r="CA28" s="15">
        <f t="shared" si="30"/>
        <v>74535.4574816</v>
      </c>
      <c r="CB28" s="15">
        <v>17771</v>
      </c>
      <c r="CC28" s="33"/>
      <c r="CD28" s="15"/>
      <c r="CE28" s="15">
        <f t="shared" si="31"/>
        <v>10753.8522112</v>
      </c>
      <c r="CF28" s="15">
        <f t="shared" si="32"/>
        <v>10753.8522112</v>
      </c>
      <c r="CG28" s="15">
        <v>2564</v>
      </c>
      <c r="CH28" s="33"/>
      <c r="CI28" s="15"/>
      <c r="CJ28" s="15">
        <f t="shared" si="33"/>
        <v>21973.2493952</v>
      </c>
      <c r="CK28" s="15">
        <f t="shared" si="34"/>
        <v>21973.2493952</v>
      </c>
      <c r="CL28" s="15">
        <v>5239</v>
      </c>
      <c r="CM28" s="33"/>
      <c r="CN28" s="15"/>
      <c r="CO28" s="15">
        <f t="shared" si="35"/>
        <v>3563.5996992</v>
      </c>
      <c r="CP28" s="15">
        <f t="shared" si="36"/>
        <v>3563.5996992</v>
      </c>
      <c r="CQ28" s="15">
        <v>850</v>
      </c>
      <c r="CR28" s="33"/>
      <c r="CS28" s="15"/>
      <c r="CT28" s="15">
        <f t="shared" si="37"/>
        <v>18280.5006912</v>
      </c>
      <c r="CU28" s="15">
        <f t="shared" si="38"/>
        <v>18280.5006912</v>
      </c>
      <c r="CV28" s="15">
        <v>4359</v>
      </c>
      <c r="CW28" s="33"/>
      <c r="CX28" s="15"/>
      <c r="CY28" s="15">
        <f t="shared" si="39"/>
        <v>163.3802528</v>
      </c>
      <c r="CZ28" s="15">
        <f t="shared" si="40"/>
        <v>163.3802528</v>
      </c>
      <c r="DA28" s="15">
        <v>39</v>
      </c>
      <c r="DB28" s="33"/>
      <c r="DC28" s="15"/>
      <c r="DD28" s="15">
        <f t="shared" si="41"/>
        <v>215.0229504</v>
      </c>
      <c r="DE28" s="15">
        <f t="shared" si="42"/>
        <v>215.0229504</v>
      </c>
      <c r="DF28" s="15">
        <v>51</v>
      </c>
      <c r="DG28" s="33"/>
      <c r="DH28" s="15"/>
      <c r="DI28" s="15">
        <f t="shared" si="43"/>
        <v>10834.570339200001</v>
      </c>
      <c r="DJ28" s="15">
        <f t="shared" si="44"/>
        <v>10834.570339200001</v>
      </c>
      <c r="DK28" s="15">
        <v>2583</v>
      </c>
      <c r="DL28" s="33"/>
      <c r="DM28" s="15"/>
      <c r="DN28" s="15">
        <f t="shared" si="45"/>
        <v>206.232704</v>
      </c>
      <c r="DO28" s="15">
        <f t="shared" si="46"/>
        <v>206.232704</v>
      </c>
      <c r="DP28" s="15">
        <v>49</v>
      </c>
      <c r="DQ28" s="33"/>
      <c r="DR28" s="15"/>
      <c r="DS28" s="15">
        <f t="shared" si="47"/>
        <v>3081.5730144</v>
      </c>
      <c r="DT28" s="15">
        <f t="shared" si="48"/>
        <v>3081.5730144</v>
      </c>
      <c r="DU28" s="15">
        <v>735</v>
      </c>
      <c r="DV28" s="33"/>
      <c r="DW28" s="15"/>
      <c r="DX28" s="15">
        <f t="shared" si="49"/>
        <v>2140.6785632</v>
      </c>
      <c r="DY28" s="15">
        <f t="shared" si="50"/>
        <v>2140.6785632</v>
      </c>
      <c r="DZ28" s="15">
        <v>510</v>
      </c>
      <c r="EA28" s="33"/>
      <c r="EB28" s="15"/>
      <c r="EC28" s="15">
        <f t="shared" si="51"/>
        <v>835.6650592</v>
      </c>
      <c r="ED28" s="15">
        <f t="shared" si="52"/>
        <v>835.6650592</v>
      </c>
      <c r="EE28" s="15">
        <v>199</v>
      </c>
      <c r="EF28" s="33"/>
      <c r="EG28" s="15"/>
      <c r="EH28" s="15">
        <f t="shared" si="53"/>
        <v>9391.2794976</v>
      </c>
      <c r="EI28" s="15">
        <f t="shared" si="54"/>
        <v>9391.2794976</v>
      </c>
      <c r="EJ28" s="15">
        <v>2239</v>
      </c>
      <c r="EK28" s="33"/>
      <c r="EL28" s="15"/>
      <c r="EM28" s="15">
        <f t="shared" si="55"/>
        <v>21166.0681152</v>
      </c>
      <c r="EN28" s="15">
        <f t="shared" si="56"/>
        <v>21166.0681152</v>
      </c>
      <c r="EO28" s="15">
        <v>5047</v>
      </c>
      <c r="EP28" s="33"/>
      <c r="EQ28" s="15"/>
      <c r="ER28" s="15">
        <f t="shared" si="57"/>
        <v>2701.0567712</v>
      </c>
      <c r="ES28" s="15">
        <f t="shared" si="58"/>
        <v>2701.0567712</v>
      </c>
      <c r="ET28" s="15">
        <v>644</v>
      </c>
      <c r="EU28" s="33"/>
      <c r="EV28" s="15"/>
      <c r="EW28" s="15">
        <f t="shared" si="59"/>
        <v>4289.3021568</v>
      </c>
      <c r="EX28" s="15">
        <f t="shared" si="60"/>
        <v>4289.3021568</v>
      </c>
      <c r="EY28" s="15">
        <v>1023</v>
      </c>
      <c r="EZ28" s="33"/>
      <c r="FA28" s="15"/>
      <c r="FB28" s="15">
        <f t="shared" si="61"/>
        <v>19878.5505824</v>
      </c>
      <c r="FC28" s="15">
        <f t="shared" si="62"/>
        <v>19878.5505824</v>
      </c>
      <c r="FD28" s="15">
        <v>4740</v>
      </c>
      <c r="FE28" s="33"/>
      <c r="FF28" s="15"/>
      <c r="FG28" s="15">
        <f t="shared" si="63"/>
        <v>1054.9986112</v>
      </c>
      <c r="FH28" s="15">
        <f t="shared" si="64"/>
        <v>1054.9986112</v>
      </c>
      <c r="FI28" s="15">
        <v>252</v>
      </c>
      <c r="FJ28" s="33"/>
      <c r="FK28" s="15"/>
      <c r="FL28" s="15">
        <f t="shared" si="65"/>
        <v>6048.7037824</v>
      </c>
      <c r="FM28" s="15">
        <f t="shared" si="66"/>
        <v>6048.7037824</v>
      </c>
      <c r="FN28" s="15">
        <v>1442</v>
      </c>
      <c r="FO28" s="33"/>
    </row>
    <row r="29" spans="1:171" s="35" customFormat="1" ht="12.75">
      <c r="A29" s="34">
        <v>43556</v>
      </c>
      <c r="C29" s="22">
        <v>5680000</v>
      </c>
      <c r="D29" s="22">
        <v>845216</v>
      </c>
      <c r="E29" s="16">
        <f t="shared" si="0"/>
        <v>6525216</v>
      </c>
      <c r="F29" s="33"/>
      <c r="G29" s="15">
        <f t="shared" si="67"/>
        <v>375704.73600000003</v>
      </c>
      <c r="H29" s="15">
        <f t="shared" si="1"/>
        <v>55906.98136319999</v>
      </c>
      <c r="I29" s="33">
        <f t="shared" si="2"/>
        <v>431611.71736320003</v>
      </c>
      <c r="J29" s="33">
        <v>13330</v>
      </c>
      <c r="K29" s="33"/>
      <c r="L29" s="15">
        <f t="shared" si="68"/>
        <v>6416.128000000001</v>
      </c>
      <c r="M29" s="15">
        <f t="shared" si="3"/>
        <v>954.7559936000001</v>
      </c>
      <c r="N29" s="15">
        <f t="shared" si="4"/>
        <v>7370.8839936</v>
      </c>
      <c r="O29" s="15">
        <v>228</v>
      </c>
      <c r="P29" s="33"/>
      <c r="Q29" s="33">
        <f t="shared" si="69"/>
        <v>28964.591999999997</v>
      </c>
      <c r="R29" s="15">
        <f t="shared" si="5"/>
        <v>4310.094470399999</v>
      </c>
      <c r="S29" s="15">
        <f t="shared" si="6"/>
        <v>33274.686470399996</v>
      </c>
      <c r="T29" s="15">
        <v>1028</v>
      </c>
      <c r="U29" s="33"/>
      <c r="V29" s="15">
        <f t="shared" si="70"/>
        <v>503700.696</v>
      </c>
      <c r="W29" s="15">
        <f t="shared" si="7"/>
        <v>74953.50131519999</v>
      </c>
      <c r="X29" s="15">
        <f t="shared" si="8"/>
        <v>578654.1973152</v>
      </c>
      <c r="Y29" s="15">
        <v>17871</v>
      </c>
      <c r="Z29" s="33"/>
      <c r="AA29" s="15">
        <f t="shared" si="71"/>
        <v>6101.456</v>
      </c>
      <c r="AB29" s="15">
        <f t="shared" si="9"/>
        <v>907.9310271999999</v>
      </c>
      <c r="AC29" s="15">
        <f t="shared" si="10"/>
        <v>7009.3870272</v>
      </c>
      <c r="AD29" s="15">
        <v>216</v>
      </c>
      <c r="AE29" s="15"/>
      <c r="AF29" s="15">
        <f t="shared" si="72"/>
        <v>5145.512</v>
      </c>
      <c r="AG29" s="15">
        <f t="shared" si="11"/>
        <v>765.6811744</v>
      </c>
      <c r="AH29" s="15">
        <f t="shared" si="12"/>
        <v>5911.193174399999</v>
      </c>
      <c r="AI29" s="15">
        <v>183</v>
      </c>
      <c r="AJ29" s="33"/>
      <c r="AK29" s="15">
        <f t="shared" si="73"/>
        <v>211107.42400000003</v>
      </c>
      <c r="AL29" s="15">
        <f t="shared" si="13"/>
        <v>31413.9740288</v>
      </c>
      <c r="AM29" s="15">
        <f t="shared" si="14"/>
        <v>242521.39802880003</v>
      </c>
      <c r="AN29" s="15">
        <v>7490</v>
      </c>
      <c r="AO29" s="33"/>
      <c r="AP29" s="15">
        <f t="shared" si="74"/>
        <v>433169.864</v>
      </c>
      <c r="AQ29" s="15">
        <f t="shared" si="15"/>
        <v>64458.116156799995</v>
      </c>
      <c r="AR29" s="15">
        <f t="shared" si="16"/>
        <v>497627.9801568</v>
      </c>
      <c r="AS29" s="15">
        <v>15369</v>
      </c>
      <c r="AT29" s="33"/>
      <c r="AU29" s="15">
        <f t="shared" si="75"/>
        <v>5000.672</v>
      </c>
      <c r="AV29" s="15">
        <f t="shared" si="17"/>
        <v>744.1281663999999</v>
      </c>
      <c r="AW29" s="15">
        <f t="shared" si="18"/>
        <v>5744.800166399999</v>
      </c>
      <c r="AX29" s="15">
        <v>177</v>
      </c>
      <c r="AY29" s="33"/>
      <c r="AZ29" s="15">
        <f t="shared" si="76"/>
        <v>3359.152</v>
      </c>
      <c r="BA29" s="15">
        <f t="shared" si="19"/>
        <v>499.8607424</v>
      </c>
      <c r="BB29" s="15">
        <f t="shared" si="20"/>
        <v>3859.0127424</v>
      </c>
      <c r="BC29" s="15">
        <v>119</v>
      </c>
      <c r="BD29" s="33"/>
      <c r="BE29" s="15">
        <f t="shared" si="77"/>
        <v>-500.408</v>
      </c>
      <c r="BF29" s="15">
        <f t="shared" si="21"/>
        <v>-74.4635296</v>
      </c>
      <c r="BG29" s="15">
        <f t="shared" si="22"/>
        <v>-574.8715296</v>
      </c>
      <c r="BH29" s="15">
        <v>-18</v>
      </c>
      <c r="BI29" s="15"/>
      <c r="BJ29" s="15">
        <f t="shared" si="78"/>
        <v>-326.032</v>
      </c>
      <c r="BK29" s="15">
        <f t="shared" si="23"/>
        <v>-48.5153984</v>
      </c>
      <c r="BL29" s="15">
        <f t="shared" si="24"/>
        <v>-374.54739839999996</v>
      </c>
      <c r="BM29" s="15">
        <v>-12</v>
      </c>
      <c r="BN29" s="33"/>
      <c r="BO29" s="15">
        <f t="shared" si="79"/>
        <v>12124.528</v>
      </c>
      <c r="BP29" s="15">
        <f t="shared" si="25"/>
        <v>1804.1980736</v>
      </c>
      <c r="BQ29" s="15">
        <f t="shared" si="26"/>
        <v>13928.7260736</v>
      </c>
      <c r="BR29" s="15">
        <v>430</v>
      </c>
      <c r="BS29" s="33"/>
      <c r="BT29" s="15">
        <f t="shared" si="80"/>
        <v>74561.36</v>
      </c>
      <c r="BU29" s="15">
        <f t="shared" si="27"/>
        <v>11095.150432</v>
      </c>
      <c r="BV29" s="15">
        <f t="shared" si="28"/>
        <v>85656.510432</v>
      </c>
      <c r="BW29" s="15">
        <v>2645</v>
      </c>
      <c r="BX29" s="33"/>
      <c r="BY29" s="15">
        <f t="shared" si="81"/>
        <v>500891.36799999996</v>
      </c>
      <c r="BZ29" s="15">
        <f t="shared" si="29"/>
        <v>74535.4574816</v>
      </c>
      <c r="CA29" s="15">
        <f t="shared" si="30"/>
        <v>575426.8254815999</v>
      </c>
      <c r="CB29" s="15">
        <v>17771</v>
      </c>
      <c r="CC29" s="33"/>
      <c r="CD29" s="15">
        <f t="shared" si="82"/>
        <v>72267.776</v>
      </c>
      <c r="CE29" s="15">
        <f t="shared" si="31"/>
        <v>10753.8522112</v>
      </c>
      <c r="CF29" s="15">
        <f t="shared" si="32"/>
        <v>83021.6282112</v>
      </c>
      <c r="CG29" s="15">
        <v>2564</v>
      </c>
      <c r="CH29" s="33"/>
      <c r="CI29" s="15">
        <f t="shared" si="83"/>
        <v>147664.096</v>
      </c>
      <c r="CJ29" s="15">
        <f t="shared" si="33"/>
        <v>21973.2493952</v>
      </c>
      <c r="CK29" s="15">
        <f t="shared" si="34"/>
        <v>169637.34539519998</v>
      </c>
      <c r="CL29" s="15">
        <v>5239</v>
      </c>
      <c r="CM29" s="33"/>
      <c r="CN29" s="15">
        <f t="shared" si="84"/>
        <v>23948.016</v>
      </c>
      <c r="CO29" s="15">
        <f t="shared" si="35"/>
        <v>3563.5996992</v>
      </c>
      <c r="CP29" s="15">
        <f t="shared" si="36"/>
        <v>27511.6156992</v>
      </c>
      <c r="CQ29" s="15">
        <v>850</v>
      </c>
      <c r="CR29" s="33"/>
      <c r="CS29" s="15">
        <f t="shared" si="85"/>
        <v>122848.17599999999</v>
      </c>
      <c r="CT29" s="15">
        <f t="shared" si="37"/>
        <v>18280.5006912</v>
      </c>
      <c r="CU29" s="15">
        <f t="shared" si="38"/>
        <v>141128.6766912</v>
      </c>
      <c r="CV29" s="15">
        <v>4359</v>
      </c>
      <c r="CW29" s="33"/>
      <c r="CX29" s="15">
        <f t="shared" si="86"/>
        <v>1097.944</v>
      </c>
      <c r="CY29" s="15">
        <f t="shared" si="39"/>
        <v>163.3802528</v>
      </c>
      <c r="CZ29" s="15">
        <f t="shared" si="40"/>
        <v>1261.3242528</v>
      </c>
      <c r="DA29" s="15">
        <v>39</v>
      </c>
      <c r="DB29" s="33"/>
      <c r="DC29" s="15">
        <f t="shared" si="87"/>
        <v>1444.9920000000002</v>
      </c>
      <c r="DD29" s="15">
        <f t="shared" si="41"/>
        <v>215.0229504</v>
      </c>
      <c r="DE29" s="15">
        <f t="shared" si="42"/>
        <v>1660.0149504</v>
      </c>
      <c r="DF29" s="15">
        <v>51</v>
      </c>
      <c r="DG29" s="33"/>
      <c r="DH29" s="15">
        <f t="shared" si="88"/>
        <v>72810.216</v>
      </c>
      <c r="DI29" s="15">
        <f t="shared" si="43"/>
        <v>10834.570339200001</v>
      </c>
      <c r="DJ29" s="15">
        <f t="shared" si="44"/>
        <v>83644.7863392</v>
      </c>
      <c r="DK29" s="15">
        <v>2583</v>
      </c>
      <c r="DL29" s="33"/>
      <c r="DM29" s="15">
        <f t="shared" si="89"/>
        <v>1385.92</v>
      </c>
      <c r="DN29" s="15">
        <f t="shared" si="45"/>
        <v>206.232704</v>
      </c>
      <c r="DO29" s="15">
        <f t="shared" si="46"/>
        <v>1592.152704</v>
      </c>
      <c r="DP29" s="15">
        <v>49</v>
      </c>
      <c r="DQ29" s="33"/>
      <c r="DR29" s="15">
        <f t="shared" si="90"/>
        <v>20708.712000000003</v>
      </c>
      <c r="DS29" s="15">
        <f t="shared" si="47"/>
        <v>3081.5730144</v>
      </c>
      <c r="DT29" s="15">
        <f t="shared" si="48"/>
        <v>23790.285014400004</v>
      </c>
      <c r="DU29" s="15">
        <v>735</v>
      </c>
      <c r="DV29" s="33"/>
      <c r="DW29" s="15">
        <f t="shared" si="91"/>
        <v>14385.735999999999</v>
      </c>
      <c r="DX29" s="15">
        <f t="shared" si="49"/>
        <v>2140.6785632</v>
      </c>
      <c r="DY29" s="15">
        <f t="shared" si="50"/>
        <v>16526.4145632</v>
      </c>
      <c r="DZ29" s="15">
        <v>510</v>
      </c>
      <c r="EA29" s="33"/>
      <c r="EB29" s="15">
        <f t="shared" si="92"/>
        <v>5615.816</v>
      </c>
      <c r="EC29" s="15">
        <f t="shared" si="51"/>
        <v>835.6650592</v>
      </c>
      <c r="ED29" s="15">
        <f t="shared" si="52"/>
        <v>6451.481059199999</v>
      </c>
      <c r="EE29" s="15">
        <v>199</v>
      </c>
      <c r="EF29" s="33"/>
      <c r="EG29" s="15">
        <f t="shared" si="93"/>
        <v>63111.047999999995</v>
      </c>
      <c r="EH29" s="15">
        <f t="shared" si="53"/>
        <v>9391.2794976</v>
      </c>
      <c r="EI29" s="15">
        <f t="shared" si="54"/>
        <v>72502.3274976</v>
      </c>
      <c r="EJ29" s="15">
        <v>2239</v>
      </c>
      <c r="EK29" s="33"/>
      <c r="EL29" s="15">
        <f t="shared" si="94"/>
        <v>142239.69600000003</v>
      </c>
      <c r="EM29" s="15">
        <f t="shared" si="55"/>
        <v>21166.0681152</v>
      </c>
      <c r="EN29" s="15">
        <f t="shared" si="56"/>
        <v>163405.76411520003</v>
      </c>
      <c r="EO29" s="15">
        <v>5047</v>
      </c>
      <c r="EP29" s="33"/>
      <c r="EQ29" s="15">
        <f t="shared" si="95"/>
        <v>18151.576</v>
      </c>
      <c r="ER29" s="15">
        <f t="shared" si="57"/>
        <v>2701.0567712</v>
      </c>
      <c r="ES29" s="15">
        <f t="shared" si="58"/>
        <v>20852.632771200002</v>
      </c>
      <c r="ET29" s="15">
        <v>644</v>
      </c>
      <c r="EU29" s="33"/>
      <c r="EV29" s="15">
        <f t="shared" si="96"/>
        <v>28824.864000000005</v>
      </c>
      <c r="EW29" s="15">
        <f t="shared" si="59"/>
        <v>4289.3021568</v>
      </c>
      <c r="EX29" s="15">
        <f t="shared" si="60"/>
        <v>33114.166156800005</v>
      </c>
      <c r="EY29" s="15">
        <v>1023</v>
      </c>
      <c r="EZ29" s="33"/>
      <c r="FA29" s="15">
        <f t="shared" si="97"/>
        <v>133587.352</v>
      </c>
      <c r="FB29" s="15">
        <f t="shared" si="61"/>
        <v>19878.5505824</v>
      </c>
      <c r="FC29" s="15">
        <f t="shared" si="62"/>
        <v>153465.9025824</v>
      </c>
      <c r="FD29" s="15">
        <v>4740</v>
      </c>
      <c r="FE29" s="33"/>
      <c r="FF29" s="15">
        <f t="shared" si="98"/>
        <v>7089.776</v>
      </c>
      <c r="FG29" s="15">
        <f t="shared" si="63"/>
        <v>1054.9986112</v>
      </c>
      <c r="FH29" s="15">
        <f t="shared" si="64"/>
        <v>8144.7746111999995</v>
      </c>
      <c r="FI29" s="15">
        <v>252</v>
      </c>
      <c r="FJ29" s="33"/>
      <c r="FK29" s="15">
        <f t="shared" si="99"/>
        <v>40648.352</v>
      </c>
      <c r="FL29" s="15">
        <f t="shared" si="65"/>
        <v>6048.7037824</v>
      </c>
      <c r="FM29" s="15">
        <f t="shared" si="66"/>
        <v>46697.0557824</v>
      </c>
      <c r="FN29" s="15">
        <v>1442</v>
      </c>
      <c r="FO29" s="33"/>
    </row>
    <row r="30" spans="1:171" s="35" customFormat="1" ht="12.75">
      <c r="A30" s="34">
        <v>43739</v>
      </c>
      <c r="C30" s="22"/>
      <c r="D30" s="22">
        <v>703216</v>
      </c>
      <c r="E30" s="16">
        <f t="shared" si="0"/>
        <v>703216</v>
      </c>
      <c r="F30" s="33"/>
      <c r="G30" s="15"/>
      <c r="H30" s="15">
        <f t="shared" si="1"/>
        <v>46514.362963199994</v>
      </c>
      <c r="I30" s="33">
        <f t="shared" si="2"/>
        <v>46514.362963199994</v>
      </c>
      <c r="J30" s="33">
        <v>13330</v>
      </c>
      <c r="K30" s="33"/>
      <c r="L30" s="15"/>
      <c r="M30" s="15">
        <f t="shared" si="3"/>
        <v>794.3527936</v>
      </c>
      <c r="N30" s="15">
        <f t="shared" si="4"/>
        <v>794.3527936</v>
      </c>
      <c r="O30" s="15">
        <v>228</v>
      </c>
      <c r="P30" s="33"/>
      <c r="Q30" s="33"/>
      <c r="R30" s="15">
        <f t="shared" si="5"/>
        <v>3585.9796703999996</v>
      </c>
      <c r="S30" s="15">
        <f t="shared" si="6"/>
        <v>3585.9796703999996</v>
      </c>
      <c r="T30" s="15">
        <v>1028</v>
      </c>
      <c r="U30" s="33"/>
      <c r="V30" s="15"/>
      <c r="W30" s="15">
        <f t="shared" si="7"/>
        <v>62360.9839152</v>
      </c>
      <c r="X30" s="15">
        <f t="shared" si="8"/>
        <v>62360.9839152</v>
      </c>
      <c r="Y30" s="15">
        <v>17871</v>
      </c>
      <c r="Z30" s="33"/>
      <c r="AA30" s="15"/>
      <c r="AB30" s="15">
        <f t="shared" si="9"/>
        <v>755.3946272</v>
      </c>
      <c r="AC30" s="15">
        <f t="shared" si="10"/>
        <v>755.3946272</v>
      </c>
      <c r="AD30" s="15">
        <v>216</v>
      </c>
      <c r="AE30" s="15"/>
      <c r="AF30" s="15"/>
      <c r="AG30" s="15">
        <f t="shared" si="11"/>
        <v>637.0433744000001</v>
      </c>
      <c r="AH30" s="15">
        <f t="shared" si="12"/>
        <v>637.0433744000001</v>
      </c>
      <c r="AI30" s="15">
        <v>183</v>
      </c>
      <c r="AJ30" s="33"/>
      <c r="AK30" s="15"/>
      <c r="AL30" s="15">
        <f t="shared" si="13"/>
        <v>26136.288428800002</v>
      </c>
      <c r="AM30" s="15">
        <f t="shared" si="14"/>
        <v>26136.288428800002</v>
      </c>
      <c r="AN30" s="15">
        <v>7490</v>
      </c>
      <c r="AO30" s="33"/>
      <c r="AP30" s="15"/>
      <c r="AQ30" s="15">
        <f t="shared" si="15"/>
        <v>53628.8695568</v>
      </c>
      <c r="AR30" s="15">
        <f t="shared" si="16"/>
        <v>53628.8695568</v>
      </c>
      <c r="AS30" s="15">
        <v>15369</v>
      </c>
      <c r="AT30" s="33"/>
      <c r="AU30" s="15"/>
      <c r="AV30" s="15">
        <f t="shared" si="17"/>
        <v>619.1113664</v>
      </c>
      <c r="AW30" s="15">
        <f t="shared" si="18"/>
        <v>619.1113664</v>
      </c>
      <c r="AX30" s="15">
        <v>177</v>
      </c>
      <c r="AY30" s="33"/>
      <c r="AZ30" s="15"/>
      <c r="BA30" s="15">
        <f t="shared" si="19"/>
        <v>415.88194239999996</v>
      </c>
      <c r="BB30" s="15">
        <f t="shared" si="20"/>
        <v>415.88194239999996</v>
      </c>
      <c r="BC30" s="15">
        <v>119</v>
      </c>
      <c r="BD30" s="33"/>
      <c r="BE30" s="15"/>
      <c r="BF30" s="15">
        <f t="shared" si="21"/>
        <v>-61.953329599999996</v>
      </c>
      <c r="BG30" s="15">
        <f t="shared" si="22"/>
        <v>-61.953329599999996</v>
      </c>
      <c r="BH30" s="15">
        <v>-18</v>
      </c>
      <c r="BI30" s="15"/>
      <c r="BJ30" s="15"/>
      <c r="BK30" s="15">
        <f t="shared" si="23"/>
        <v>-40.364598400000006</v>
      </c>
      <c r="BL30" s="15">
        <f t="shared" si="24"/>
        <v>-40.364598400000006</v>
      </c>
      <c r="BM30" s="15">
        <v>-12</v>
      </c>
      <c r="BN30" s="33"/>
      <c r="BO30" s="15"/>
      <c r="BP30" s="15">
        <f t="shared" si="25"/>
        <v>1501.0848736</v>
      </c>
      <c r="BQ30" s="15">
        <f t="shared" si="26"/>
        <v>1501.0848736</v>
      </c>
      <c r="BR30" s="15">
        <v>430</v>
      </c>
      <c r="BS30" s="33"/>
      <c r="BT30" s="15"/>
      <c r="BU30" s="15">
        <f t="shared" si="27"/>
        <v>9231.116431999999</v>
      </c>
      <c r="BV30" s="15">
        <f t="shared" si="28"/>
        <v>9231.116431999999</v>
      </c>
      <c r="BW30" s="15">
        <v>2645</v>
      </c>
      <c r="BX30" s="33"/>
      <c r="BY30" s="15"/>
      <c r="BZ30" s="15">
        <f t="shared" si="29"/>
        <v>62013.1732816</v>
      </c>
      <c r="CA30" s="15">
        <f t="shared" si="30"/>
        <v>62013.1732816</v>
      </c>
      <c r="CB30" s="15">
        <v>17771</v>
      </c>
      <c r="CC30" s="33"/>
      <c r="CD30" s="15"/>
      <c r="CE30" s="15">
        <f t="shared" si="31"/>
        <v>8947.157811199999</v>
      </c>
      <c r="CF30" s="15">
        <f t="shared" si="32"/>
        <v>8947.157811199999</v>
      </c>
      <c r="CG30" s="15">
        <v>2564</v>
      </c>
      <c r="CH30" s="33"/>
      <c r="CI30" s="15"/>
      <c r="CJ30" s="15">
        <f t="shared" si="33"/>
        <v>18281.6469952</v>
      </c>
      <c r="CK30" s="15">
        <f t="shared" si="34"/>
        <v>18281.6469952</v>
      </c>
      <c r="CL30" s="15">
        <v>5239</v>
      </c>
      <c r="CM30" s="33"/>
      <c r="CN30" s="15"/>
      <c r="CO30" s="15">
        <f t="shared" si="35"/>
        <v>2964.8992992000003</v>
      </c>
      <c r="CP30" s="15">
        <f t="shared" si="36"/>
        <v>2964.8992992000003</v>
      </c>
      <c r="CQ30" s="15">
        <v>850</v>
      </c>
      <c r="CR30" s="33"/>
      <c r="CS30" s="15"/>
      <c r="CT30" s="15">
        <f t="shared" si="37"/>
        <v>15209.2962912</v>
      </c>
      <c r="CU30" s="15">
        <f t="shared" si="38"/>
        <v>15209.2962912</v>
      </c>
      <c r="CV30" s="15">
        <v>4359</v>
      </c>
      <c r="CW30" s="33"/>
      <c r="CX30" s="15"/>
      <c r="CY30" s="15">
        <f t="shared" si="39"/>
        <v>135.9316528</v>
      </c>
      <c r="CZ30" s="15">
        <f t="shared" si="40"/>
        <v>135.9316528</v>
      </c>
      <c r="DA30" s="15">
        <v>39</v>
      </c>
      <c r="DB30" s="33"/>
      <c r="DC30" s="15"/>
      <c r="DD30" s="15">
        <f t="shared" si="41"/>
        <v>178.89815040000002</v>
      </c>
      <c r="DE30" s="15">
        <f t="shared" si="42"/>
        <v>178.89815040000002</v>
      </c>
      <c r="DF30" s="15">
        <v>51</v>
      </c>
      <c r="DG30" s="33"/>
      <c r="DH30" s="15"/>
      <c r="DI30" s="15">
        <f t="shared" si="43"/>
        <v>9014.3149392</v>
      </c>
      <c r="DJ30" s="15">
        <f t="shared" si="44"/>
        <v>9014.3149392</v>
      </c>
      <c r="DK30" s="15">
        <v>2583</v>
      </c>
      <c r="DL30" s="33"/>
      <c r="DM30" s="15"/>
      <c r="DN30" s="15">
        <f t="shared" si="45"/>
        <v>171.58470400000002</v>
      </c>
      <c r="DO30" s="15">
        <f t="shared" si="46"/>
        <v>171.58470400000002</v>
      </c>
      <c r="DP30" s="15">
        <v>49</v>
      </c>
      <c r="DQ30" s="33"/>
      <c r="DR30" s="15"/>
      <c r="DS30" s="15">
        <f t="shared" si="47"/>
        <v>2563.8552144</v>
      </c>
      <c r="DT30" s="15">
        <f t="shared" si="48"/>
        <v>2563.8552144</v>
      </c>
      <c r="DU30" s="15">
        <v>735</v>
      </c>
      <c r="DV30" s="33"/>
      <c r="DW30" s="15"/>
      <c r="DX30" s="15">
        <f t="shared" si="49"/>
        <v>1781.0351632</v>
      </c>
      <c r="DY30" s="15">
        <f t="shared" si="50"/>
        <v>1781.0351632</v>
      </c>
      <c r="DZ30" s="15">
        <v>510</v>
      </c>
      <c r="EA30" s="33"/>
      <c r="EB30" s="15"/>
      <c r="EC30" s="15">
        <f t="shared" si="51"/>
        <v>695.2696592</v>
      </c>
      <c r="ED30" s="15">
        <f t="shared" si="52"/>
        <v>695.2696592</v>
      </c>
      <c r="EE30" s="15">
        <v>199</v>
      </c>
      <c r="EF30" s="33"/>
      <c r="EG30" s="15"/>
      <c r="EH30" s="15">
        <f t="shared" si="53"/>
        <v>7813.5032976</v>
      </c>
      <c r="EI30" s="15">
        <f t="shared" si="54"/>
        <v>7813.5032976</v>
      </c>
      <c r="EJ30" s="15">
        <v>2239</v>
      </c>
      <c r="EK30" s="33"/>
      <c r="EL30" s="15"/>
      <c r="EM30" s="15">
        <f t="shared" si="55"/>
        <v>17610.0757152</v>
      </c>
      <c r="EN30" s="15">
        <f t="shared" si="56"/>
        <v>17610.0757152</v>
      </c>
      <c r="EO30" s="15">
        <v>5047</v>
      </c>
      <c r="EP30" s="33"/>
      <c r="EQ30" s="15"/>
      <c r="ER30" s="15">
        <f t="shared" si="57"/>
        <v>2247.2673712</v>
      </c>
      <c r="ES30" s="15">
        <f t="shared" si="58"/>
        <v>2247.2673712</v>
      </c>
      <c r="ET30" s="15">
        <v>644</v>
      </c>
      <c r="EU30" s="33"/>
      <c r="EV30" s="15"/>
      <c r="EW30" s="15">
        <f t="shared" si="59"/>
        <v>3568.6805568000004</v>
      </c>
      <c r="EX30" s="15">
        <f t="shared" si="60"/>
        <v>3568.6805568000004</v>
      </c>
      <c r="EY30" s="15">
        <v>1023</v>
      </c>
      <c r="EZ30" s="33"/>
      <c r="FA30" s="15"/>
      <c r="FB30" s="15">
        <f t="shared" si="61"/>
        <v>16538.8667824</v>
      </c>
      <c r="FC30" s="15">
        <f t="shared" si="62"/>
        <v>16538.8667824</v>
      </c>
      <c r="FD30" s="15">
        <v>4740</v>
      </c>
      <c r="FE30" s="33"/>
      <c r="FF30" s="15"/>
      <c r="FG30" s="15">
        <f t="shared" si="63"/>
        <v>877.7542112</v>
      </c>
      <c r="FH30" s="15">
        <f t="shared" si="64"/>
        <v>877.7542112</v>
      </c>
      <c r="FI30" s="15">
        <v>252</v>
      </c>
      <c r="FJ30" s="33"/>
      <c r="FK30" s="15"/>
      <c r="FL30" s="15">
        <f t="shared" si="65"/>
        <v>5032.4949824000005</v>
      </c>
      <c r="FM30" s="15">
        <f t="shared" si="66"/>
        <v>5032.4949824000005</v>
      </c>
      <c r="FN30" s="15">
        <v>1442</v>
      </c>
      <c r="FO30" s="33"/>
    </row>
    <row r="31" spans="1:171" s="35" customFormat="1" ht="12.75">
      <c r="A31" s="34">
        <v>43922</v>
      </c>
      <c r="C31" s="22">
        <v>5965000</v>
      </c>
      <c r="D31" s="22">
        <v>703216</v>
      </c>
      <c r="E31" s="16">
        <f t="shared" si="0"/>
        <v>6668216</v>
      </c>
      <c r="F31" s="33"/>
      <c r="G31" s="15">
        <f t="shared" si="67"/>
        <v>394556.11799999996</v>
      </c>
      <c r="H31" s="15">
        <f t="shared" si="1"/>
        <v>46514.362963199994</v>
      </c>
      <c r="I31" s="33">
        <f t="shared" si="2"/>
        <v>441070.4809632</v>
      </c>
      <c r="J31" s="33">
        <v>13330</v>
      </c>
      <c r="K31" s="33"/>
      <c r="L31" s="15">
        <f t="shared" si="68"/>
        <v>6738.064</v>
      </c>
      <c r="M31" s="15">
        <f t="shared" si="3"/>
        <v>794.3527936</v>
      </c>
      <c r="N31" s="15">
        <f t="shared" si="4"/>
        <v>7532.4167936</v>
      </c>
      <c r="O31" s="15">
        <v>228</v>
      </c>
      <c r="P31" s="33"/>
      <c r="Q31" s="33">
        <f t="shared" si="69"/>
        <v>30417.920999999995</v>
      </c>
      <c r="R31" s="15">
        <f t="shared" si="5"/>
        <v>3585.9796703999996</v>
      </c>
      <c r="S31" s="15">
        <f t="shared" si="6"/>
        <v>34003.90067039999</v>
      </c>
      <c r="T31" s="15">
        <v>1028</v>
      </c>
      <c r="U31" s="33"/>
      <c r="V31" s="15">
        <f t="shared" si="70"/>
        <v>528974.4105</v>
      </c>
      <c r="W31" s="15">
        <f t="shared" si="7"/>
        <v>62360.9839152</v>
      </c>
      <c r="X31" s="15">
        <f t="shared" si="8"/>
        <v>591335.3944152</v>
      </c>
      <c r="Y31" s="15">
        <v>17871</v>
      </c>
      <c r="Z31" s="33"/>
      <c r="AA31" s="15">
        <f t="shared" si="71"/>
        <v>6407.603</v>
      </c>
      <c r="AB31" s="15">
        <f t="shared" si="9"/>
        <v>755.3946272</v>
      </c>
      <c r="AC31" s="15">
        <f t="shared" si="10"/>
        <v>7162.9976272</v>
      </c>
      <c r="AD31" s="15">
        <v>216</v>
      </c>
      <c r="AE31" s="15"/>
      <c r="AF31" s="15">
        <f t="shared" si="72"/>
        <v>5403.693499999999</v>
      </c>
      <c r="AG31" s="15">
        <f t="shared" si="11"/>
        <v>637.0433744000001</v>
      </c>
      <c r="AH31" s="15">
        <f t="shared" si="12"/>
        <v>6040.7368744</v>
      </c>
      <c r="AI31" s="15">
        <v>183</v>
      </c>
      <c r="AJ31" s="33"/>
      <c r="AK31" s="15">
        <f t="shared" si="73"/>
        <v>221699.96200000003</v>
      </c>
      <c r="AL31" s="15">
        <f t="shared" si="13"/>
        <v>26136.288428800002</v>
      </c>
      <c r="AM31" s="15">
        <f t="shared" si="14"/>
        <v>247836.25042880003</v>
      </c>
      <c r="AN31" s="15">
        <v>7490</v>
      </c>
      <c r="AO31" s="33"/>
      <c r="AP31" s="15">
        <f t="shared" si="74"/>
        <v>454904.6195</v>
      </c>
      <c r="AQ31" s="15">
        <f t="shared" si="15"/>
        <v>53628.8695568</v>
      </c>
      <c r="AR31" s="15">
        <f t="shared" si="16"/>
        <v>508533.48905679997</v>
      </c>
      <c r="AS31" s="15">
        <v>15369</v>
      </c>
      <c r="AT31" s="33"/>
      <c r="AU31" s="15">
        <f t="shared" si="75"/>
        <v>5251.585999999999</v>
      </c>
      <c r="AV31" s="15">
        <f t="shared" si="17"/>
        <v>619.1113664</v>
      </c>
      <c r="AW31" s="15">
        <f t="shared" si="18"/>
        <v>5870.6973664</v>
      </c>
      <c r="AX31" s="15">
        <v>177</v>
      </c>
      <c r="AY31" s="33"/>
      <c r="AZ31" s="15">
        <f t="shared" si="76"/>
        <v>3527.7009999999996</v>
      </c>
      <c r="BA31" s="15">
        <f t="shared" si="19"/>
        <v>415.88194239999996</v>
      </c>
      <c r="BB31" s="15">
        <f t="shared" si="20"/>
        <v>3943.5829423999994</v>
      </c>
      <c r="BC31" s="15">
        <v>119</v>
      </c>
      <c r="BD31" s="33"/>
      <c r="BE31" s="15">
        <f t="shared" si="77"/>
        <v>-525.5165000000001</v>
      </c>
      <c r="BF31" s="15">
        <f t="shared" si="21"/>
        <v>-61.953329599999996</v>
      </c>
      <c r="BG31" s="15">
        <f t="shared" si="22"/>
        <v>-587.4698296</v>
      </c>
      <c r="BH31" s="15">
        <v>-18</v>
      </c>
      <c r="BI31" s="15"/>
      <c r="BJ31" s="15">
        <f t="shared" si="78"/>
        <v>-342.39099999999996</v>
      </c>
      <c r="BK31" s="15">
        <f t="shared" si="23"/>
        <v>-40.364598400000006</v>
      </c>
      <c r="BL31" s="15">
        <f t="shared" si="24"/>
        <v>-382.75559839999994</v>
      </c>
      <c r="BM31" s="15">
        <v>-12</v>
      </c>
      <c r="BN31" s="33"/>
      <c r="BO31" s="15">
        <f t="shared" si="79"/>
        <v>12732.889000000001</v>
      </c>
      <c r="BP31" s="15">
        <f t="shared" si="25"/>
        <v>1501.0848736</v>
      </c>
      <c r="BQ31" s="15">
        <f t="shared" si="26"/>
        <v>14233.973873600002</v>
      </c>
      <c r="BR31" s="15">
        <v>430</v>
      </c>
      <c r="BS31" s="33"/>
      <c r="BT31" s="15">
        <f t="shared" si="80"/>
        <v>78302.555</v>
      </c>
      <c r="BU31" s="15">
        <f t="shared" si="27"/>
        <v>9231.116431999999</v>
      </c>
      <c r="BV31" s="15">
        <f t="shared" si="28"/>
        <v>87533.67143199999</v>
      </c>
      <c r="BW31" s="15">
        <v>2645</v>
      </c>
      <c r="BX31" s="33"/>
      <c r="BY31" s="15">
        <f t="shared" si="81"/>
        <v>526024.1215</v>
      </c>
      <c r="BZ31" s="15">
        <f t="shared" si="29"/>
        <v>62013.1732816</v>
      </c>
      <c r="CA31" s="15">
        <f t="shared" si="30"/>
        <v>588037.2947816</v>
      </c>
      <c r="CB31" s="15">
        <v>17771</v>
      </c>
      <c r="CC31" s="33"/>
      <c r="CD31" s="15">
        <f t="shared" si="82"/>
        <v>75893.88799999999</v>
      </c>
      <c r="CE31" s="15">
        <f t="shared" si="31"/>
        <v>8947.157811199999</v>
      </c>
      <c r="CF31" s="15">
        <f t="shared" si="32"/>
        <v>84841.04581119999</v>
      </c>
      <c r="CG31" s="15">
        <v>2564</v>
      </c>
      <c r="CH31" s="33"/>
      <c r="CI31" s="15">
        <f t="shared" si="83"/>
        <v>155073.298</v>
      </c>
      <c r="CJ31" s="15">
        <f t="shared" si="33"/>
        <v>18281.6469952</v>
      </c>
      <c r="CK31" s="15">
        <f t="shared" si="34"/>
        <v>173354.9449952</v>
      </c>
      <c r="CL31" s="15">
        <v>5239</v>
      </c>
      <c r="CM31" s="33"/>
      <c r="CN31" s="15">
        <f t="shared" si="84"/>
        <v>25149.632999999998</v>
      </c>
      <c r="CO31" s="15">
        <f t="shared" si="35"/>
        <v>2964.8992992000003</v>
      </c>
      <c r="CP31" s="15">
        <f t="shared" si="36"/>
        <v>28114.5322992</v>
      </c>
      <c r="CQ31" s="15">
        <v>850</v>
      </c>
      <c r="CR31" s="33"/>
      <c r="CS31" s="15">
        <f t="shared" si="85"/>
        <v>129012.21299999999</v>
      </c>
      <c r="CT31" s="15">
        <f t="shared" si="37"/>
        <v>15209.2962912</v>
      </c>
      <c r="CU31" s="15">
        <f t="shared" si="38"/>
        <v>144221.5092912</v>
      </c>
      <c r="CV31" s="15">
        <v>4359</v>
      </c>
      <c r="CW31" s="33"/>
      <c r="CX31" s="15">
        <f t="shared" si="86"/>
        <v>1153.0345</v>
      </c>
      <c r="CY31" s="15">
        <f t="shared" si="39"/>
        <v>135.9316528</v>
      </c>
      <c r="CZ31" s="15">
        <f t="shared" si="40"/>
        <v>1288.9661528</v>
      </c>
      <c r="DA31" s="15">
        <v>39</v>
      </c>
      <c r="DB31" s="33"/>
      <c r="DC31" s="15">
        <f t="shared" si="87"/>
        <v>1517.496</v>
      </c>
      <c r="DD31" s="15">
        <f t="shared" si="41"/>
        <v>178.89815040000002</v>
      </c>
      <c r="DE31" s="15">
        <f t="shared" si="42"/>
        <v>1696.3941504000002</v>
      </c>
      <c r="DF31" s="15">
        <v>51</v>
      </c>
      <c r="DG31" s="33"/>
      <c r="DH31" s="15">
        <f t="shared" si="88"/>
        <v>76463.54550000001</v>
      </c>
      <c r="DI31" s="15">
        <f t="shared" si="43"/>
        <v>9014.3149392</v>
      </c>
      <c r="DJ31" s="15">
        <f t="shared" si="44"/>
        <v>85477.86043920001</v>
      </c>
      <c r="DK31" s="15">
        <v>2583</v>
      </c>
      <c r="DL31" s="33"/>
      <c r="DM31" s="15">
        <f t="shared" si="89"/>
        <v>1455.46</v>
      </c>
      <c r="DN31" s="15">
        <f t="shared" si="45"/>
        <v>171.58470400000002</v>
      </c>
      <c r="DO31" s="15">
        <f t="shared" si="46"/>
        <v>1627.0447040000001</v>
      </c>
      <c r="DP31" s="15">
        <v>49</v>
      </c>
      <c r="DQ31" s="33"/>
      <c r="DR31" s="15">
        <f t="shared" si="90"/>
        <v>21747.7935</v>
      </c>
      <c r="DS31" s="15">
        <f t="shared" si="47"/>
        <v>2563.8552144</v>
      </c>
      <c r="DT31" s="15">
        <f t="shared" si="48"/>
        <v>24311.6487144</v>
      </c>
      <c r="DU31" s="15">
        <v>735</v>
      </c>
      <c r="DV31" s="33"/>
      <c r="DW31" s="15">
        <f t="shared" si="91"/>
        <v>15107.5555</v>
      </c>
      <c r="DX31" s="15">
        <f t="shared" si="49"/>
        <v>1781.0351632</v>
      </c>
      <c r="DY31" s="15">
        <f t="shared" si="50"/>
        <v>16888.5906632</v>
      </c>
      <c r="DZ31" s="15">
        <v>510</v>
      </c>
      <c r="EA31" s="33"/>
      <c r="EB31" s="15">
        <f t="shared" si="92"/>
        <v>5897.5955</v>
      </c>
      <c r="EC31" s="15">
        <f t="shared" si="51"/>
        <v>695.2696592</v>
      </c>
      <c r="ED31" s="15">
        <f t="shared" si="52"/>
        <v>6592.865159200001</v>
      </c>
      <c r="EE31" s="15">
        <v>199</v>
      </c>
      <c r="EF31" s="33"/>
      <c r="EG31" s="15">
        <f t="shared" si="93"/>
        <v>66277.7115</v>
      </c>
      <c r="EH31" s="15">
        <f t="shared" si="53"/>
        <v>7813.5032976</v>
      </c>
      <c r="EI31" s="15">
        <f t="shared" si="54"/>
        <v>74091.2147976</v>
      </c>
      <c r="EJ31" s="15">
        <v>2239</v>
      </c>
      <c r="EK31" s="33"/>
      <c r="EL31" s="15">
        <f t="shared" si="94"/>
        <v>149376.723</v>
      </c>
      <c r="EM31" s="15">
        <f t="shared" si="55"/>
        <v>17610.0757152</v>
      </c>
      <c r="EN31" s="15">
        <f t="shared" si="56"/>
        <v>166986.79871519998</v>
      </c>
      <c r="EO31" s="15">
        <v>5047</v>
      </c>
      <c r="EP31" s="33"/>
      <c r="EQ31" s="15">
        <f t="shared" si="95"/>
        <v>19062.3505</v>
      </c>
      <c r="ER31" s="15">
        <f t="shared" si="57"/>
        <v>2247.2673712</v>
      </c>
      <c r="ES31" s="15">
        <f t="shared" si="58"/>
        <v>21309.6178712</v>
      </c>
      <c r="ET31" s="15">
        <v>644</v>
      </c>
      <c r="EU31" s="33"/>
      <c r="EV31" s="15">
        <f t="shared" si="96"/>
        <v>30271.182</v>
      </c>
      <c r="EW31" s="15">
        <f t="shared" si="59"/>
        <v>3568.6805568000004</v>
      </c>
      <c r="EX31" s="15">
        <f t="shared" si="60"/>
        <v>33839.8625568</v>
      </c>
      <c r="EY31" s="15">
        <v>1023</v>
      </c>
      <c r="EZ31" s="33"/>
      <c r="FA31" s="15">
        <f t="shared" si="97"/>
        <v>140290.2385</v>
      </c>
      <c r="FB31" s="15">
        <f t="shared" si="61"/>
        <v>16538.8667824</v>
      </c>
      <c r="FC31" s="15">
        <f t="shared" si="62"/>
        <v>156829.1052824</v>
      </c>
      <c r="FD31" s="15">
        <v>4740</v>
      </c>
      <c r="FE31" s="33"/>
      <c r="FF31" s="15">
        <f t="shared" si="98"/>
        <v>7445.513000000001</v>
      </c>
      <c r="FG31" s="15">
        <f t="shared" si="63"/>
        <v>877.7542112</v>
      </c>
      <c r="FH31" s="15">
        <f t="shared" si="64"/>
        <v>8323.2672112</v>
      </c>
      <c r="FI31" s="15">
        <v>252</v>
      </c>
      <c r="FJ31" s="33"/>
      <c r="FK31" s="15">
        <f t="shared" si="99"/>
        <v>42687.92600000001</v>
      </c>
      <c r="FL31" s="15">
        <f t="shared" si="65"/>
        <v>5032.4949824000005</v>
      </c>
      <c r="FM31" s="15">
        <f t="shared" si="66"/>
        <v>47720.420982400006</v>
      </c>
      <c r="FN31" s="15">
        <v>1442</v>
      </c>
      <c r="FO31" s="33"/>
    </row>
    <row r="32" spans="1:171" s="35" customFormat="1" ht="12.75">
      <c r="A32" s="34">
        <v>44105</v>
      </c>
      <c r="C32" s="22"/>
      <c r="D32" s="22">
        <v>583916</v>
      </c>
      <c r="E32" s="16">
        <f t="shared" si="0"/>
        <v>583916</v>
      </c>
      <c r="F32" s="33"/>
      <c r="G32" s="15"/>
      <c r="H32" s="15">
        <f t="shared" si="1"/>
        <v>38623.2406032</v>
      </c>
      <c r="I32" s="33">
        <f t="shared" si="2"/>
        <v>38623.2406032</v>
      </c>
      <c r="J32" s="33">
        <v>13330</v>
      </c>
      <c r="K32" s="33"/>
      <c r="L32" s="15"/>
      <c r="M32" s="15">
        <f t="shared" si="3"/>
        <v>659.5915136</v>
      </c>
      <c r="N32" s="15">
        <f t="shared" si="4"/>
        <v>659.5915136</v>
      </c>
      <c r="O32" s="15">
        <v>228</v>
      </c>
      <c r="P32" s="33"/>
      <c r="Q32" s="33"/>
      <c r="R32" s="15">
        <f t="shared" si="5"/>
        <v>2977.6212503999996</v>
      </c>
      <c r="S32" s="15">
        <f t="shared" si="6"/>
        <v>2977.6212503999996</v>
      </c>
      <c r="T32" s="15">
        <v>1028</v>
      </c>
      <c r="U32" s="33"/>
      <c r="V32" s="15"/>
      <c r="W32" s="15">
        <f t="shared" si="7"/>
        <v>51781.495705199995</v>
      </c>
      <c r="X32" s="15">
        <f t="shared" si="8"/>
        <v>51781.495705199995</v>
      </c>
      <c r="Y32" s="15">
        <v>17871</v>
      </c>
      <c r="Z32" s="33"/>
      <c r="AA32" s="15"/>
      <c r="AB32" s="15">
        <f t="shared" si="9"/>
        <v>627.2425671999999</v>
      </c>
      <c r="AC32" s="15">
        <f t="shared" si="10"/>
        <v>627.2425671999999</v>
      </c>
      <c r="AD32" s="15">
        <v>216</v>
      </c>
      <c r="AE32" s="15"/>
      <c r="AF32" s="15"/>
      <c r="AG32" s="15">
        <f t="shared" si="11"/>
        <v>528.9695044</v>
      </c>
      <c r="AH32" s="15">
        <f t="shared" si="12"/>
        <v>528.9695044</v>
      </c>
      <c r="AI32" s="15">
        <v>183</v>
      </c>
      <c r="AJ32" s="33"/>
      <c r="AK32" s="15"/>
      <c r="AL32" s="15">
        <f t="shared" si="13"/>
        <v>21702.2891888</v>
      </c>
      <c r="AM32" s="15">
        <f t="shared" si="14"/>
        <v>21702.2891888</v>
      </c>
      <c r="AN32" s="15">
        <v>7490</v>
      </c>
      <c r="AO32" s="33"/>
      <c r="AP32" s="15"/>
      <c r="AQ32" s="15">
        <f t="shared" si="15"/>
        <v>44530.7771668</v>
      </c>
      <c r="AR32" s="15">
        <f t="shared" si="16"/>
        <v>44530.7771668</v>
      </c>
      <c r="AS32" s="15">
        <v>15369</v>
      </c>
      <c r="AT32" s="33"/>
      <c r="AU32" s="15"/>
      <c r="AV32" s="15">
        <f t="shared" si="17"/>
        <v>514.0796464</v>
      </c>
      <c r="AW32" s="15">
        <f t="shared" si="18"/>
        <v>514.0796464</v>
      </c>
      <c r="AX32" s="15">
        <v>177</v>
      </c>
      <c r="AY32" s="33"/>
      <c r="AZ32" s="15"/>
      <c r="BA32" s="15">
        <f t="shared" si="19"/>
        <v>345.32792240000003</v>
      </c>
      <c r="BB32" s="15">
        <f t="shared" si="20"/>
        <v>345.32792240000003</v>
      </c>
      <c r="BC32" s="15">
        <v>119</v>
      </c>
      <c r="BD32" s="33"/>
      <c r="BE32" s="15"/>
      <c r="BF32" s="15">
        <f t="shared" si="21"/>
        <v>-51.4429996</v>
      </c>
      <c r="BG32" s="15">
        <f t="shared" si="22"/>
        <v>-51.4429996</v>
      </c>
      <c r="BH32" s="15">
        <v>-18</v>
      </c>
      <c r="BI32" s="15"/>
      <c r="BJ32" s="15"/>
      <c r="BK32" s="15">
        <f t="shared" si="23"/>
        <v>-33.5167784</v>
      </c>
      <c r="BL32" s="15">
        <f t="shared" si="24"/>
        <v>-33.5167784</v>
      </c>
      <c r="BM32" s="15">
        <v>-12</v>
      </c>
      <c r="BN32" s="33"/>
      <c r="BO32" s="15"/>
      <c r="BP32" s="15">
        <f t="shared" si="25"/>
        <v>1246.4270936</v>
      </c>
      <c r="BQ32" s="15">
        <f t="shared" si="26"/>
        <v>1246.4270936</v>
      </c>
      <c r="BR32" s="15">
        <v>430</v>
      </c>
      <c r="BS32" s="33"/>
      <c r="BT32" s="15"/>
      <c r="BU32" s="15">
        <f t="shared" si="27"/>
        <v>7665.065331999999</v>
      </c>
      <c r="BV32" s="15">
        <f t="shared" si="28"/>
        <v>7665.065331999999</v>
      </c>
      <c r="BW32" s="15">
        <v>2645</v>
      </c>
      <c r="BX32" s="33"/>
      <c r="BY32" s="15"/>
      <c r="BZ32" s="15">
        <f t="shared" si="29"/>
        <v>51492.690851600004</v>
      </c>
      <c r="CA32" s="15">
        <f t="shared" si="30"/>
        <v>51492.690851600004</v>
      </c>
      <c r="CB32" s="15">
        <v>17771</v>
      </c>
      <c r="CC32" s="33"/>
      <c r="CD32" s="15"/>
      <c r="CE32" s="15">
        <f t="shared" si="31"/>
        <v>7429.280051199999</v>
      </c>
      <c r="CF32" s="15">
        <f t="shared" si="32"/>
        <v>7429.280051199999</v>
      </c>
      <c r="CG32" s="15">
        <v>2564</v>
      </c>
      <c r="CH32" s="33"/>
      <c r="CI32" s="15"/>
      <c r="CJ32" s="15">
        <f t="shared" si="33"/>
        <v>15180.181035200001</v>
      </c>
      <c r="CK32" s="15">
        <f t="shared" si="34"/>
        <v>15180.181035200001</v>
      </c>
      <c r="CL32" s="15">
        <v>5239</v>
      </c>
      <c r="CM32" s="33"/>
      <c r="CN32" s="15"/>
      <c r="CO32" s="15">
        <f t="shared" si="35"/>
        <v>2461.9066392</v>
      </c>
      <c r="CP32" s="15">
        <f t="shared" si="36"/>
        <v>2461.9066392</v>
      </c>
      <c r="CQ32" s="15">
        <v>850</v>
      </c>
      <c r="CR32" s="33"/>
      <c r="CS32" s="15"/>
      <c r="CT32" s="15">
        <f t="shared" si="37"/>
        <v>12629.052031199999</v>
      </c>
      <c r="CU32" s="15">
        <f t="shared" si="38"/>
        <v>12629.052031199999</v>
      </c>
      <c r="CV32" s="15">
        <v>4359</v>
      </c>
      <c r="CW32" s="33"/>
      <c r="CX32" s="15"/>
      <c r="CY32" s="15">
        <f t="shared" si="39"/>
        <v>112.8709628</v>
      </c>
      <c r="CZ32" s="15">
        <f t="shared" si="40"/>
        <v>112.8709628</v>
      </c>
      <c r="DA32" s="15">
        <v>39</v>
      </c>
      <c r="DB32" s="33"/>
      <c r="DC32" s="15"/>
      <c r="DD32" s="15">
        <f t="shared" si="41"/>
        <v>148.54823040000002</v>
      </c>
      <c r="DE32" s="15">
        <f t="shared" si="42"/>
        <v>148.54823040000002</v>
      </c>
      <c r="DF32" s="15">
        <v>51</v>
      </c>
      <c r="DG32" s="33"/>
      <c r="DH32" s="15"/>
      <c r="DI32" s="15">
        <f t="shared" si="43"/>
        <v>7485.0440292</v>
      </c>
      <c r="DJ32" s="15">
        <f t="shared" si="44"/>
        <v>7485.0440292</v>
      </c>
      <c r="DK32" s="15">
        <v>2583</v>
      </c>
      <c r="DL32" s="33"/>
      <c r="DM32" s="15"/>
      <c r="DN32" s="15">
        <f t="shared" si="45"/>
        <v>142.475504</v>
      </c>
      <c r="DO32" s="15">
        <f t="shared" si="46"/>
        <v>142.475504</v>
      </c>
      <c r="DP32" s="15">
        <v>49</v>
      </c>
      <c r="DQ32" s="33"/>
      <c r="DR32" s="15"/>
      <c r="DS32" s="15">
        <f t="shared" si="47"/>
        <v>2128.8993444000002</v>
      </c>
      <c r="DT32" s="15">
        <f t="shared" si="48"/>
        <v>2128.8993444000002</v>
      </c>
      <c r="DU32" s="15">
        <v>735</v>
      </c>
      <c r="DV32" s="33"/>
      <c r="DW32" s="15"/>
      <c r="DX32" s="15">
        <f t="shared" si="49"/>
        <v>1478.8840532</v>
      </c>
      <c r="DY32" s="15">
        <f t="shared" si="50"/>
        <v>1478.8840532</v>
      </c>
      <c r="DZ32" s="15">
        <v>510</v>
      </c>
      <c r="EA32" s="33"/>
      <c r="EB32" s="15"/>
      <c r="EC32" s="15">
        <f t="shared" si="51"/>
        <v>577.3177492</v>
      </c>
      <c r="ED32" s="15">
        <f t="shared" si="52"/>
        <v>577.3177492</v>
      </c>
      <c r="EE32" s="15">
        <v>199</v>
      </c>
      <c r="EF32" s="33"/>
      <c r="EG32" s="15"/>
      <c r="EH32" s="15">
        <f t="shared" si="53"/>
        <v>6487.9490676000005</v>
      </c>
      <c r="EI32" s="15">
        <f t="shared" si="54"/>
        <v>6487.9490676000005</v>
      </c>
      <c r="EJ32" s="15">
        <v>2239</v>
      </c>
      <c r="EK32" s="33"/>
      <c r="EL32" s="15"/>
      <c r="EM32" s="15">
        <f t="shared" si="55"/>
        <v>14622.5412552</v>
      </c>
      <c r="EN32" s="15">
        <f t="shared" si="56"/>
        <v>14622.5412552</v>
      </c>
      <c r="EO32" s="15">
        <v>5047</v>
      </c>
      <c r="EP32" s="33"/>
      <c r="EQ32" s="15"/>
      <c r="ER32" s="15">
        <f t="shared" si="57"/>
        <v>1866.0203612</v>
      </c>
      <c r="ES32" s="15">
        <f t="shared" si="58"/>
        <v>1866.0203612</v>
      </c>
      <c r="ET32" s="15">
        <v>644</v>
      </c>
      <c r="EU32" s="33"/>
      <c r="EV32" s="15"/>
      <c r="EW32" s="15">
        <f t="shared" si="59"/>
        <v>2963.2569168000005</v>
      </c>
      <c r="EX32" s="15">
        <f t="shared" si="60"/>
        <v>2963.2569168000005</v>
      </c>
      <c r="EY32" s="15">
        <v>1023</v>
      </c>
      <c r="EZ32" s="33"/>
      <c r="FA32" s="15"/>
      <c r="FB32" s="15">
        <f t="shared" si="61"/>
        <v>13733.062012400002</v>
      </c>
      <c r="FC32" s="15">
        <f t="shared" si="62"/>
        <v>13733.062012400002</v>
      </c>
      <c r="FD32" s="15">
        <v>4740</v>
      </c>
      <c r="FE32" s="33"/>
      <c r="FF32" s="15"/>
      <c r="FG32" s="15">
        <f t="shared" si="63"/>
        <v>728.8439512</v>
      </c>
      <c r="FH32" s="15">
        <f t="shared" si="64"/>
        <v>728.8439512</v>
      </c>
      <c r="FI32" s="15">
        <v>252</v>
      </c>
      <c r="FJ32" s="33"/>
      <c r="FK32" s="15"/>
      <c r="FL32" s="15">
        <f t="shared" si="65"/>
        <v>4178.7364624</v>
      </c>
      <c r="FM32" s="15">
        <f t="shared" si="66"/>
        <v>4178.7364624</v>
      </c>
      <c r="FN32" s="15">
        <v>1442</v>
      </c>
      <c r="FO32" s="33"/>
    </row>
    <row r="33" spans="1:171" s="35" customFormat="1" ht="12.75">
      <c r="A33" s="34">
        <v>44287</v>
      </c>
      <c r="C33" s="22">
        <v>6205000</v>
      </c>
      <c r="D33" s="22">
        <v>583916</v>
      </c>
      <c r="E33" s="16">
        <f t="shared" si="0"/>
        <v>6788916</v>
      </c>
      <c r="F33" s="33"/>
      <c r="G33" s="15">
        <f t="shared" si="67"/>
        <v>410430.966</v>
      </c>
      <c r="H33" s="15">
        <f t="shared" si="1"/>
        <v>38623.2406032</v>
      </c>
      <c r="I33" s="33">
        <f t="shared" si="2"/>
        <v>449054.2066032</v>
      </c>
      <c r="J33" s="33">
        <v>13330</v>
      </c>
      <c r="K33" s="33"/>
      <c r="L33" s="15">
        <f t="shared" si="68"/>
        <v>7009.168000000001</v>
      </c>
      <c r="M33" s="15">
        <f t="shared" si="3"/>
        <v>659.5915136</v>
      </c>
      <c r="N33" s="15">
        <f t="shared" si="4"/>
        <v>7668.759513600001</v>
      </c>
      <c r="O33" s="15">
        <v>228</v>
      </c>
      <c r="P33" s="33"/>
      <c r="Q33" s="33">
        <f t="shared" si="69"/>
        <v>31641.777</v>
      </c>
      <c r="R33" s="15">
        <f t="shared" si="5"/>
        <v>2977.6212503999996</v>
      </c>
      <c r="S33" s="15">
        <f t="shared" si="6"/>
        <v>34619.3982504</v>
      </c>
      <c r="T33" s="15">
        <v>1028</v>
      </c>
      <c r="U33" s="33"/>
      <c r="V33" s="15">
        <f t="shared" si="70"/>
        <v>550257.5385</v>
      </c>
      <c r="W33" s="15">
        <f t="shared" si="7"/>
        <v>51781.495705199995</v>
      </c>
      <c r="X33" s="15">
        <f t="shared" si="8"/>
        <v>602039.0342052</v>
      </c>
      <c r="Y33" s="15">
        <v>17871</v>
      </c>
      <c r="Z33" s="33"/>
      <c r="AA33" s="15">
        <f t="shared" si="71"/>
        <v>6665.411</v>
      </c>
      <c r="AB33" s="15">
        <f t="shared" si="9"/>
        <v>627.2425671999999</v>
      </c>
      <c r="AC33" s="15">
        <f t="shared" si="10"/>
        <v>7292.6535672</v>
      </c>
      <c r="AD33" s="15">
        <v>216</v>
      </c>
      <c r="AE33" s="15"/>
      <c r="AF33" s="15">
        <f t="shared" si="72"/>
        <v>5621.1095000000005</v>
      </c>
      <c r="AG33" s="15">
        <f t="shared" si="11"/>
        <v>528.9695044</v>
      </c>
      <c r="AH33" s="15">
        <f t="shared" si="12"/>
        <v>6150.0790044000005</v>
      </c>
      <c r="AI33" s="15">
        <v>183</v>
      </c>
      <c r="AJ33" s="33"/>
      <c r="AK33" s="15">
        <f t="shared" si="73"/>
        <v>230619.99400000004</v>
      </c>
      <c r="AL33" s="15">
        <f t="shared" si="13"/>
        <v>21702.2891888</v>
      </c>
      <c r="AM33" s="15">
        <f t="shared" si="14"/>
        <v>252322.28318880004</v>
      </c>
      <c r="AN33" s="15">
        <v>7490</v>
      </c>
      <c r="AO33" s="33"/>
      <c r="AP33" s="15">
        <f t="shared" si="74"/>
        <v>473207.57149999996</v>
      </c>
      <c r="AQ33" s="15">
        <f t="shared" si="15"/>
        <v>44530.7771668</v>
      </c>
      <c r="AR33" s="15">
        <f t="shared" si="16"/>
        <v>517738.34866679995</v>
      </c>
      <c r="AS33" s="15">
        <v>15369</v>
      </c>
      <c r="AT33" s="33"/>
      <c r="AU33" s="15">
        <f t="shared" si="75"/>
        <v>5462.882</v>
      </c>
      <c r="AV33" s="15">
        <f t="shared" si="17"/>
        <v>514.0796464</v>
      </c>
      <c r="AW33" s="15">
        <f t="shared" si="18"/>
        <v>5976.961646399999</v>
      </c>
      <c r="AX33" s="15">
        <v>177</v>
      </c>
      <c r="AY33" s="33"/>
      <c r="AZ33" s="15">
        <f t="shared" si="76"/>
        <v>3669.637</v>
      </c>
      <c r="BA33" s="15">
        <f t="shared" si="19"/>
        <v>345.32792240000003</v>
      </c>
      <c r="BB33" s="15">
        <f t="shared" si="20"/>
        <v>4014.9649224000004</v>
      </c>
      <c r="BC33" s="15">
        <v>119</v>
      </c>
      <c r="BD33" s="33"/>
      <c r="BE33" s="15">
        <f t="shared" si="77"/>
        <v>-546.6605000000001</v>
      </c>
      <c r="BF33" s="15">
        <f t="shared" si="21"/>
        <v>-51.4429996</v>
      </c>
      <c r="BG33" s="15">
        <f t="shared" si="22"/>
        <v>-598.1034996000001</v>
      </c>
      <c r="BH33" s="15">
        <v>-18</v>
      </c>
      <c r="BI33" s="15"/>
      <c r="BJ33" s="15">
        <f t="shared" si="78"/>
        <v>-356.16700000000003</v>
      </c>
      <c r="BK33" s="15">
        <f t="shared" si="23"/>
        <v>-33.5167784</v>
      </c>
      <c r="BL33" s="15">
        <f t="shared" si="24"/>
        <v>-389.68377840000005</v>
      </c>
      <c r="BM33" s="15">
        <v>-12</v>
      </c>
      <c r="BN33" s="33"/>
      <c r="BO33" s="15">
        <f t="shared" si="79"/>
        <v>13245.193000000001</v>
      </c>
      <c r="BP33" s="15">
        <f t="shared" si="25"/>
        <v>1246.4270936</v>
      </c>
      <c r="BQ33" s="15">
        <f t="shared" si="26"/>
        <v>14491.6200936</v>
      </c>
      <c r="BR33" s="15">
        <v>430</v>
      </c>
      <c r="BS33" s="33"/>
      <c r="BT33" s="15">
        <f t="shared" si="80"/>
        <v>81453.035</v>
      </c>
      <c r="BU33" s="15">
        <f t="shared" si="27"/>
        <v>7665.065331999999</v>
      </c>
      <c r="BV33" s="15">
        <f t="shared" si="28"/>
        <v>89118.100332</v>
      </c>
      <c r="BW33" s="15">
        <v>2645</v>
      </c>
      <c r="BX33" s="33"/>
      <c r="BY33" s="15">
        <f t="shared" si="81"/>
        <v>547188.5455</v>
      </c>
      <c r="BZ33" s="15">
        <f t="shared" si="29"/>
        <v>51492.690851600004</v>
      </c>
      <c r="CA33" s="15">
        <f t="shared" si="30"/>
        <v>598681.2363516</v>
      </c>
      <c r="CB33" s="15">
        <v>17771</v>
      </c>
      <c r="CC33" s="33"/>
      <c r="CD33" s="15">
        <f t="shared" si="82"/>
        <v>78947.45599999999</v>
      </c>
      <c r="CE33" s="15">
        <f t="shared" si="31"/>
        <v>7429.280051199999</v>
      </c>
      <c r="CF33" s="15">
        <f t="shared" si="32"/>
        <v>86376.73605119999</v>
      </c>
      <c r="CG33" s="15">
        <v>2564</v>
      </c>
      <c r="CH33" s="33"/>
      <c r="CI33" s="15">
        <f t="shared" si="83"/>
        <v>161312.626</v>
      </c>
      <c r="CJ33" s="15">
        <f t="shared" si="33"/>
        <v>15180.181035200001</v>
      </c>
      <c r="CK33" s="15">
        <f t="shared" si="34"/>
        <v>176492.80703519998</v>
      </c>
      <c r="CL33" s="15">
        <v>5239</v>
      </c>
      <c r="CM33" s="33"/>
      <c r="CN33" s="15">
        <f t="shared" si="84"/>
        <v>26161.521</v>
      </c>
      <c r="CO33" s="15">
        <f t="shared" si="35"/>
        <v>2461.9066392</v>
      </c>
      <c r="CP33" s="15">
        <f t="shared" si="36"/>
        <v>28623.4276392</v>
      </c>
      <c r="CQ33" s="15">
        <v>850</v>
      </c>
      <c r="CR33" s="33"/>
      <c r="CS33" s="15">
        <f t="shared" si="85"/>
        <v>134202.981</v>
      </c>
      <c r="CT33" s="15">
        <f t="shared" si="37"/>
        <v>12629.052031199999</v>
      </c>
      <c r="CU33" s="15">
        <f t="shared" si="38"/>
        <v>146832.0330312</v>
      </c>
      <c r="CV33" s="15">
        <v>4359</v>
      </c>
      <c r="CW33" s="33"/>
      <c r="CX33" s="15">
        <f t="shared" si="86"/>
        <v>1199.4265</v>
      </c>
      <c r="CY33" s="15">
        <f t="shared" si="39"/>
        <v>112.8709628</v>
      </c>
      <c r="CZ33" s="15">
        <f t="shared" si="40"/>
        <v>1312.2974628</v>
      </c>
      <c r="DA33" s="15">
        <v>39</v>
      </c>
      <c r="DB33" s="33"/>
      <c r="DC33" s="15">
        <f t="shared" si="87"/>
        <v>1578.5520000000001</v>
      </c>
      <c r="DD33" s="15">
        <f t="shared" si="41"/>
        <v>148.54823040000002</v>
      </c>
      <c r="DE33" s="15">
        <f t="shared" si="42"/>
        <v>1727.1002304</v>
      </c>
      <c r="DF33" s="15">
        <v>51</v>
      </c>
      <c r="DG33" s="33"/>
      <c r="DH33" s="15">
        <f t="shared" si="88"/>
        <v>79540.0335</v>
      </c>
      <c r="DI33" s="15">
        <f t="shared" si="43"/>
        <v>7485.0440292</v>
      </c>
      <c r="DJ33" s="15">
        <f t="shared" si="44"/>
        <v>87025.0775292</v>
      </c>
      <c r="DK33" s="15">
        <v>2583</v>
      </c>
      <c r="DL33" s="33"/>
      <c r="DM33" s="15">
        <f t="shared" si="89"/>
        <v>1514.02</v>
      </c>
      <c r="DN33" s="15">
        <f t="shared" si="45"/>
        <v>142.475504</v>
      </c>
      <c r="DO33" s="15">
        <f t="shared" si="46"/>
        <v>1656.495504</v>
      </c>
      <c r="DP33" s="15">
        <v>49</v>
      </c>
      <c r="DQ33" s="33"/>
      <c r="DR33" s="15">
        <f t="shared" si="90"/>
        <v>22622.809500000003</v>
      </c>
      <c r="DS33" s="15">
        <f t="shared" si="47"/>
        <v>2128.8993444000002</v>
      </c>
      <c r="DT33" s="15">
        <f t="shared" si="48"/>
        <v>24751.708844400004</v>
      </c>
      <c r="DU33" s="15">
        <v>735</v>
      </c>
      <c r="DV33" s="33"/>
      <c r="DW33" s="15">
        <f t="shared" si="91"/>
        <v>15715.403499999999</v>
      </c>
      <c r="DX33" s="15">
        <f t="shared" si="49"/>
        <v>1478.8840532</v>
      </c>
      <c r="DY33" s="15">
        <f t="shared" si="50"/>
        <v>17194.2875532</v>
      </c>
      <c r="DZ33" s="15">
        <v>510</v>
      </c>
      <c r="EA33" s="33"/>
      <c r="EB33" s="15">
        <f t="shared" si="92"/>
        <v>6134.8835</v>
      </c>
      <c r="EC33" s="15">
        <f t="shared" si="51"/>
        <v>577.3177492</v>
      </c>
      <c r="ED33" s="15">
        <f t="shared" si="52"/>
        <v>6712.201249199999</v>
      </c>
      <c r="EE33" s="15">
        <v>199</v>
      </c>
      <c r="EF33" s="33"/>
      <c r="EG33" s="15">
        <f t="shared" si="93"/>
        <v>68944.3755</v>
      </c>
      <c r="EH33" s="15">
        <f t="shared" si="53"/>
        <v>6487.9490676000005</v>
      </c>
      <c r="EI33" s="15">
        <f t="shared" si="54"/>
        <v>75432.3245676</v>
      </c>
      <c r="EJ33" s="15">
        <v>2239</v>
      </c>
      <c r="EK33" s="33"/>
      <c r="EL33" s="15">
        <f t="shared" si="94"/>
        <v>155386.85100000002</v>
      </c>
      <c r="EM33" s="15">
        <f t="shared" si="55"/>
        <v>14622.5412552</v>
      </c>
      <c r="EN33" s="15">
        <f t="shared" si="56"/>
        <v>170009.39225520001</v>
      </c>
      <c r="EO33" s="15">
        <v>5047</v>
      </c>
      <c r="EP33" s="33"/>
      <c r="EQ33" s="15">
        <f t="shared" si="95"/>
        <v>19829.3185</v>
      </c>
      <c r="ER33" s="15">
        <f t="shared" si="57"/>
        <v>1866.0203612</v>
      </c>
      <c r="ES33" s="15">
        <f t="shared" si="58"/>
        <v>21695.3388612</v>
      </c>
      <c r="ET33" s="15">
        <v>644</v>
      </c>
      <c r="EU33" s="33"/>
      <c r="EV33" s="15">
        <f t="shared" si="96"/>
        <v>31489.134000000005</v>
      </c>
      <c r="EW33" s="15">
        <f t="shared" si="59"/>
        <v>2963.2569168000005</v>
      </c>
      <c r="EX33" s="15">
        <f t="shared" si="60"/>
        <v>34452.3909168</v>
      </c>
      <c r="EY33" s="15">
        <v>1023</v>
      </c>
      <c r="EZ33" s="33"/>
      <c r="FA33" s="15">
        <f t="shared" si="97"/>
        <v>145934.7745</v>
      </c>
      <c r="FB33" s="15">
        <f t="shared" si="61"/>
        <v>13733.062012400002</v>
      </c>
      <c r="FC33" s="15">
        <f t="shared" si="62"/>
        <v>159667.8365124</v>
      </c>
      <c r="FD33" s="15">
        <v>4740</v>
      </c>
      <c r="FE33" s="33"/>
      <c r="FF33" s="15">
        <f t="shared" si="98"/>
        <v>7745.081</v>
      </c>
      <c r="FG33" s="15">
        <f t="shared" si="63"/>
        <v>728.8439512</v>
      </c>
      <c r="FH33" s="15">
        <f t="shared" si="64"/>
        <v>8473.9249512</v>
      </c>
      <c r="FI33" s="15">
        <v>252</v>
      </c>
      <c r="FJ33" s="33"/>
      <c r="FK33" s="15">
        <f t="shared" si="99"/>
        <v>44405.462</v>
      </c>
      <c r="FL33" s="15">
        <f t="shared" si="65"/>
        <v>4178.7364624</v>
      </c>
      <c r="FM33" s="15">
        <f t="shared" si="66"/>
        <v>48584.1984624</v>
      </c>
      <c r="FN33" s="15">
        <v>1442</v>
      </c>
      <c r="FO33" s="33"/>
    </row>
    <row r="34" spans="1:171" s="35" customFormat="1" ht="12.75">
      <c r="A34" s="34">
        <v>44470</v>
      </c>
      <c r="C34" s="22"/>
      <c r="D34" s="22">
        <v>428791</v>
      </c>
      <c r="E34" s="16">
        <f t="shared" si="0"/>
        <v>428791</v>
      </c>
      <c r="F34" s="33"/>
      <c r="G34" s="15"/>
      <c r="H34" s="15">
        <f t="shared" si="1"/>
        <v>28362.466453199995</v>
      </c>
      <c r="I34" s="33">
        <f t="shared" si="2"/>
        <v>28362.466453199995</v>
      </c>
      <c r="J34" s="33">
        <v>13330</v>
      </c>
      <c r="K34" s="33"/>
      <c r="L34" s="15"/>
      <c r="M34" s="15">
        <f t="shared" si="3"/>
        <v>484.36231360000005</v>
      </c>
      <c r="N34" s="15">
        <f t="shared" si="4"/>
        <v>484.36231360000005</v>
      </c>
      <c r="O34" s="15">
        <v>228</v>
      </c>
      <c r="P34" s="33"/>
      <c r="Q34" s="33"/>
      <c r="R34" s="15">
        <f t="shared" si="5"/>
        <v>2186.5768254</v>
      </c>
      <c r="S34" s="15">
        <f t="shared" si="6"/>
        <v>2186.5768254</v>
      </c>
      <c r="T34" s="15">
        <v>1028</v>
      </c>
      <c r="U34" s="33"/>
      <c r="V34" s="15"/>
      <c r="W34" s="15">
        <f t="shared" si="7"/>
        <v>38025.05724269999</v>
      </c>
      <c r="X34" s="15">
        <f t="shared" si="8"/>
        <v>38025.05724269999</v>
      </c>
      <c r="Y34" s="15">
        <v>17871</v>
      </c>
      <c r="Z34" s="33"/>
      <c r="AA34" s="15"/>
      <c r="AB34" s="15">
        <f t="shared" si="9"/>
        <v>460.6072922</v>
      </c>
      <c r="AC34" s="15">
        <f t="shared" si="10"/>
        <v>460.6072922</v>
      </c>
      <c r="AD34" s="15">
        <v>216</v>
      </c>
      <c r="AE34" s="15"/>
      <c r="AF34" s="15"/>
      <c r="AG34" s="15">
        <f t="shared" si="11"/>
        <v>388.4417669</v>
      </c>
      <c r="AH34" s="15">
        <f t="shared" si="12"/>
        <v>388.4417669</v>
      </c>
      <c r="AI34" s="15">
        <v>183</v>
      </c>
      <c r="AJ34" s="33"/>
      <c r="AK34" s="15"/>
      <c r="AL34" s="15">
        <f t="shared" si="13"/>
        <v>15936.789338800001</v>
      </c>
      <c r="AM34" s="15">
        <f t="shared" si="14"/>
        <v>15936.789338800001</v>
      </c>
      <c r="AN34" s="15">
        <v>7490</v>
      </c>
      <c r="AO34" s="33"/>
      <c r="AP34" s="15"/>
      <c r="AQ34" s="15">
        <f t="shared" si="15"/>
        <v>32700.587879299997</v>
      </c>
      <c r="AR34" s="15">
        <f t="shared" si="16"/>
        <v>32700.587879299997</v>
      </c>
      <c r="AS34" s="15">
        <v>15369</v>
      </c>
      <c r="AT34" s="33"/>
      <c r="AU34" s="15"/>
      <c r="AV34" s="15">
        <f t="shared" si="17"/>
        <v>377.50759639999995</v>
      </c>
      <c r="AW34" s="15">
        <f t="shared" si="18"/>
        <v>377.50759639999995</v>
      </c>
      <c r="AX34" s="15">
        <v>177</v>
      </c>
      <c r="AY34" s="33"/>
      <c r="AZ34" s="15"/>
      <c r="BA34" s="15">
        <f t="shared" si="19"/>
        <v>253.5869974</v>
      </c>
      <c r="BB34" s="15">
        <f t="shared" si="20"/>
        <v>253.5869974</v>
      </c>
      <c r="BC34" s="15">
        <v>119</v>
      </c>
      <c r="BD34" s="33"/>
      <c r="BE34" s="15"/>
      <c r="BF34" s="15">
        <f t="shared" si="21"/>
        <v>-37.7764871</v>
      </c>
      <c r="BG34" s="15">
        <f t="shared" si="22"/>
        <v>-37.7764871</v>
      </c>
      <c r="BH34" s="15">
        <v>-18</v>
      </c>
      <c r="BI34" s="15"/>
      <c r="BJ34" s="15"/>
      <c r="BK34" s="15">
        <f t="shared" si="23"/>
        <v>-24.6126034</v>
      </c>
      <c r="BL34" s="15">
        <f t="shared" si="24"/>
        <v>-24.6126034</v>
      </c>
      <c r="BM34" s="15">
        <v>-12</v>
      </c>
      <c r="BN34" s="33"/>
      <c r="BO34" s="15"/>
      <c r="BP34" s="15">
        <f t="shared" si="25"/>
        <v>915.2972686</v>
      </c>
      <c r="BQ34" s="15">
        <f t="shared" si="26"/>
        <v>915.2972686</v>
      </c>
      <c r="BR34" s="15">
        <v>430</v>
      </c>
      <c r="BS34" s="33"/>
      <c r="BT34" s="15"/>
      <c r="BU34" s="15">
        <f t="shared" si="27"/>
        <v>5628.739457000001</v>
      </c>
      <c r="BV34" s="15">
        <f t="shared" si="28"/>
        <v>5628.739457000001</v>
      </c>
      <c r="BW34" s="15">
        <v>2645</v>
      </c>
      <c r="BX34" s="33"/>
      <c r="BY34" s="15"/>
      <c r="BZ34" s="15">
        <f t="shared" si="29"/>
        <v>37812.9772141</v>
      </c>
      <c r="CA34" s="15">
        <f t="shared" si="30"/>
        <v>37812.9772141</v>
      </c>
      <c r="CB34" s="15">
        <v>17771</v>
      </c>
      <c r="CC34" s="33"/>
      <c r="CD34" s="15"/>
      <c r="CE34" s="15">
        <f t="shared" si="31"/>
        <v>5455.5936512</v>
      </c>
      <c r="CF34" s="15">
        <f t="shared" si="32"/>
        <v>5455.5936512</v>
      </c>
      <c r="CG34" s="15">
        <v>2564</v>
      </c>
      <c r="CH34" s="33"/>
      <c r="CI34" s="15"/>
      <c r="CJ34" s="15">
        <f t="shared" si="33"/>
        <v>11147.365385199999</v>
      </c>
      <c r="CK34" s="15">
        <f t="shared" si="34"/>
        <v>11147.365385199999</v>
      </c>
      <c r="CL34" s="15">
        <v>5239</v>
      </c>
      <c r="CM34" s="33"/>
      <c r="CN34" s="15"/>
      <c r="CO34" s="15">
        <f t="shared" si="35"/>
        <v>1807.8686142</v>
      </c>
      <c r="CP34" s="15">
        <f t="shared" si="36"/>
        <v>1807.8686142</v>
      </c>
      <c r="CQ34" s="15">
        <v>850</v>
      </c>
      <c r="CR34" s="33"/>
      <c r="CS34" s="15"/>
      <c r="CT34" s="15">
        <f t="shared" si="37"/>
        <v>9273.977506199999</v>
      </c>
      <c r="CU34" s="15">
        <f t="shared" si="38"/>
        <v>9273.977506199999</v>
      </c>
      <c r="CV34" s="15">
        <v>4359</v>
      </c>
      <c r="CW34" s="33"/>
      <c r="CX34" s="15"/>
      <c r="CY34" s="15">
        <f t="shared" si="39"/>
        <v>82.8853003</v>
      </c>
      <c r="CZ34" s="15">
        <f t="shared" si="40"/>
        <v>82.8853003</v>
      </c>
      <c r="DA34" s="15">
        <v>39</v>
      </c>
      <c r="DB34" s="33"/>
      <c r="DC34" s="15"/>
      <c r="DD34" s="15">
        <f t="shared" si="41"/>
        <v>109.0844304</v>
      </c>
      <c r="DE34" s="15">
        <f t="shared" si="42"/>
        <v>109.0844304</v>
      </c>
      <c r="DF34" s="15">
        <v>51</v>
      </c>
      <c r="DG34" s="33"/>
      <c r="DH34" s="15"/>
      <c r="DI34" s="15">
        <f t="shared" si="43"/>
        <v>5496.5431917000005</v>
      </c>
      <c r="DJ34" s="15">
        <f t="shared" si="44"/>
        <v>5496.5431917000005</v>
      </c>
      <c r="DK34" s="15">
        <v>2583</v>
      </c>
      <c r="DL34" s="33"/>
      <c r="DM34" s="15"/>
      <c r="DN34" s="15">
        <f t="shared" si="45"/>
        <v>104.625004</v>
      </c>
      <c r="DO34" s="15">
        <f t="shared" si="46"/>
        <v>104.625004</v>
      </c>
      <c r="DP34" s="15">
        <v>49</v>
      </c>
      <c r="DQ34" s="33"/>
      <c r="DR34" s="15"/>
      <c r="DS34" s="15">
        <f t="shared" si="47"/>
        <v>1563.3291069000002</v>
      </c>
      <c r="DT34" s="15">
        <f t="shared" si="48"/>
        <v>1563.3291069000002</v>
      </c>
      <c r="DU34" s="15">
        <v>735</v>
      </c>
      <c r="DV34" s="33"/>
      <c r="DW34" s="15"/>
      <c r="DX34" s="15">
        <f t="shared" si="49"/>
        <v>1085.9989656999999</v>
      </c>
      <c r="DY34" s="15">
        <f t="shared" si="50"/>
        <v>1085.9989656999999</v>
      </c>
      <c r="DZ34" s="15">
        <v>510</v>
      </c>
      <c r="EA34" s="33"/>
      <c r="EB34" s="15"/>
      <c r="EC34" s="15">
        <f t="shared" si="51"/>
        <v>423.94566169999996</v>
      </c>
      <c r="ED34" s="15">
        <f t="shared" si="52"/>
        <v>423.94566169999996</v>
      </c>
      <c r="EE34" s="15">
        <v>199</v>
      </c>
      <c r="EF34" s="33"/>
      <c r="EG34" s="15"/>
      <c r="EH34" s="15">
        <f t="shared" si="53"/>
        <v>4764.3396801</v>
      </c>
      <c r="EI34" s="15">
        <f t="shared" si="54"/>
        <v>4764.3396801</v>
      </c>
      <c r="EJ34" s="15">
        <v>2239</v>
      </c>
      <c r="EK34" s="33"/>
      <c r="EL34" s="15"/>
      <c r="EM34" s="15">
        <f t="shared" si="55"/>
        <v>10737.869980200001</v>
      </c>
      <c r="EN34" s="15">
        <f t="shared" si="56"/>
        <v>10737.869980200001</v>
      </c>
      <c r="EO34" s="15">
        <v>5047</v>
      </c>
      <c r="EP34" s="33"/>
      <c r="EQ34" s="15"/>
      <c r="ER34" s="15">
        <f t="shared" si="57"/>
        <v>1370.2873987000003</v>
      </c>
      <c r="ES34" s="15">
        <f t="shared" si="58"/>
        <v>1370.2873987000003</v>
      </c>
      <c r="ET34" s="15">
        <v>644</v>
      </c>
      <c r="EU34" s="33"/>
      <c r="EV34" s="15"/>
      <c r="EW34" s="15">
        <f t="shared" si="59"/>
        <v>2176.0285668</v>
      </c>
      <c r="EX34" s="15">
        <f t="shared" si="60"/>
        <v>2176.0285668</v>
      </c>
      <c r="EY34" s="15">
        <v>1023</v>
      </c>
      <c r="EZ34" s="33"/>
      <c r="FA34" s="15"/>
      <c r="FB34" s="15">
        <f t="shared" si="61"/>
        <v>10084.6926499</v>
      </c>
      <c r="FC34" s="15">
        <f t="shared" si="62"/>
        <v>10084.6926499</v>
      </c>
      <c r="FD34" s="15">
        <v>4740</v>
      </c>
      <c r="FE34" s="33"/>
      <c r="FF34" s="15"/>
      <c r="FG34" s="15">
        <f t="shared" si="63"/>
        <v>535.2169262</v>
      </c>
      <c r="FH34" s="15">
        <f t="shared" si="64"/>
        <v>535.2169262</v>
      </c>
      <c r="FI34" s="15">
        <v>252</v>
      </c>
      <c r="FJ34" s="33"/>
      <c r="FK34" s="15"/>
      <c r="FL34" s="15">
        <f t="shared" si="65"/>
        <v>3068.5999124</v>
      </c>
      <c r="FM34" s="15">
        <f t="shared" si="66"/>
        <v>3068.5999124</v>
      </c>
      <c r="FN34" s="15">
        <v>1442</v>
      </c>
      <c r="FO34" s="33"/>
    </row>
    <row r="35" spans="1:171" s="35" customFormat="1" ht="12.75">
      <c r="A35" s="34">
        <v>44652</v>
      </c>
      <c r="C35" s="22">
        <v>6515000</v>
      </c>
      <c r="D35" s="22">
        <v>428791</v>
      </c>
      <c r="E35" s="16">
        <f t="shared" si="0"/>
        <v>6943791</v>
      </c>
      <c r="F35" s="33"/>
      <c r="G35" s="15">
        <f t="shared" si="67"/>
        <v>430935.97799999994</v>
      </c>
      <c r="H35" s="15">
        <f t="shared" si="1"/>
        <v>28362.466453199995</v>
      </c>
      <c r="I35" s="33">
        <f t="shared" si="2"/>
        <v>459298.4444531999</v>
      </c>
      <c r="J35" s="33">
        <v>13330</v>
      </c>
      <c r="K35" s="33"/>
      <c r="L35" s="15">
        <f t="shared" si="68"/>
        <v>7359.344</v>
      </c>
      <c r="M35" s="15">
        <f t="shared" si="3"/>
        <v>484.36231360000005</v>
      </c>
      <c r="N35" s="15">
        <f t="shared" si="4"/>
        <v>7843.7063136</v>
      </c>
      <c r="O35" s="15">
        <v>228</v>
      </c>
      <c r="P35" s="33"/>
      <c r="Q35" s="33">
        <f t="shared" si="69"/>
        <v>33222.59099999999</v>
      </c>
      <c r="R35" s="15">
        <f t="shared" si="5"/>
        <v>2186.5768254</v>
      </c>
      <c r="S35" s="15">
        <f t="shared" si="6"/>
        <v>35409.16782539999</v>
      </c>
      <c r="T35" s="15">
        <v>1028</v>
      </c>
      <c r="U35" s="33"/>
      <c r="V35" s="15">
        <f t="shared" si="70"/>
        <v>577748.2455</v>
      </c>
      <c r="W35" s="15">
        <f t="shared" si="7"/>
        <v>38025.05724269999</v>
      </c>
      <c r="X35" s="15">
        <f t="shared" si="8"/>
        <v>615773.3027427</v>
      </c>
      <c r="Y35" s="15">
        <v>17871</v>
      </c>
      <c r="Z35" s="33"/>
      <c r="AA35" s="15">
        <f t="shared" si="71"/>
        <v>6998.4130000000005</v>
      </c>
      <c r="AB35" s="15">
        <f t="shared" si="9"/>
        <v>460.6072922</v>
      </c>
      <c r="AC35" s="15">
        <f t="shared" si="10"/>
        <v>7459.020292200001</v>
      </c>
      <c r="AD35" s="15">
        <v>216</v>
      </c>
      <c r="AE35" s="15"/>
      <c r="AF35" s="15">
        <f t="shared" si="72"/>
        <v>5901.9385</v>
      </c>
      <c r="AG35" s="15">
        <f t="shared" si="11"/>
        <v>388.4417669</v>
      </c>
      <c r="AH35" s="15">
        <f t="shared" si="12"/>
        <v>6290.380266900001</v>
      </c>
      <c r="AI35" s="15">
        <v>183</v>
      </c>
      <c r="AJ35" s="33"/>
      <c r="AK35" s="15">
        <f t="shared" si="73"/>
        <v>242141.70200000002</v>
      </c>
      <c r="AL35" s="15">
        <f t="shared" si="13"/>
        <v>15936.789338800001</v>
      </c>
      <c r="AM35" s="15">
        <f t="shared" si="14"/>
        <v>258078.49133880003</v>
      </c>
      <c r="AN35" s="15">
        <v>7490</v>
      </c>
      <c r="AO35" s="33"/>
      <c r="AP35" s="15">
        <f t="shared" si="74"/>
        <v>496848.8844999999</v>
      </c>
      <c r="AQ35" s="15">
        <f t="shared" si="15"/>
        <v>32700.587879299997</v>
      </c>
      <c r="AR35" s="15">
        <f t="shared" si="16"/>
        <v>529549.4723792999</v>
      </c>
      <c r="AS35" s="15">
        <v>15369</v>
      </c>
      <c r="AT35" s="33"/>
      <c r="AU35" s="15">
        <f t="shared" si="75"/>
        <v>5735.806</v>
      </c>
      <c r="AV35" s="15">
        <f t="shared" si="17"/>
        <v>377.50759639999995</v>
      </c>
      <c r="AW35" s="15">
        <f t="shared" si="18"/>
        <v>6113.313596399999</v>
      </c>
      <c r="AX35" s="15">
        <v>177</v>
      </c>
      <c r="AY35" s="33"/>
      <c r="AZ35" s="15">
        <f t="shared" si="76"/>
        <v>3852.9709999999995</v>
      </c>
      <c r="BA35" s="15">
        <f t="shared" si="19"/>
        <v>253.5869974</v>
      </c>
      <c r="BB35" s="15">
        <f t="shared" si="20"/>
        <v>4106.557997399999</v>
      </c>
      <c r="BC35" s="15">
        <v>119</v>
      </c>
      <c r="BD35" s="33"/>
      <c r="BE35" s="15">
        <f t="shared" si="77"/>
        <v>-573.9715</v>
      </c>
      <c r="BF35" s="15">
        <f t="shared" si="21"/>
        <v>-37.7764871</v>
      </c>
      <c r="BG35" s="15">
        <f t="shared" si="22"/>
        <v>-611.7479871</v>
      </c>
      <c r="BH35" s="15">
        <v>-18</v>
      </c>
      <c r="BI35" s="15"/>
      <c r="BJ35" s="15">
        <f t="shared" si="78"/>
        <v>-373.961</v>
      </c>
      <c r="BK35" s="15">
        <f t="shared" si="23"/>
        <v>-24.6126034</v>
      </c>
      <c r="BL35" s="15">
        <f t="shared" si="24"/>
        <v>-398.5736034</v>
      </c>
      <c r="BM35" s="15">
        <v>-12</v>
      </c>
      <c r="BN35" s="33"/>
      <c r="BO35" s="15">
        <f t="shared" si="79"/>
        <v>13906.919000000002</v>
      </c>
      <c r="BP35" s="15">
        <f t="shared" si="25"/>
        <v>915.2972686</v>
      </c>
      <c r="BQ35" s="15">
        <f t="shared" si="26"/>
        <v>14822.216268600001</v>
      </c>
      <c r="BR35" s="15">
        <v>430</v>
      </c>
      <c r="BS35" s="33"/>
      <c r="BT35" s="15">
        <f t="shared" si="80"/>
        <v>85522.405</v>
      </c>
      <c r="BU35" s="15">
        <f t="shared" si="27"/>
        <v>5628.739457000001</v>
      </c>
      <c r="BV35" s="15">
        <f t="shared" si="28"/>
        <v>91151.144457</v>
      </c>
      <c r="BW35" s="15">
        <v>2645</v>
      </c>
      <c r="BX35" s="33"/>
      <c r="BY35" s="15">
        <f t="shared" si="81"/>
        <v>574525.9265</v>
      </c>
      <c r="BZ35" s="15">
        <f t="shared" si="29"/>
        <v>37812.9772141</v>
      </c>
      <c r="CA35" s="15">
        <f t="shared" si="30"/>
        <v>612338.9037140999</v>
      </c>
      <c r="CB35" s="15">
        <v>17771</v>
      </c>
      <c r="CC35" s="33"/>
      <c r="CD35" s="15">
        <f t="shared" si="82"/>
        <v>82891.64799999999</v>
      </c>
      <c r="CE35" s="15">
        <f t="shared" si="31"/>
        <v>5455.5936512</v>
      </c>
      <c r="CF35" s="15">
        <f t="shared" si="32"/>
        <v>88347.24165119999</v>
      </c>
      <c r="CG35" s="15">
        <v>2564</v>
      </c>
      <c r="CH35" s="33"/>
      <c r="CI35" s="15">
        <f t="shared" si="83"/>
        <v>169371.758</v>
      </c>
      <c r="CJ35" s="15">
        <f t="shared" si="33"/>
        <v>11147.365385199999</v>
      </c>
      <c r="CK35" s="15">
        <f t="shared" si="34"/>
        <v>180519.1233852</v>
      </c>
      <c r="CL35" s="15">
        <v>5239</v>
      </c>
      <c r="CM35" s="33"/>
      <c r="CN35" s="15">
        <f t="shared" si="84"/>
        <v>27468.542999999998</v>
      </c>
      <c r="CO35" s="15">
        <f t="shared" si="35"/>
        <v>1807.8686142</v>
      </c>
      <c r="CP35" s="15">
        <f t="shared" si="36"/>
        <v>29276.4116142</v>
      </c>
      <c r="CQ35" s="15">
        <v>850</v>
      </c>
      <c r="CR35" s="33"/>
      <c r="CS35" s="15">
        <f t="shared" si="85"/>
        <v>140907.723</v>
      </c>
      <c r="CT35" s="15">
        <f t="shared" si="37"/>
        <v>9273.977506199999</v>
      </c>
      <c r="CU35" s="15">
        <f t="shared" si="38"/>
        <v>150181.7005062</v>
      </c>
      <c r="CV35" s="15">
        <v>4359</v>
      </c>
      <c r="CW35" s="33"/>
      <c r="CX35" s="15">
        <f t="shared" si="86"/>
        <v>1259.3495</v>
      </c>
      <c r="CY35" s="15">
        <f t="shared" si="39"/>
        <v>82.8853003</v>
      </c>
      <c r="CZ35" s="15">
        <f t="shared" si="40"/>
        <v>1342.2348003</v>
      </c>
      <c r="DA35" s="15">
        <v>39</v>
      </c>
      <c r="DB35" s="33"/>
      <c r="DC35" s="15">
        <f t="shared" si="87"/>
        <v>1657.4160000000002</v>
      </c>
      <c r="DD35" s="15">
        <f t="shared" si="41"/>
        <v>109.0844304</v>
      </c>
      <c r="DE35" s="15">
        <f t="shared" si="42"/>
        <v>1766.5004304000001</v>
      </c>
      <c r="DF35" s="15">
        <v>51</v>
      </c>
      <c r="DG35" s="33"/>
      <c r="DH35" s="15">
        <f t="shared" si="88"/>
        <v>83513.83050000001</v>
      </c>
      <c r="DI35" s="15">
        <f t="shared" si="43"/>
        <v>5496.5431917000005</v>
      </c>
      <c r="DJ35" s="15">
        <f t="shared" si="44"/>
        <v>89010.3736917</v>
      </c>
      <c r="DK35" s="15">
        <v>2583</v>
      </c>
      <c r="DL35" s="33"/>
      <c r="DM35" s="15">
        <f t="shared" si="89"/>
        <v>1589.66</v>
      </c>
      <c r="DN35" s="15">
        <f t="shared" si="45"/>
        <v>104.625004</v>
      </c>
      <c r="DO35" s="15">
        <f t="shared" si="46"/>
        <v>1694.285004</v>
      </c>
      <c r="DP35" s="15">
        <v>49</v>
      </c>
      <c r="DQ35" s="33"/>
      <c r="DR35" s="15">
        <f t="shared" si="90"/>
        <v>23753.038500000002</v>
      </c>
      <c r="DS35" s="15">
        <f t="shared" si="47"/>
        <v>1563.3291069000002</v>
      </c>
      <c r="DT35" s="15">
        <f t="shared" si="48"/>
        <v>25316.367606900003</v>
      </c>
      <c r="DU35" s="15">
        <v>735</v>
      </c>
      <c r="DV35" s="33"/>
      <c r="DW35" s="15">
        <f t="shared" si="91"/>
        <v>16500.5405</v>
      </c>
      <c r="DX35" s="15">
        <f t="shared" si="49"/>
        <v>1085.9989656999999</v>
      </c>
      <c r="DY35" s="15">
        <f t="shared" si="50"/>
        <v>17586.5394657</v>
      </c>
      <c r="DZ35" s="15">
        <v>510</v>
      </c>
      <c r="EA35" s="33"/>
      <c r="EB35" s="15">
        <f t="shared" si="92"/>
        <v>6441.3805</v>
      </c>
      <c r="EC35" s="15">
        <f t="shared" si="51"/>
        <v>423.94566169999996</v>
      </c>
      <c r="ED35" s="15">
        <f t="shared" si="52"/>
        <v>6865.3261617</v>
      </c>
      <c r="EE35" s="15">
        <v>199</v>
      </c>
      <c r="EF35" s="33"/>
      <c r="EG35" s="15">
        <f t="shared" si="93"/>
        <v>72388.8165</v>
      </c>
      <c r="EH35" s="15">
        <f t="shared" si="53"/>
        <v>4764.3396801</v>
      </c>
      <c r="EI35" s="15">
        <f t="shared" si="54"/>
        <v>77153.1561801</v>
      </c>
      <c r="EJ35" s="15">
        <v>2239</v>
      </c>
      <c r="EK35" s="33"/>
      <c r="EL35" s="15">
        <f t="shared" si="94"/>
        <v>163149.93300000002</v>
      </c>
      <c r="EM35" s="15">
        <f t="shared" si="55"/>
        <v>10737.869980200001</v>
      </c>
      <c r="EN35" s="15">
        <f t="shared" si="56"/>
        <v>173887.8029802</v>
      </c>
      <c r="EO35" s="15">
        <v>5047</v>
      </c>
      <c r="EP35" s="33"/>
      <c r="EQ35" s="15">
        <f t="shared" si="95"/>
        <v>20819.9855</v>
      </c>
      <c r="ER35" s="15">
        <f t="shared" si="57"/>
        <v>1370.2873987000003</v>
      </c>
      <c r="ES35" s="15">
        <f t="shared" si="58"/>
        <v>22190.2728987</v>
      </c>
      <c r="ET35" s="15">
        <v>644</v>
      </c>
      <c r="EU35" s="33"/>
      <c r="EV35" s="15">
        <f t="shared" si="96"/>
        <v>33062.322</v>
      </c>
      <c r="EW35" s="15">
        <f t="shared" si="59"/>
        <v>2176.0285668</v>
      </c>
      <c r="EX35" s="15">
        <f t="shared" si="60"/>
        <v>35238.3505668</v>
      </c>
      <c r="EY35" s="15">
        <v>1023</v>
      </c>
      <c r="EZ35" s="33"/>
      <c r="FA35" s="15">
        <f t="shared" si="97"/>
        <v>153225.6335</v>
      </c>
      <c r="FB35" s="15">
        <f t="shared" si="61"/>
        <v>10084.6926499</v>
      </c>
      <c r="FC35" s="15">
        <f t="shared" si="62"/>
        <v>163310.3261499</v>
      </c>
      <c r="FD35" s="15">
        <v>4740</v>
      </c>
      <c r="FE35" s="33"/>
      <c r="FF35" s="15">
        <f t="shared" si="98"/>
        <v>8132.023</v>
      </c>
      <c r="FG35" s="15">
        <f t="shared" si="63"/>
        <v>535.2169262</v>
      </c>
      <c r="FH35" s="15">
        <f t="shared" si="64"/>
        <v>8667.2399262</v>
      </c>
      <c r="FI35" s="15">
        <v>252</v>
      </c>
      <c r="FJ35" s="33"/>
      <c r="FK35" s="15">
        <f t="shared" si="99"/>
        <v>46623.946</v>
      </c>
      <c r="FL35" s="15">
        <f t="shared" si="65"/>
        <v>3068.5999124</v>
      </c>
      <c r="FM35" s="15">
        <f t="shared" si="66"/>
        <v>49692.545912400004</v>
      </c>
      <c r="FN35" s="15">
        <v>1442</v>
      </c>
      <c r="FO35" s="33"/>
    </row>
    <row r="36" spans="1:171" s="35" customFormat="1" ht="12.75">
      <c r="A36" s="34">
        <v>44835</v>
      </c>
      <c r="C36" s="22"/>
      <c r="D36" s="22">
        <v>294419</v>
      </c>
      <c r="E36" s="16">
        <f t="shared" si="0"/>
        <v>294419</v>
      </c>
      <c r="F36" s="33"/>
      <c r="G36" s="15"/>
      <c r="H36" s="15">
        <f t="shared" si="1"/>
        <v>19474.4036388</v>
      </c>
      <c r="I36" s="33">
        <f t="shared" si="2"/>
        <v>19474.4036388</v>
      </c>
      <c r="J36" s="33">
        <v>13330</v>
      </c>
      <c r="K36" s="33"/>
      <c r="L36" s="15"/>
      <c r="M36" s="15">
        <f t="shared" si="3"/>
        <v>332.5757024</v>
      </c>
      <c r="N36" s="15">
        <f t="shared" si="4"/>
        <v>332.5757024</v>
      </c>
      <c r="O36" s="15">
        <v>228</v>
      </c>
      <c r="P36" s="33"/>
      <c r="Q36" s="33"/>
      <c r="R36" s="15">
        <f t="shared" si="5"/>
        <v>1501.3602485999997</v>
      </c>
      <c r="S36" s="15">
        <f t="shared" si="6"/>
        <v>1501.3602485999997</v>
      </c>
      <c r="T36" s="15">
        <v>1028</v>
      </c>
      <c r="U36" s="33"/>
      <c r="V36" s="15"/>
      <c r="W36" s="15">
        <f t="shared" si="7"/>
        <v>26108.988594299997</v>
      </c>
      <c r="X36" s="15">
        <f t="shared" si="8"/>
        <v>26108.988594299997</v>
      </c>
      <c r="Y36" s="15">
        <v>17871</v>
      </c>
      <c r="Z36" s="33"/>
      <c r="AA36" s="15"/>
      <c r="AB36" s="15">
        <f t="shared" si="9"/>
        <v>316.2648898</v>
      </c>
      <c r="AC36" s="15">
        <f t="shared" si="10"/>
        <v>316.2648898</v>
      </c>
      <c r="AD36" s="15">
        <v>216</v>
      </c>
      <c r="AE36" s="15"/>
      <c r="AF36" s="15"/>
      <c r="AG36" s="15">
        <f t="shared" si="11"/>
        <v>266.7141721</v>
      </c>
      <c r="AH36" s="15">
        <f t="shared" si="12"/>
        <v>266.7141721</v>
      </c>
      <c r="AI36" s="15">
        <v>183</v>
      </c>
      <c r="AJ36" s="33"/>
      <c r="AK36" s="15"/>
      <c r="AL36" s="15">
        <f t="shared" si="13"/>
        <v>10942.612089200002</v>
      </c>
      <c r="AM36" s="15">
        <f t="shared" si="14"/>
        <v>10942.612089200002</v>
      </c>
      <c r="AN36" s="15">
        <v>7490</v>
      </c>
      <c r="AO36" s="33"/>
      <c r="AP36" s="15"/>
      <c r="AQ36" s="15">
        <f t="shared" si="15"/>
        <v>22453.070103699996</v>
      </c>
      <c r="AR36" s="15">
        <f t="shared" si="16"/>
        <v>22453.070103699996</v>
      </c>
      <c r="AS36" s="15">
        <v>15369</v>
      </c>
      <c r="AT36" s="33"/>
      <c r="AU36" s="15"/>
      <c r="AV36" s="15">
        <f t="shared" si="17"/>
        <v>259.20648759999995</v>
      </c>
      <c r="AW36" s="15">
        <f t="shared" si="18"/>
        <v>259.20648759999995</v>
      </c>
      <c r="AX36" s="15">
        <v>177</v>
      </c>
      <c r="AY36" s="33"/>
      <c r="AZ36" s="15"/>
      <c r="BA36" s="15">
        <f t="shared" si="19"/>
        <v>174.1193966</v>
      </c>
      <c r="BB36" s="15">
        <f t="shared" si="20"/>
        <v>174.1193966</v>
      </c>
      <c r="BC36" s="15">
        <v>119</v>
      </c>
      <c r="BD36" s="33"/>
      <c r="BE36" s="15"/>
      <c r="BF36" s="15">
        <f t="shared" si="21"/>
        <v>-25.938313899999997</v>
      </c>
      <c r="BG36" s="15">
        <f t="shared" si="22"/>
        <v>-25.938313899999997</v>
      </c>
      <c r="BH36" s="15">
        <v>-18</v>
      </c>
      <c r="BI36" s="15"/>
      <c r="BJ36" s="15"/>
      <c r="BK36" s="15">
        <f t="shared" si="23"/>
        <v>-16.8996506</v>
      </c>
      <c r="BL36" s="15">
        <f t="shared" si="24"/>
        <v>-16.8996506</v>
      </c>
      <c r="BM36" s="15">
        <v>-12</v>
      </c>
      <c r="BN36" s="33"/>
      <c r="BO36" s="15"/>
      <c r="BP36" s="15">
        <f t="shared" si="25"/>
        <v>628.4667974</v>
      </c>
      <c r="BQ36" s="15">
        <f t="shared" si="26"/>
        <v>628.4667974</v>
      </c>
      <c r="BR36" s="15">
        <v>430</v>
      </c>
      <c r="BS36" s="33"/>
      <c r="BT36" s="15"/>
      <c r="BU36" s="15">
        <f t="shared" si="27"/>
        <v>3864.838213</v>
      </c>
      <c r="BV36" s="15">
        <f t="shared" si="28"/>
        <v>3864.838213</v>
      </c>
      <c r="BW36" s="15">
        <v>2645</v>
      </c>
      <c r="BX36" s="33"/>
      <c r="BY36" s="15"/>
      <c r="BZ36" s="15">
        <f t="shared" si="29"/>
        <v>25963.3689569</v>
      </c>
      <c r="CA36" s="15">
        <f t="shared" si="30"/>
        <v>25963.3689569</v>
      </c>
      <c r="CB36" s="15">
        <v>17771</v>
      </c>
      <c r="CC36" s="33"/>
      <c r="CD36" s="15"/>
      <c r="CE36" s="15">
        <f t="shared" si="31"/>
        <v>3745.9518207999995</v>
      </c>
      <c r="CF36" s="15">
        <f t="shared" si="32"/>
        <v>3745.9518207999995</v>
      </c>
      <c r="CG36" s="15">
        <v>2564</v>
      </c>
      <c r="CH36" s="33"/>
      <c r="CI36" s="15"/>
      <c r="CJ36" s="15">
        <f t="shared" si="33"/>
        <v>7654.0696268</v>
      </c>
      <c r="CK36" s="15">
        <f t="shared" si="34"/>
        <v>7654.0696268</v>
      </c>
      <c r="CL36" s="15">
        <v>5239</v>
      </c>
      <c r="CM36" s="33"/>
      <c r="CN36" s="15"/>
      <c r="CO36" s="15">
        <f t="shared" si="35"/>
        <v>1241.3293878</v>
      </c>
      <c r="CP36" s="15">
        <f t="shared" si="36"/>
        <v>1241.3293878</v>
      </c>
      <c r="CQ36" s="15">
        <v>850</v>
      </c>
      <c r="CR36" s="33"/>
      <c r="CS36" s="15"/>
      <c r="CT36" s="15">
        <f t="shared" si="37"/>
        <v>6367.7530158</v>
      </c>
      <c r="CU36" s="15">
        <f t="shared" si="38"/>
        <v>6367.7530158</v>
      </c>
      <c r="CV36" s="15">
        <v>4359</v>
      </c>
      <c r="CW36" s="33"/>
      <c r="CX36" s="15"/>
      <c r="CY36" s="15">
        <f t="shared" si="39"/>
        <v>56.9111927</v>
      </c>
      <c r="CZ36" s="15">
        <f t="shared" si="40"/>
        <v>56.9111927</v>
      </c>
      <c r="DA36" s="15">
        <v>39</v>
      </c>
      <c r="DB36" s="33"/>
      <c r="DC36" s="15"/>
      <c r="DD36" s="15">
        <f t="shared" si="41"/>
        <v>74.90019360000001</v>
      </c>
      <c r="DE36" s="15">
        <f t="shared" si="42"/>
        <v>74.90019360000001</v>
      </c>
      <c r="DF36" s="15">
        <v>51</v>
      </c>
      <c r="DG36" s="33"/>
      <c r="DH36" s="15"/>
      <c r="DI36" s="15">
        <f t="shared" si="43"/>
        <v>3774.0688353</v>
      </c>
      <c r="DJ36" s="15">
        <f t="shared" si="44"/>
        <v>3774.0688353</v>
      </c>
      <c r="DK36" s="15">
        <v>2583</v>
      </c>
      <c r="DL36" s="33"/>
      <c r="DM36" s="15"/>
      <c r="DN36" s="15">
        <f t="shared" si="45"/>
        <v>71.83823600000001</v>
      </c>
      <c r="DO36" s="15">
        <f t="shared" si="46"/>
        <v>71.83823600000001</v>
      </c>
      <c r="DP36" s="15">
        <v>49</v>
      </c>
      <c r="DQ36" s="33"/>
      <c r="DR36" s="15"/>
      <c r="DS36" s="15">
        <f t="shared" si="47"/>
        <v>1073.4222321000002</v>
      </c>
      <c r="DT36" s="15">
        <f t="shared" si="48"/>
        <v>1073.4222321000002</v>
      </c>
      <c r="DU36" s="15">
        <v>735</v>
      </c>
      <c r="DV36" s="33"/>
      <c r="DW36" s="15"/>
      <c r="DX36" s="15">
        <f t="shared" si="49"/>
        <v>745.6750013</v>
      </c>
      <c r="DY36" s="15">
        <f t="shared" si="50"/>
        <v>745.6750013</v>
      </c>
      <c r="DZ36" s="15">
        <v>510</v>
      </c>
      <c r="EA36" s="33"/>
      <c r="EB36" s="15"/>
      <c r="EC36" s="15">
        <f t="shared" si="51"/>
        <v>291.0920653</v>
      </c>
      <c r="ED36" s="15">
        <f t="shared" si="52"/>
        <v>291.0920653</v>
      </c>
      <c r="EE36" s="15">
        <v>199</v>
      </c>
      <c r="EF36" s="33"/>
      <c r="EG36" s="15"/>
      <c r="EH36" s="15">
        <f t="shared" si="53"/>
        <v>3271.3189509</v>
      </c>
      <c r="EI36" s="15">
        <f t="shared" si="54"/>
        <v>3271.3189509</v>
      </c>
      <c r="EJ36" s="15">
        <v>2239</v>
      </c>
      <c r="EK36" s="33"/>
      <c r="EL36" s="15"/>
      <c r="EM36" s="15">
        <f t="shared" si="55"/>
        <v>7372.899481800001</v>
      </c>
      <c r="EN36" s="15">
        <f t="shared" si="56"/>
        <v>7372.899481800001</v>
      </c>
      <c r="EO36" s="15">
        <v>5047</v>
      </c>
      <c r="EP36" s="33"/>
      <c r="EQ36" s="15"/>
      <c r="ER36" s="15">
        <f t="shared" si="57"/>
        <v>940.8747983000001</v>
      </c>
      <c r="ES36" s="15">
        <f t="shared" si="58"/>
        <v>940.8747983000001</v>
      </c>
      <c r="ET36" s="15">
        <v>644</v>
      </c>
      <c r="EU36" s="33"/>
      <c r="EV36" s="15"/>
      <c r="EW36" s="15">
        <f t="shared" si="59"/>
        <v>1494.1175412000002</v>
      </c>
      <c r="EX36" s="15">
        <f t="shared" si="60"/>
        <v>1494.1175412000002</v>
      </c>
      <c r="EY36" s="15">
        <v>1023</v>
      </c>
      <c r="EZ36" s="33"/>
      <c r="FA36" s="15"/>
      <c r="FB36" s="15">
        <f t="shared" si="61"/>
        <v>6924.4110191</v>
      </c>
      <c r="FC36" s="15">
        <f t="shared" si="62"/>
        <v>6924.4110191</v>
      </c>
      <c r="FD36" s="15">
        <v>4740</v>
      </c>
      <c r="FE36" s="33"/>
      <c r="FF36" s="15"/>
      <c r="FG36" s="15">
        <f t="shared" si="63"/>
        <v>367.4937958</v>
      </c>
      <c r="FH36" s="15">
        <f t="shared" si="64"/>
        <v>367.4937958</v>
      </c>
      <c r="FI36" s="15">
        <v>252</v>
      </c>
      <c r="FJ36" s="33"/>
      <c r="FK36" s="15"/>
      <c r="FL36" s="15">
        <f t="shared" si="65"/>
        <v>2106.9801316</v>
      </c>
      <c r="FM36" s="15">
        <f t="shared" si="66"/>
        <v>2106.9801316</v>
      </c>
      <c r="FN36" s="15">
        <v>1442</v>
      </c>
      <c r="FO36" s="33"/>
    </row>
    <row r="37" spans="1:171" s="35" customFormat="1" ht="12.75">
      <c r="A37" s="34">
        <v>45017</v>
      </c>
      <c r="C37" s="22">
        <v>6785000</v>
      </c>
      <c r="D37" s="22">
        <v>294419</v>
      </c>
      <c r="E37" s="16">
        <f t="shared" si="0"/>
        <v>7079419</v>
      </c>
      <c r="F37" s="33"/>
      <c r="G37" s="15">
        <f t="shared" si="67"/>
        <v>448795.182</v>
      </c>
      <c r="H37" s="15">
        <f t="shared" si="1"/>
        <v>19474.4036388</v>
      </c>
      <c r="I37" s="33">
        <f t="shared" si="2"/>
        <v>468269.5856388</v>
      </c>
      <c r="J37" s="33">
        <v>13330</v>
      </c>
      <c r="K37" s="33"/>
      <c r="L37" s="15">
        <f t="shared" si="68"/>
        <v>7664.335999999999</v>
      </c>
      <c r="M37" s="15">
        <f t="shared" si="3"/>
        <v>332.5757024</v>
      </c>
      <c r="N37" s="15">
        <f t="shared" si="4"/>
        <v>7996.9117024</v>
      </c>
      <c r="O37" s="15">
        <v>228</v>
      </c>
      <c r="P37" s="33"/>
      <c r="Q37" s="33">
        <f t="shared" si="69"/>
        <v>34599.429</v>
      </c>
      <c r="R37" s="15">
        <f t="shared" si="5"/>
        <v>1501.3602485999997</v>
      </c>
      <c r="S37" s="15">
        <f t="shared" si="6"/>
        <v>36100.7892486</v>
      </c>
      <c r="T37" s="15">
        <v>1028</v>
      </c>
      <c r="U37" s="33"/>
      <c r="V37" s="15">
        <f t="shared" si="70"/>
        <v>601691.7644999999</v>
      </c>
      <c r="W37" s="15">
        <f t="shared" si="7"/>
        <v>26108.988594299997</v>
      </c>
      <c r="X37" s="15">
        <f t="shared" si="8"/>
        <v>627800.7530942999</v>
      </c>
      <c r="Y37" s="15">
        <v>17871</v>
      </c>
      <c r="Z37" s="33"/>
      <c r="AA37" s="15">
        <f t="shared" si="71"/>
        <v>7288.446999999999</v>
      </c>
      <c r="AB37" s="15">
        <f t="shared" si="9"/>
        <v>316.2648898</v>
      </c>
      <c r="AC37" s="15">
        <f t="shared" si="10"/>
        <v>7604.711889799999</v>
      </c>
      <c r="AD37" s="15">
        <v>216</v>
      </c>
      <c r="AE37" s="15"/>
      <c r="AF37" s="15">
        <f t="shared" si="72"/>
        <v>6146.5315</v>
      </c>
      <c r="AG37" s="15">
        <f t="shared" si="11"/>
        <v>266.7141721</v>
      </c>
      <c r="AH37" s="15">
        <f t="shared" si="12"/>
        <v>6413.2456721</v>
      </c>
      <c r="AI37" s="15">
        <v>183</v>
      </c>
      <c r="AJ37" s="33"/>
      <c r="AK37" s="15">
        <f t="shared" si="73"/>
        <v>252176.738</v>
      </c>
      <c r="AL37" s="15">
        <f t="shared" si="13"/>
        <v>10942.612089200002</v>
      </c>
      <c r="AM37" s="15">
        <f t="shared" si="14"/>
        <v>263119.3500892</v>
      </c>
      <c r="AN37" s="15">
        <v>7490</v>
      </c>
      <c r="AO37" s="33"/>
      <c r="AP37" s="15">
        <f t="shared" si="74"/>
        <v>517439.7055</v>
      </c>
      <c r="AQ37" s="15">
        <f t="shared" si="15"/>
        <v>22453.070103699996</v>
      </c>
      <c r="AR37" s="15">
        <f t="shared" si="16"/>
        <v>539892.7756037</v>
      </c>
      <c r="AS37" s="15">
        <v>15369</v>
      </c>
      <c r="AT37" s="33"/>
      <c r="AU37" s="15">
        <f t="shared" si="75"/>
        <v>5973.513999999999</v>
      </c>
      <c r="AV37" s="15">
        <f t="shared" si="17"/>
        <v>259.20648759999995</v>
      </c>
      <c r="AW37" s="15">
        <f t="shared" si="18"/>
        <v>6232.7204876</v>
      </c>
      <c r="AX37" s="15">
        <v>177</v>
      </c>
      <c r="AY37" s="33"/>
      <c r="AZ37" s="15">
        <f t="shared" si="76"/>
        <v>4012.6489999999994</v>
      </c>
      <c r="BA37" s="15">
        <f t="shared" si="19"/>
        <v>174.1193966</v>
      </c>
      <c r="BB37" s="15">
        <f t="shared" si="20"/>
        <v>4186.7683965999995</v>
      </c>
      <c r="BC37" s="15">
        <v>119</v>
      </c>
      <c r="BD37" s="33"/>
      <c r="BE37" s="15">
        <f t="shared" si="77"/>
        <v>-597.7585</v>
      </c>
      <c r="BF37" s="15">
        <f t="shared" si="21"/>
        <v>-25.938313899999997</v>
      </c>
      <c r="BG37" s="15">
        <f t="shared" si="22"/>
        <v>-623.6968139</v>
      </c>
      <c r="BH37" s="15">
        <v>-18</v>
      </c>
      <c r="BI37" s="15"/>
      <c r="BJ37" s="15">
        <f t="shared" si="78"/>
        <v>-389.459</v>
      </c>
      <c r="BK37" s="15">
        <f t="shared" si="23"/>
        <v>-16.8996506</v>
      </c>
      <c r="BL37" s="15">
        <f t="shared" si="24"/>
        <v>-406.35865060000003</v>
      </c>
      <c r="BM37" s="15">
        <v>-12</v>
      </c>
      <c r="BN37" s="33"/>
      <c r="BO37" s="15">
        <f t="shared" si="79"/>
        <v>14483.261</v>
      </c>
      <c r="BP37" s="15">
        <f t="shared" si="25"/>
        <v>628.4667974</v>
      </c>
      <c r="BQ37" s="15">
        <f t="shared" si="26"/>
        <v>15111.7277974</v>
      </c>
      <c r="BR37" s="15">
        <v>430</v>
      </c>
      <c r="BS37" s="33"/>
      <c r="BT37" s="15">
        <f t="shared" si="80"/>
        <v>89066.695</v>
      </c>
      <c r="BU37" s="15">
        <f t="shared" si="27"/>
        <v>3864.838213</v>
      </c>
      <c r="BV37" s="15">
        <f t="shared" si="28"/>
        <v>92931.533213</v>
      </c>
      <c r="BW37" s="15">
        <v>2645</v>
      </c>
      <c r="BX37" s="33"/>
      <c r="BY37" s="15">
        <f t="shared" si="81"/>
        <v>598335.9035</v>
      </c>
      <c r="BZ37" s="15">
        <f t="shared" si="29"/>
        <v>25963.3689569</v>
      </c>
      <c r="CA37" s="15">
        <f t="shared" si="30"/>
        <v>624299.2724569</v>
      </c>
      <c r="CB37" s="15">
        <v>17771</v>
      </c>
      <c r="CC37" s="33"/>
      <c r="CD37" s="15">
        <f t="shared" si="82"/>
        <v>86326.912</v>
      </c>
      <c r="CE37" s="15">
        <f t="shared" si="31"/>
        <v>3745.9518207999995</v>
      </c>
      <c r="CF37" s="15">
        <f t="shared" si="32"/>
        <v>90072.86382079999</v>
      </c>
      <c r="CG37" s="15">
        <v>2564</v>
      </c>
      <c r="CH37" s="33"/>
      <c r="CI37" s="15">
        <f t="shared" si="83"/>
        <v>176391.00199999998</v>
      </c>
      <c r="CJ37" s="15">
        <f t="shared" si="33"/>
        <v>7654.0696268</v>
      </c>
      <c r="CK37" s="15">
        <f t="shared" si="34"/>
        <v>184045.07162679997</v>
      </c>
      <c r="CL37" s="15">
        <v>5239</v>
      </c>
      <c r="CM37" s="33"/>
      <c r="CN37" s="15">
        <f t="shared" si="84"/>
        <v>28606.917</v>
      </c>
      <c r="CO37" s="15">
        <f t="shared" si="35"/>
        <v>1241.3293878</v>
      </c>
      <c r="CP37" s="15">
        <f t="shared" si="36"/>
        <v>29848.2463878</v>
      </c>
      <c r="CQ37" s="15">
        <v>850</v>
      </c>
      <c r="CR37" s="33"/>
      <c r="CS37" s="15">
        <f t="shared" si="85"/>
        <v>146747.337</v>
      </c>
      <c r="CT37" s="15">
        <f t="shared" si="37"/>
        <v>6367.7530158</v>
      </c>
      <c r="CU37" s="15">
        <f t="shared" si="38"/>
        <v>153115.0900158</v>
      </c>
      <c r="CV37" s="15">
        <v>4359</v>
      </c>
      <c r="CW37" s="33"/>
      <c r="CX37" s="15">
        <f t="shared" si="86"/>
        <v>1311.5404999999998</v>
      </c>
      <c r="CY37" s="15">
        <f t="shared" si="39"/>
        <v>56.9111927</v>
      </c>
      <c r="CZ37" s="15">
        <f t="shared" si="40"/>
        <v>1368.4516926999997</v>
      </c>
      <c r="DA37" s="15">
        <v>39</v>
      </c>
      <c r="DB37" s="33"/>
      <c r="DC37" s="15">
        <f t="shared" si="87"/>
        <v>1726.104</v>
      </c>
      <c r="DD37" s="15">
        <f t="shared" si="41"/>
        <v>74.90019360000001</v>
      </c>
      <c r="DE37" s="15">
        <f t="shared" si="42"/>
        <v>1801.0041936</v>
      </c>
      <c r="DF37" s="15">
        <v>51</v>
      </c>
      <c r="DG37" s="33"/>
      <c r="DH37" s="15">
        <f t="shared" si="88"/>
        <v>86974.87950000001</v>
      </c>
      <c r="DI37" s="15">
        <f t="shared" si="43"/>
        <v>3774.0688353</v>
      </c>
      <c r="DJ37" s="15">
        <f t="shared" si="44"/>
        <v>90748.94833530001</v>
      </c>
      <c r="DK37" s="15">
        <v>2583</v>
      </c>
      <c r="DL37" s="33"/>
      <c r="DM37" s="15">
        <f t="shared" si="89"/>
        <v>1655.54</v>
      </c>
      <c r="DN37" s="15">
        <f t="shared" si="45"/>
        <v>71.83823600000001</v>
      </c>
      <c r="DO37" s="15">
        <f t="shared" si="46"/>
        <v>1727.378236</v>
      </c>
      <c r="DP37" s="15">
        <v>49</v>
      </c>
      <c r="DQ37" s="33"/>
      <c r="DR37" s="15">
        <f t="shared" si="90"/>
        <v>24737.431500000002</v>
      </c>
      <c r="DS37" s="15">
        <f t="shared" si="47"/>
        <v>1073.4222321000002</v>
      </c>
      <c r="DT37" s="15">
        <f t="shared" si="48"/>
        <v>25810.853732100004</v>
      </c>
      <c r="DU37" s="15">
        <v>735</v>
      </c>
      <c r="DV37" s="33"/>
      <c r="DW37" s="15">
        <f t="shared" si="91"/>
        <v>17184.3695</v>
      </c>
      <c r="DX37" s="15">
        <f t="shared" si="49"/>
        <v>745.6750013</v>
      </c>
      <c r="DY37" s="15">
        <f t="shared" si="50"/>
        <v>17930.0445013</v>
      </c>
      <c r="DZ37" s="15">
        <v>510</v>
      </c>
      <c r="EA37" s="33"/>
      <c r="EB37" s="15">
        <f t="shared" si="92"/>
        <v>6708.3295</v>
      </c>
      <c r="EC37" s="15">
        <f t="shared" si="51"/>
        <v>291.0920653</v>
      </c>
      <c r="ED37" s="15">
        <f t="shared" si="52"/>
        <v>6999.4215653</v>
      </c>
      <c r="EE37" s="15">
        <v>199</v>
      </c>
      <c r="EF37" s="33"/>
      <c r="EG37" s="15">
        <f t="shared" si="93"/>
        <v>75388.8135</v>
      </c>
      <c r="EH37" s="15">
        <f t="shared" si="53"/>
        <v>3271.3189509</v>
      </c>
      <c r="EI37" s="15">
        <f t="shared" si="54"/>
        <v>78660.1324509</v>
      </c>
      <c r="EJ37" s="15">
        <v>2239</v>
      </c>
      <c r="EK37" s="33"/>
      <c r="EL37" s="15">
        <f t="shared" si="94"/>
        <v>169911.327</v>
      </c>
      <c r="EM37" s="15">
        <f t="shared" si="55"/>
        <v>7372.899481800001</v>
      </c>
      <c r="EN37" s="15">
        <f t="shared" si="56"/>
        <v>177284.2264818</v>
      </c>
      <c r="EO37" s="15">
        <v>5047</v>
      </c>
      <c r="EP37" s="33"/>
      <c r="EQ37" s="15">
        <f t="shared" si="95"/>
        <v>21682.824500000002</v>
      </c>
      <c r="ER37" s="15">
        <f t="shared" si="57"/>
        <v>940.8747983000001</v>
      </c>
      <c r="ES37" s="15">
        <f t="shared" si="58"/>
        <v>22623.699298300002</v>
      </c>
      <c r="ET37" s="15">
        <v>644</v>
      </c>
      <c r="EU37" s="33"/>
      <c r="EV37" s="15">
        <f t="shared" si="96"/>
        <v>34432.518000000004</v>
      </c>
      <c r="EW37" s="15">
        <f t="shared" si="59"/>
        <v>1494.1175412000002</v>
      </c>
      <c r="EX37" s="15">
        <f t="shared" si="60"/>
        <v>35926.635541200005</v>
      </c>
      <c r="EY37" s="15">
        <v>1023</v>
      </c>
      <c r="EZ37" s="33"/>
      <c r="FA37" s="15">
        <f t="shared" si="97"/>
        <v>159575.7365</v>
      </c>
      <c r="FB37" s="15">
        <f t="shared" si="61"/>
        <v>6924.4110191</v>
      </c>
      <c r="FC37" s="15">
        <f t="shared" si="62"/>
        <v>166500.1475191</v>
      </c>
      <c r="FD37" s="15">
        <v>4740</v>
      </c>
      <c r="FE37" s="33"/>
      <c r="FF37" s="15">
        <f t="shared" si="98"/>
        <v>8469.037</v>
      </c>
      <c r="FG37" s="15">
        <f t="shared" si="63"/>
        <v>367.4937958</v>
      </c>
      <c r="FH37" s="15">
        <f t="shared" si="64"/>
        <v>8836.5307958</v>
      </c>
      <c r="FI37" s="15">
        <v>252</v>
      </c>
      <c r="FJ37" s="33"/>
      <c r="FK37" s="15">
        <f t="shared" si="99"/>
        <v>48556.174000000006</v>
      </c>
      <c r="FL37" s="15">
        <f t="shared" si="65"/>
        <v>2106.9801316</v>
      </c>
      <c r="FM37" s="15">
        <f t="shared" si="66"/>
        <v>50663.15413160001</v>
      </c>
      <c r="FN37" s="15">
        <v>1442</v>
      </c>
      <c r="FO37" s="33"/>
    </row>
    <row r="38" spans="1:171" s="35" customFormat="1" ht="12.75">
      <c r="A38" s="34">
        <v>45200</v>
      </c>
      <c r="C38" s="22"/>
      <c r="D38" s="22">
        <v>150238</v>
      </c>
      <c r="E38" s="16">
        <f t="shared" si="0"/>
        <v>150238</v>
      </c>
      <c r="F38" s="33"/>
      <c r="G38" s="15"/>
      <c r="H38" s="15">
        <f t="shared" si="1"/>
        <v>9937.5225576</v>
      </c>
      <c r="I38" s="33">
        <f t="shared" si="2"/>
        <v>9937.5225576</v>
      </c>
      <c r="J38" s="33">
        <v>13330</v>
      </c>
      <c r="K38" s="33"/>
      <c r="L38" s="15"/>
      <c r="M38" s="15">
        <f t="shared" si="3"/>
        <v>169.7088448</v>
      </c>
      <c r="N38" s="15">
        <f t="shared" si="4"/>
        <v>169.7088448</v>
      </c>
      <c r="O38" s="15">
        <v>228</v>
      </c>
      <c r="P38" s="33"/>
      <c r="Q38" s="33"/>
      <c r="R38" s="15">
        <f t="shared" si="5"/>
        <v>766.1236571999999</v>
      </c>
      <c r="S38" s="15">
        <f t="shared" si="6"/>
        <v>766.1236571999999</v>
      </c>
      <c r="T38" s="15">
        <v>1028</v>
      </c>
      <c r="U38" s="33"/>
      <c r="V38" s="15"/>
      <c r="W38" s="15">
        <f t="shared" si="7"/>
        <v>13323.060768599998</v>
      </c>
      <c r="X38" s="15">
        <f t="shared" si="8"/>
        <v>13323.060768599998</v>
      </c>
      <c r="Y38" s="15">
        <v>17871</v>
      </c>
      <c r="Z38" s="33"/>
      <c r="AA38" s="15"/>
      <c r="AB38" s="15">
        <f t="shared" si="9"/>
        <v>161.3856596</v>
      </c>
      <c r="AC38" s="15">
        <f t="shared" si="10"/>
        <v>161.3856596</v>
      </c>
      <c r="AD38" s="15">
        <v>216</v>
      </c>
      <c r="AE38" s="15"/>
      <c r="AF38" s="15"/>
      <c r="AG38" s="15">
        <f t="shared" si="11"/>
        <v>136.1006042</v>
      </c>
      <c r="AH38" s="15">
        <f t="shared" si="12"/>
        <v>136.1006042</v>
      </c>
      <c r="AI38" s="15">
        <v>183</v>
      </c>
      <c r="AJ38" s="33"/>
      <c r="AK38" s="15"/>
      <c r="AL38" s="15">
        <f t="shared" si="13"/>
        <v>5583.8656984</v>
      </c>
      <c r="AM38" s="15">
        <f t="shared" si="14"/>
        <v>5583.8656984</v>
      </c>
      <c r="AN38" s="15">
        <v>7490</v>
      </c>
      <c r="AO38" s="33"/>
      <c r="AP38" s="15"/>
      <c r="AQ38" s="15">
        <f t="shared" si="15"/>
        <v>11457.4954274</v>
      </c>
      <c r="AR38" s="15">
        <f t="shared" si="16"/>
        <v>11457.4954274</v>
      </c>
      <c r="AS38" s="15">
        <v>15369</v>
      </c>
      <c r="AT38" s="33"/>
      <c r="AU38" s="15"/>
      <c r="AV38" s="15">
        <f t="shared" si="17"/>
        <v>132.26953519999998</v>
      </c>
      <c r="AW38" s="15">
        <f t="shared" si="18"/>
        <v>132.26953519999998</v>
      </c>
      <c r="AX38" s="15">
        <v>177</v>
      </c>
      <c r="AY38" s="33"/>
      <c r="AZ38" s="15"/>
      <c r="BA38" s="15">
        <f t="shared" si="19"/>
        <v>88.8507532</v>
      </c>
      <c r="BB38" s="15">
        <f t="shared" si="20"/>
        <v>88.8507532</v>
      </c>
      <c r="BC38" s="15">
        <v>119</v>
      </c>
      <c r="BD38" s="33"/>
      <c r="BE38" s="15"/>
      <c r="BF38" s="15">
        <f t="shared" si="21"/>
        <v>-13.235967800000001</v>
      </c>
      <c r="BG38" s="15">
        <f t="shared" si="22"/>
        <v>-13.235967800000001</v>
      </c>
      <c r="BH38" s="15">
        <v>-18</v>
      </c>
      <c r="BI38" s="15"/>
      <c r="BJ38" s="15"/>
      <c r="BK38" s="15">
        <f t="shared" si="23"/>
        <v>-8.6236612</v>
      </c>
      <c r="BL38" s="15">
        <f t="shared" si="24"/>
        <v>-8.6236612</v>
      </c>
      <c r="BM38" s="15">
        <v>-10</v>
      </c>
      <c r="BN38" s="33"/>
      <c r="BO38" s="15"/>
      <c r="BP38" s="15">
        <f t="shared" si="25"/>
        <v>320.6980348</v>
      </c>
      <c r="BQ38" s="15">
        <f t="shared" si="26"/>
        <v>320.6980348</v>
      </c>
      <c r="BR38" s="15">
        <v>430</v>
      </c>
      <c r="BS38" s="33"/>
      <c r="BT38" s="15"/>
      <c r="BU38" s="15">
        <f t="shared" si="27"/>
        <v>1972.1742259999999</v>
      </c>
      <c r="BV38" s="15">
        <f t="shared" si="28"/>
        <v>1972.1742259999999</v>
      </c>
      <c r="BW38" s="15">
        <v>2645</v>
      </c>
      <c r="BX38" s="33"/>
      <c r="BY38" s="15"/>
      <c r="BZ38" s="15">
        <f t="shared" si="29"/>
        <v>13248.753053800001</v>
      </c>
      <c r="CA38" s="15">
        <f t="shared" si="30"/>
        <v>13248.753053800001</v>
      </c>
      <c r="CB38" s="15">
        <v>17771</v>
      </c>
      <c r="CC38" s="33"/>
      <c r="CD38" s="15"/>
      <c r="CE38" s="15">
        <f t="shared" si="31"/>
        <v>1911.5081215999996</v>
      </c>
      <c r="CF38" s="15">
        <f t="shared" si="32"/>
        <v>1911.5081215999996</v>
      </c>
      <c r="CG38" s="15">
        <v>2564</v>
      </c>
      <c r="CH38" s="33"/>
      <c r="CI38" s="15"/>
      <c r="CJ38" s="15">
        <f t="shared" si="33"/>
        <v>3905.7673336000003</v>
      </c>
      <c r="CK38" s="15">
        <f t="shared" si="34"/>
        <v>3905.7673336000003</v>
      </c>
      <c r="CL38" s="15">
        <v>5239</v>
      </c>
      <c r="CM38" s="33"/>
      <c r="CN38" s="15"/>
      <c r="CO38" s="15">
        <f t="shared" si="35"/>
        <v>633.4334556</v>
      </c>
      <c r="CP38" s="15">
        <f t="shared" si="36"/>
        <v>633.4334556</v>
      </c>
      <c r="CQ38" s="15">
        <v>850</v>
      </c>
      <c r="CR38" s="33"/>
      <c r="CS38" s="15"/>
      <c r="CT38" s="15">
        <f t="shared" si="37"/>
        <v>3249.3775115999997</v>
      </c>
      <c r="CU38" s="15">
        <f t="shared" si="38"/>
        <v>3249.3775115999997</v>
      </c>
      <c r="CV38" s="15">
        <v>4359</v>
      </c>
      <c r="CW38" s="33"/>
      <c r="CX38" s="15"/>
      <c r="CY38" s="15">
        <f t="shared" si="39"/>
        <v>29.0410054</v>
      </c>
      <c r="CZ38" s="15">
        <f t="shared" si="40"/>
        <v>29.0410054</v>
      </c>
      <c r="DA38" s="15">
        <v>39</v>
      </c>
      <c r="DB38" s="33"/>
      <c r="DC38" s="15"/>
      <c r="DD38" s="15">
        <f t="shared" si="41"/>
        <v>38.2205472</v>
      </c>
      <c r="DE38" s="15">
        <f t="shared" si="42"/>
        <v>38.2205472</v>
      </c>
      <c r="DF38" s="15">
        <v>51</v>
      </c>
      <c r="DG38" s="33"/>
      <c r="DH38" s="15"/>
      <c r="DI38" s="15">
        <f t="shared" si="43"/>
        <v>1925.8558506000002</v>
      </c>
      <c r="DJ38" s="15">
        <f t="shared" si="44"/>
        <v>1925.8558506000002</v>
      </c>
      <c r="DK38" s="15">
        <v>2583</v>
      </c>
      <c r="DL38" s="33"/>
      <c r="DM38" s="15"/>
      <c r="DN38" s="15">
        <f t="shared" si="45"/>
        <v>36.658072000000004</v>
      </c>
      <c r="DO38" s="15">
        <f t="shared" si="46"/>
        <v>36.658072000000004</v>
      </c>
      <c r="DP38" s="15">
        <v>49</v>
      </c>
      <c r="DQ38" s="33"/>
      <c r="DR38" s="15"/>
      <c r="DS38" s="15">
        <f t="shared" si="47"/>
        <v>547.7527242</v>
      </c>
      <c r="DT38" s="15">
        <f t="shared" si="48"/>
        <v>547.7527242</v>
      </c>
      <c r="DU38" s="15">
        <v>735</v>
      </c>
      <c r="DV38" s="33"/>
      <c r="DW38" s="15"/>
      <c r="DX38" s="15">
        <f t="shared" si="49"/>
        <v>380.5077826</v>
      </c>
      <c r="DY38" s="15">
        <f t="shared" si="50"/>
        <v>380.5077826</v>
      </c>
      <c r="DZ38" s="15">
        <v>510</v>
      </c>
      <c r="EA38" s="33"/>
      <c r="EB38" s="15"/>
      <c r="EC38" s="15">
        <f t="shared" si="51"/>
        <v>148.5403106</v>
      </c>
      <c r="ED38" s="15">
        <f t="shared" si="52"/>
        <v>148.5403106</v>
      </c>
      <c r="EE38" s="15">
        <v>199</v>
      </c>
      <c r="EF38" s="33"/>
      <c r="EG38" s="15"/>
      <c r="EH38" s="15">
        <f t="shared" si="53"/>
        <v>1669.3094418000003</v>
      </c>
      <c r="EI38" s="15">
        <f t="shared" si="54"/>
        <v>1669.3094418000003</v>
      </c>
      <c r="EJ38" s="15">
        <v>2239</v>
      </c>
      <c r="EK38" s="33"/>
      <c r="EL38" s="15"/>
      <c r="EM38" s="15">
        <f t="shared" si="55"/>
        <v>3762.2900436</v>
      </c>
      <c r="EN38" s="15">
        <f t="shared" si="56"/>
        <v>3762.2900436</v>
      </c>
      <c r="EO38" s="15">
        <v>5047</v>
      </c>
      <c r="EP38" s="33"/>
      <c r="EQ38" s="15"/>
      <c r="ER38" s="15">
        <f t="shared" si="57"/>
        <v>480.11557660000005</v>
      </c>
      <c r="ES38" s="15">
        <f t="shared" si="58"/>
        <v>480.11557660000005</v>
      </c>
      <c r="ET38" s="15">
        <v>644</v>
      </c>
      <c r="EU38" s="33"/>
      <c r="EV38" s="15"/>
      <c r="EW38" s="15">
        <f t="shared" si="59"/>
        <v>762.4278024</v>
      </c>
      <c r="EX38" s="15">
        <f t="shared" si="60"/>
        <v>762.4278024</v>
      </c>
      <c r="EY38" s="15">
        <v>1023</v>
      </c>
      <c r="EZ38" s="33"/>
      <c r="FA38" s="15"/>
      <c r="FB38" s="15">
        <f t="shared" si="61"/>
        <v>3533.4324982000003</v>
      </c>
      <c r="FC38" s="15">
        <f t="shared" si="62"/>
        <v>3533.4324982000003</v>
      </c>
      <c r="FD38" s="15">
        <v>4740</v>
      </c>
      <c r="FE38" s="33"/>
      <c r="FF38" s="15"/>
      <c r="FG38" s="15">
        <f t="shared" si="63"/>
        <v>187.52707160000003</v>
      </c>
      <c r="FH38" s="15">
        <f t="shared" si="64"/>
        <v>187.52707160000003</v>
      </c>
      <c r="FI38" s="15">
        <v>252</v>
      </c>
      <c r="FJ38" s="33"/>
      <c r="FK38" s="15"/>
      <c r="FL38" s="15">
        <f t="shared" si="65"/>
        <v>1075.1632232000002</v>
      </c>
      <c r="FM38" s="15">
        <f t="shared" si="66"/>
        <v>1075.1632232000002</v>
      </c>
      <c r="FN38" s="15">
        <v>1442</v>
      </c>
      <c r="FO38" s="33"/>
    </row>
    <row r="39" spans="1:171" s="35" customFormat="1" ht="12.75">
      <c r="A39" s="34">
        <v>45383</v>
      </c>
      <c r="C39" s="22">
        <v>7070000</v>
      </c>
      <c r="D39" s="22">
        <v>150238</v>
      </c>
      <c r="E39" s="16">
        <f t="shared" si="0"/>
        <v>7220238</v>
      </c>
      <c r="F39" s="33"/>
      <c r="G39" s="15">
        <f t="shared" si="67"/>
        <v>467646.564</v>
      </c>
      <c r="H39" s="15">
        <f t="shared" si="1"/>
        <v>9937.5225576</v>
      </c>
      <c r="I39" s="33">
        <f>G39+H39</f>
        <v>477584.0865576</v>
      </c>
      <c r="J39" s="33">
        <v>13320</v>
      </c>
      <c r="K39" s="33"/>
      <c r="L39" s="15">
        <f t="shared" si="68"/>
        <v>7986.272000000001</v>
      </c>
      <c r="M39" s="15">
        <f t="shared" si="3"/>
        <v>169.7088448</v>
      </c>
      <c r="N39" s="15">
        <f t="shared" si="4"/>
        <v>8155.980844800001</v>
      </c>
      <c r="O39" s="15">
        <v>216</v>
      </c>
      <c r="P39" s="33"/>
      <c r="Q39" s="33">
        <f t="shared" si="69"/>
        <v>36052.758</v>
      </c>
      <c r="R39" s="15">
        <f t="shared" si="5"/>
        <v>766.1236571999999</v>
      </c>
      <c r="S39" s="15">
        <f t="shared" si="6"/>
        <v>36818.8816572</v>
      </c>
      <c r="T39" s="15">
        <v>1016</v>
      </c>
      <c r="U39" s="33"/>
      <c r="V39" s="15">
        <f t="shared" si="70"/>
        <v>626965.4789999999</v>
      </c>
      <c r="W39" s="15">
        <f t="shared" si="7"/>
        <v>13323.060768599998</v>
      </c>
      <c r="X39" s="15">
        <f t="shared" si="8"/>
        <v>640288.5397685999</v>
      </c>
      <c r="Y39" s="15">
        <v>17867</v>
      </c>
      <c r="Z39" s="33"/>
      <c r="AA39" s="15">
        <f t="shared" si="71"/>
        <v>7594.594</v>
      </c>
      <c r="AB39" s="15">
        <f t="shared" si="9"/>
        <v>161.3856596</v>
      </c>
      <c r="AC39" s="15">
        <f t="shared" si="10"/>
        <v>7755.9796596</v>
      </c>
      <c r="AD39" s="15">
        <v>231</v>
      </c>
      <c r="AE39" s="15"/>
      <c r="AF39" s="15">
        <f t="shared" si="72"/>
        <v>6404.713000000001</v>
      </c>
      <c r="AG39" s="15">
        <f t="shared" si="11"/>
        <v>136.1006042</v>
      </c>
      <c r="AH39" s="15">
        <f t="shared" si="12"/>
        <v>6540.813604200001</v>
      </c>
      <c r="AI39" s="15">
        <v>169</v>
      </c>
      <c r="AJ39" s="33"/>
      <c r="AK39" s="15">
        <f t="shared" si="73"/>
        <v>262769.276</v>
      </c>
      <c r="AL39" s="15">
        <f t="shared" si="13"/>
        <v>5583.8656984</v>
      </c>
      <c r="AM39" s="15">
        <f t="shared" si="14"/>
        <v>268353.1416984</v>
      </c>
      <c r="AN39" s="15">
        <v>7487</v>
      </c>
      <c r="AO39" s="33"/>
      <c r="AP39" s="15">
        <f t="shared" si="74"/>
        <v>539174.4609999999</v>
      </c>
      <c r="AQ39" s="15">
        <f t="shared" si="15"/>
        <v>11457.4954274</v>
      </c>
      <c r="AR39" s="15">
        <f t="shared" si="16"/>
        <v>550631.9564273999</v>
      </c>
      <c r="AS39" s="15">
        <v>15353</v>
      </c>
      <c r="AT39" s="33"/>
      <c r="AU39" s="15">
        <f t="shared" si="75"/>
        <v>6224.427999999999</v>
      </c>
      <c r="AV39" s="15">
        <f t="shared" si="17"/>
        <v>132.26953519999998</v>
      </c>
      <c r="AW39" s="15">
        <f t="shared" si="18"/>
        <v>6356.697535199999</v>
      </c>
      <c r="AX39" s="15">
        <v>190</v>
      </c>
      <c r="AY39" s="33"/>
      <c r="AZ39" s="15">
        <f t="shared" si="76"/>
        <v>4181.198</v>
      </c>
      <c r="BA39" s="15">
        <f t="shared" si="19"/>
        <v>88.8507532</v>
      </c>
      <c r="BB39" s="15">
        <f t="shared" si="20"/>
        <v>4270.048753200001</v>
      </c>
      <c r="BC39" s="15">
        <v>125</v>
      </c>
      <c r="BD39" s="33"/>
      <c r="BE39" s="15">
        <f t="shared" si="77"/>
        <v>-622.8670000000001</v>
      </c>
      <c r="BF39" s="15">
        <f t="shared" si="21"/>
        <v>-13.235967800000001</v>
      </c>
      <c r="BG39" s="15">
        <f t="shared" si="22"/>
        <v>-636.1029678000001</v>
      </c>
      <c r="BH39" s="15">
        <v>-10</v>
      </c>
      <c r="BI39" s="15"/>
      <c r="BJ39" s="15">
        <f t="shared" si="78"/>
        <v>-405.81800000000004</v>
      </c>
      <c r="BK39" s="15">
        <f t="shared" si="23"/>
        <v>-8.6236612</v>
      </c>
      <c r="BL39" s="15">
        <f t="shared" si="24"/>
        <v>-414.44166120000006</v>
      </c>
      <c r="BM39" s="15"/>
      <c r="BN39" s="33"/>
      <c r="BO39" s="15">
        <f t="shared" si="79"/>
        <v>15091.622000000001</v>
      </c>
      <c r="BP39" s="15">
        <f t="shared" si="25"/>
        <v>320.6980348</v>
      </c>
      <c r="BQ39" s="15">
        <f t="shared" si="26"/>
        <v>15412.320034800001</v>
      </c>
      <c r="BR39" s="15">
        <v>435</v>
      </c>
      <c r="BS39" s="33"/>
      <c r="BT39" s="15">
        <f t="shared" si="80"/>
        <v>92807.89</v>
      </c>
      <c r="BU39" s="15">
        <f t="shared" si="27"/>
        <v>1972.1742259999999</v>
      </c>
      <c r="BV39" s="15">
        <f t="shared" si="28"/>
        <v>94780.064226</v>
      </c>
      <c r="BW39" s="15">
        <v>2657</v>
      </c>
      <c r="BX39" s="33"/>
      <c r="BY39" s="15">
        <f t="shared" si="81"/>
        <v>623468.657</v>
      </c>
      <c r="BZ39" s="15">
        <f t="shared" si="29"/>
        <v>13248.753053800001</v>
      </c>
      <c r="CA39" s="15">
        <f t="shared" si="30"/>
        <v>636717.4100538</v>
      </c>
      <c r="CB39" s="15">
        <v>17777</v>
      </c>
      <c r="CC39" s="33"/>
      <c r="CD39" s="15">
        <f t="shared" si="82"/>
        <v>89953.02399999999</v>
      </c>
      <c r="CE39" s="15">
        <f t="shared" si="31"/>
        <v>1911.5081215999996</v>
      </c>
      <c r="CF39" s="15">
        <f t="shared" si="32"/>
        <v>91864.53212159999</v>
      </c>
      <c r="CG39" s="15">
        <v>2564</v>
      </c>
      <c r="CH39" s="33"/>
      <c r="CI39" s="15">
        <f t="shared" si="83"/>
        <v>183800.204</v>
      </c>
      <c r="CJ39" s="15">
        <f t="shared" si="33"/>
        <v>3905.7673336000003</v>
      </c>
      <c r="CK39" s="15">
        <f t="shared" si="34"/>
        <v>187705.9713336</v>
      </c>
      <c r="CL39" s="15">
        <v>5239</v>
      </c>
      <c r="CM39" s="33"/>
      <c r="CN39" s="15">
        <f t="shared" si="84"/>
        <v>29808.534</v>
      </c>
      <c r="CO39" s="15">
        <f t="shared" si="35"/>
        <v>633.4334556</v>
      </c>
      <c r="CP39" s="15">
        <f t="shared" si="36"/>
        <v>30441.9674556</v>
      </c>
      <c r="CQ39" s="15">
        <v>839</v>
      </c>
      <c r="CR39" s="33"/>
      <c r="CS39" s="15">
        <f t="shared" si="85"/>
        <v>152911.374</v>
      </c>
      <c r="CT39" s="15">
        <f t="shared" si="37"/>
        <v>3249.3775115999997</v>
      </c>
      <c r="CU39" s="15">
        <f t="shared" si="38"/>
        <v>156160.7515116</v>
      </c>
      <c r="CV39" s="15">
        <v>4345</v>
      </c>
      <c r="CW39" s="33"/>
      <c r="CX39" s="15">
        <f t="shared" si="86"/>
        <v>1366.631</v>
      </c>
      <c r="CY39" s="15">
        <f t="shared" si="39"/>
        <v>29.0410054</v>
      </c>
      <c r="CZ39" s="15">
        <f t="shared" si="40"/>
        <v>1395.6720054</v>
      </c>
      <c r="DA39" s="15">
        <v>38</v>
      </c>
      <c r="DB39" s="33"/>
      <c r="DC39" s="15">
        <f t="shared" si="87"/>
        <v>1798.6080000000002</v>
      </c>
      <c r="DD39" s="15">
        <f t="shared" si="41"/>
        <v>38.2205472</v>
      </c>
      <c r="DE39" s="15">
        <f t="shared" si="42"/>
        <v>1836.8285472000002</v>
      </c>
      <c r="DF39" s="15">
        <v>60</v>
      </c>
      <c r="DG39" s="33"/>
      <c r="DH39" s="15">
        <f t="shared" si="88"/>
        <v>90628.209</v>
      </c>
      <c r="DI39" s="15">
        <f t="shared" si="43"/>
        <v>1925.8558506000002</v>
      </c>
      <c r="DJ39" s="15">
        <f t="shared" si="44"/>
        <v>92554.0648506</v>
      </c>
      <c r="DK39" s="15">
        <v>2591</v>
      </c>
      <c r="DL39" s="33"/>
      <c r="DM39" s="15">
        <f t="shared" si="89"/>
        <v>1725.08</v>
      </c>
      <c r="DN39" s="15">
        <f t="shared" si="45"/>
        <v>36.658072000000004</v>
      </c>
      <c r="DO39" s="15">
        <f t="shared" si="46"/>
        <v>1761.7380719999999</v>
      </c>
      <c r="DP39" s="15">
        <v>55</v>
      </c>
      <c r="DQ39" s="33"/>
      <c r="DR39" s="15">
        <f t="shared" si="90"/>
        <v>25776.513000000003</v>
      </c>
      <c r="DS39" s="15">
        <f t="shared" si="47"/>
        <v>547.7527242</v>
      </c>
      <c r="DT39" s="15">
        <f t="shared" si="48"/>
        <v>26324.265724200002</v>
      </c>
      <c r="DU39" s="15">
        <v>726</v>
      </c>
      <c r="DV39" s="33"/>
      <c r="DW39" s="15">
        <f t="shared" si="91"/>
        <v>17906.189</v>
      </c>
      <c r="DX39" s="15">
        <f t="shared" si="49"/>
        <v>380.5077826</v>
      </c>
      <c r="DY39" s="15">
        <f t="shared" si="50"/>
        <v>18286.6967826</v>
      </c>
      <c r="DZ39" s="15">
        <v>523</v>
      </c>
      <c r="EA39" s="33"/>
      <c r="EB39" s="15">
        <f t="shared" si="92"/>
        <v>6990.109</v>
      </c>
      <c r="EC39" s="15">
        <f t="shared" si="51"/>
        <v>148.5403106</v>
      </c>
      <c r="ED39" s="15">
        <f t="shared" si="52"/>
        <v>7138.649310600001</v>
      </c>
      <c r="EE39" s="15">
        <v>207</v>
      </c>
      <c r="EF39" s="33"/>
      <c r="EG39" s="15">
        <f t="shared" si="93"/>
        <v>78555.477</v>
      </c>
      <c r="EH39" s="15">
        <f t="shared" si="53"/>
        <v>1669.3094418000003</v>
      </c>
      <c r="EI39" s="15">
        <f t="shared" si="54"/>
        <v>80224.7864418</v>
      </c>
      <c r="EJ39" s="15">
        <v>2243</v>
      </c>
      <c r="EK39" s="33"/>
      <c r="EL39" s="15">
        <f t="shared" si="94"/>
        <v>177048.35400000002</v>
      </c>
      <c r="EM39" s="15">
        <f t="shared" si="55"/>
        <v>3762.2900436</v>
      </c>
      <c r="EN39" s="15">
        <f t="shared" si="56"/>
        <v>180810.6440436</v>
      </c>
      <c r="EO39" s="15">
        <v>5032</v>
      </c>
      <c r="EP39" s="33"/>
      <c r="EQ39" s="15">
        <f t="shared" si="95"/>
        <v>22593.599000000002</v>
      </c>
      <c r="ER39" s="15">
        <f t="shared" si="57"/>
        <v>480.11557660000005</v>
      </c>
      <c r="ES39" s="15">
        <f t="shared" si="58"/>
        <v>23073.714576600003</v>
      </c>
      <c r="ET39" s="15">
        <v>644</v>
      </c>
      <c r="EU39" s="33"/>
      <c r="EV39" s="15">
        <f t="shared" si="96"/>
        <v>35878.836</v>
      </c>
      <c r="EW39" s="15">
        <f t="shared" si="59"/>
        <v>762.4278024</v>
      </c>
      <c r="EX39" s="15">
        <f t="shared" si="60"/>
        <v>36641.263802400004</v>
      </c>
      <c r="EY39" s="15">
        <v>1013</v>
      </c>
      <c r="EZ39" s="33"/>
      <c r="FA39" s="15">
        <f t="shared" si="97"/>
        <v>166278.62300000002</v>
      </c>
      <c r="FB39" s="15">
        <f t="shared" si="61"/>
        <v>3533.4324982000003</v>
      </c>
      <c r="FC39" s="15">
        <f t="shared" si="62"/>
        <v>169812.05549820003</v>
      </c>
      <c r="FD39" s="15">
        <v>4726</v>
      </c>
      <c r="FE39" s="33"/>
      <c r="FF39" s="15">
        <f t="shared" si="98"/>
        <v>8824.774</v>
      </c>
      <c r="FG39" s="15">
        <f t="shared" si="63"/>
        <v>187.52707160000003</v>
      </c>
      <c r="FH39" s="15">
        <f t="shared" si="64"/>
        <v>9012.301071599999</v>
      </c>
      <c r="FI39" s="15">
        <v>237</v>
      </c>
      <c r="FJ39" s="33"/>
      <c r="FK39" s="15">
        <f t="shared" si="99"/>
        <v>50595.74800000001</v>
      </c>
      <c r="FL39" s="15">
        <f t="shared" si="65"/>
        <v>1075.1632232000002</v>
      </c>
      <c r="FM39" s="15">
        <f t="shared" si="66"/>
        <v>51670.911223200004</v>
      </c>
      <c r="FN39" s="15">
        <v>1447</v>
      </c>
      <c r="FO39" s="33"/>
    </row>
    <row r="40" spans="3:17" ht="12.75">
      <c r="C40" s="22"/>
      <c r="D40" s="22"/>
      <c r="E40" s="22"/>
      <c r="Q40" s="33"/>
    </row>
    <row r="41" spans="1:170" ht="13.5" thickBot="1">
      <c r="A41" s="13" t="s">
        <v>0</v>
      </c>
      <c r="C41" s="32">
        <f>SUM(C8:C40)</f>
        <v>82515000</v>
      </c>
      <c r="D41" s="32">
        <f>SUM(D8:D40)</f>
        <v>35439662</v>
      </c>
      <c r="E41" s="32">
        <f>SUM(E8:E40)</f>
        <v>117954662</v>
      </c>
      <c r="G41" s="32">
        <f>SUM(G8:G40)</f>
        <v>5457971.178</v>
      </c>
      <c r="H41" s="32">
        <f>SUM(H8:H40)</f>
        <v>2344163.5309224003</v>
      </c>
      <c r="I41" s="32">
        <f>SUM(I8:I40)</f>
        <v>7802134.7089224</v>
      </c>
      <c r="J41" s="32">
        <f>SUM(J8:J40)</f>
        <v>426550</v>
      </c>
      <c r="L41" s="32">
        <f>SUM(L8:L40)</f>
        <v>93208.944</v>
      </c>
      <c r="M41" s="32">
        <f>SUM(M8:M40)</f>
        <v>40032.6421952</v>
      </c>
      <c r="N41" s="32">
        <f>SUM(N8:N40)</f>
        <v>133241.5861952</v>
      </c>
      <c r="O41" s="32">
        <f>SUM(O8:O40)</f>
        <v>7284</v>
      </c>
      <c r="Q41" s="32">
        <f>SUM(Q8:Q40)</f>
        <v>420776.99100000004</v>
      </c>
      <c r="R41" s="32">
        <f>SUM(R8:R40)</f>
        <v>180721.01240279997</v>
      </c>
      <c r="S41" s="32">
        <f>SUM(S8:S40)</f>
        <v>601498.0034028001</v>
      </c>
      <c r="T41" s="32">
        <f>SUM(T8:T40)</f>
        <v>32884</v>
      </c>
      <c r="V41" s="32">
        <f>SUM(V8:V40)</f>
        <v>7317405.4455</v>
      </c>
      <c r="W41" s="32">
        <f>SUM(W8:W40)</f>
        <v>3142778.5942613995</v>
      </c>
      <c r="X41" s="32">
        <f>SUM(X8:X40)</f>
        <v>10460184.039761402</v>
      </c>
      <c r="Y41" s="32">
        <f>SUM(Y8:Y40)</f>
        <v>571868</v>
      </c>
      <c r="AA41" s="32">
        <f>SUM(AA8:AA40)</f>
        <v>88637.613</v>
      </c>
      <c r="AB41" s="32">
        <f>SUM(AB8:AB40)</f>
        <v>38069.28492040001</v>
      </c>
      <c r="AC41" s="32">
        <f>SUM(AC8:AC40)</f>
        <v>126706.89792040002</v>
      </c>
      <c r="AD41" s="32">
        <f>SUM(AD8:AD40)</f>
        <v>6927</v>
      </c>
      <c r="AF41" s="32">
        <f>SUM(AF8:AF40)</f>
        <v>74750.3385</v>
      </c>
      <c r="AG41" s="32">
        <f>SUM(AG8:AG40)</f>
        <v>32104.789805800006</v>
      </c>
      <c r="AH41" s="32">
        <f>SUM(AH8:AH40)</f>
        <v>106855.12830579998</v>
      </c>
      <c r="AI41" s="32">
        <f>SUM(AI8:AI40)</f>
        <v>5842</v>
      </c>
      <c r="AK41" s="32">
        <f>SUM(AK8:AK40)</f>
        <v>3066818.5020000003</v>
      </c>
      <c r="AL41" s="32">
        <f>SUM(AL8:AL40)</f>
        <v>1317178.829621599</v>
      </c>
      <c r="AM41" s="32">
        <f>SUM(AM8:AM40)</f>
        <v>4383997.3316216</v>
      </c>
      <c r="AN41" s="32">
        <f>SUM(AN8:AN40)</f>
        <v>239677</v>
      </c>
      <c r="AP41" s="32">
        <f>SUM(AP8:AP40)</f>
        <v>6292783.6844999995</v>
      </c>
      <c r="AQ41" s="32">
        <f>SUM(AQ8:AQ40)</f>
        <v>2702710.1353426</v>
      </c>
      <c r="AR41" s="32">
        <f>SUM(AR8:AR40)</f>
        <v>8995493.819842597</v>
      </c>
      <c r="AS41" s="32">
        <f>SUM(AS8:AS40)</f>
        <v>491792</v>
      </c>
      <c r="AU41" s="32">
        <f>SUM(AU8:AU40)</f>
        <v>72646.20599999999</v>
      </c>
      <c r="AV41" s="32">
        <f>SUM(AV8:AV40)</f>
        <v>31201.078424800005</v>
      </c>
      <c r="AW41" s="32">
        <f>SUM(AW8:AW40)</f>
        <v>103847.28442479999</v>
      </c>
      <c r="AX41" s="32">
        <f>SUM(AX8:AX40)</f>
        <v>5677</v>
      </c>
      <c r="AZ41" s="32">
        <f>SUM(AZ8:AZ40)</f>
        <v>48799.371</v>
      </c>
      <c r="BA41" s="32">
        <f>SUM(BA8:BA40)</f>
        <v>20959.016106799998</v>
      </c>
      <c r="BB41" s="32">
        <f>SUM(BB8:BB40)</f>
        <v>69758.38710680002</v>
      </c>
      <c r="BC41" s="32">
        <f>SUM(BC8:BC40)</f>
        <v>3814</v>
      </c>
      <c r="BE41" s="32">
        <f>SUM(BE8:BE40)</f>
        <v>-7269.571499999999</v>
      </c>
      <c r="BF41" s="32">
        <f>SUM(BF8:BF40)</f>
        <v>-3122.2342221999997</v>
      </c>
      <c r="BG41" s="32">
        <f>SUM(BG8:BG40)</f>
        <v>-10391.805722199997</v>
      </c>
      <c r="BH41" s="32">
        <f>SUM(BH8:BH40)</f>
        <v>-568</v>
      </c>
      <c r="BI41" s="22"/>
      <c r="BJ41" s="32">
        <f>SUM(BJ8:BJ40)</f>
        <v>-4736.361000000001</v>
      </c>
      <c r="BK41" s="32">
        <f>SUM(BK8:BK40)</f>
        <v>-2034.2365988000001</v>
      </c>
      <c r="BL41" s="32">
        <f>SUM(BL8:BL40)</f>
        <v>-6770.597598800002</v>
      </c>
      <c r="BM41" s="32">
        <f>SUM(BM8:BM40)</f>
        <v>-370</v>
      </c>
      <c r="BO41" s="32">
        <f>SUM(BO8:BO40)</f>
        <v>176136.51900000003</v>
      </c>
      <c r="BP41" s="32">
        <f>SUM(BP8:BP40)</f>
        <v>75649.50250520003</v>
      </c>
      <c r="BQ41" s="32">
        <f>SUM(BQ8:BQ40)</f>
        <v>251786.02150520007</v>
      </c>
      <c r="BR41" s="32">
        <f>SUM(BR8:BR40)</f>
        <v>13765</v>
      </c>
      <c r="BT41" s="32">
        <f>SUM(BT8:BT40)</f>
        <v>1083174.405</v>
      </c>
      <c r="BU41" s="32">
        <f>SUM(BU8:BU40)</f>
        <v>465216.44307400007</v>
      </c>
      <c r="BV41" s="32">
        <f>SUM(BV8:BV40)</f>
        <v>1548390.848074</v>
      </c>
      <c r="BW41" s="32">
        <f>SUM(BW8:BW40)</f>
        <v>84652</v>
      </c>
      <c r="BY41" s="32">
        <f>SUM(BY8:BY40)</f>
        <v>7276593.5265</v>
      </c>
      <c r="BZ41" s="32">
        <f>SUM(BZ8:BZ40)</f>
        <v>3125250.1374362</v>
      </c>
      <c r="CA41" s="32">
        <f>SUM(CA8:CA40)</f>
        <v>10401843.6639362</v>
      </c>
      <c r="CB41" s="32">
        <f>SUM(CB8:CB40)</f>
        <v>568678</v>
      </c>
      <c r="CD41" s="32">
        <f>SUM(CD8:CD40)</f>
        <v>1049854.848</v>
      </c>
      <c r="CE41" s="32">
        <f>SUM(CE8:CE40)</f>
        <v>450905.9075584001</v>
      </c>
      <c r="CF41" s="32">
        <f>SUM(CF8:CF40)</f>
        <v>1500760.7555583997</v>
      </c>
      <c r="CG41" s="32">
        <f>SUM(CG8:CG40)</f>
        <v>82048</v>
      </c>
      <c r="CI41" s="32">
        <f>SUM(CI8:CI40)</f>
        <v>2145158.9579999996</v>
      </c>
      <c r="CJ41" s="32">
        <f>SUM(CJ8:CJ40)</f>
        <v>921331.9809464003</v>
      </c>
      <c r="CK41" s="32">
        <f>SUM(CK8:CK40)</f>
        <v>3066490.9389464</v>
      </c>
      <c r="CL41" s="32">
        <f>SUM(CL8:CL40)</f>
        <v>167648</v>
      </c>
      <c r="CN41" s="32">
        <f>SUM(CN8:CN40)</f>
        <v>347899.743</v>
      </c>
      <c r="CO41" s="32">
        <f>SUM(CO8:CO40)</f>
        <v>149420.70292440004</v>
      </c>
      <c r="CP41" s="32">
        <f>SUM(CP8:CP40)</f>
        <v>497320.44592439994</v>
      </c>
      <c r="CQ41" s="32">
        <f>SUM(CQ8:CQ40)</f>
        <v>27189</v>
      </c>
      <c r="CS41" s="32">
        <f>SUM(CS8:CS40)</f>
        <v>1784650.9230000002</v>
      </c>
      <c r="CT41" s="32">
        <f>SUM(CT8:CT40)</f>
        <v>766496.0976683999</v>
      </c>
      <c r="CU41" s="32">
        <f>SUM(CU8:CU40)</f>
        <v>2551147.0206684</v>
      </c>
      <c r="CV41" s="32">
        <f>SUM(CV8:CV40)</f>
        <v>139474</v>
      </c>
      <c r="CX41" s="32">
        <f>SUM(CX8:CX40)</f>
        <v>15950.149499999998</v>
      </c>
      <c r="CY41" s="32">
        <f>SUM(CY8:CY40)</f>
        <v>6850.4866646</v>
      </c>
      <c r="CZ41" s="32">
        <f>SUM(CZ8:CZ40)</f>
        <v>22800.6361646</v>
      </c>
      <c r="DA41" s="32">
        <f>SUM(DA8:DA40)</f>
        <v>1247</v>
      </c>
      <c r="DC41" s="32">
        <f>SUM(DC8:DC40)</f>
        <v>20991.816000000003</v>
      </c>
      <c r="DD41" s="32">
        <f>SUM(DD8:DD40)</f>
        <v>9015.850012800001</v>
      </c>
      <c r="DE41" s="32">
        <f>SUM(DE8:DE40)</f>
        <v>30007.666012799997</v>
      </c>
      <c r="DF41" s="32">
        <f>SUM(DF8:DF40)</f>
        <v>1641</v>
      </c>
      <c r="DH41" s="32">
        <f>SUM(DH8:DH40)</f>
        <v>1057735.0305</v>
      </c>
      <c r="DI41" s="32">
        <f>SUM(DI8:DI40)</f>
        <v>454290.39527940017</v>
      </c>
      <c r="DJ41" s="32">
        <f>SUM(DJ8:DJ40)</f>
        <v>1512025.4257793997</v>
      </c>
      <c r="DK41" s="32">
        <f>SUM(DK8:DK40)</f>
        <v>82664</v>
      </c>
      <c r="DM41" s="32">
        <f>SUM(DM8:DM40)</f>
        <v>20133.660000000003</v>
      </c>
      <c r="DN41" s="32">
        <f>SUM(DN8:DN40)</f>
        <v>8647.277528000002</v>
      </c>
      <c r="DO41" s="32">
        <f>SUM(DO8:DO40)</f>
        <v>28780.937528000006</v>
      </c>
      <c r="DP41" s="32">
        <f>SUM(DP8:DP40)</f>
        <v>1574</v>
      </c>
      <c r="DR41" s="32">
        <f>SUM(DR8:DR40)</f>
        <v>300841.4385</v>
      </c>
      <c r="DS41" s="32">
        <f>SUM(DS8:DS40)</f>
        <v>129209.4636858</v>
      </c>
      <c r="DT41" s="32">
        <f>SUM(DT8:DT40)</f>
        <v>430050.9021858001</v>
      </c>
      <c r="DU41" s="32">
        <f>SUM(DU8:DU40)</f>
        <v>23511</v>
      </c>
      <c r="DW41" s="32">
        <f>SUM(DW8:DW40)</f>
        <v>208985.74049999996</v>
      </c>
      <c r="DX41" s="32">
        <f>SUM(DX8:DX40)</f>
        <v>89758.03194739997</v>
      </c>
      <c r="DY41" s="32">
        <f>SUM(DY8:DY40)</f>
        <v>298743.7724474</v>
      </c>
      <c r="DZ41" s="32">
        <f>SUM(DZ8:DZ40)</f>
        <v>16333</v>
      </c>
      <c r="EB41" s="32">
        <f>SUM(EB8:EB40)</f>
        <v>81582.58049999998</v>
      </c>
      <c r="EC41" s="32">
        <f>SUM(EC8:EC40)</f>
        <v>35039.19381940002</v>
      </c>
      <c r="ED41" s="32">
        <f>SUM(ED8:ED40)</f>
        <v>116621.77431939996</v>
      </c>
      <c r="EE41" s="32">
        <f>SUM(EE8:EE40)</f>
        <v>6376</v>
      </c>
      <c r="EG41" s="32">
        <f>SUM(EG8:EG40)</f>
        <v>916832.4164999999</v>
      </c>
      <c r="EH41" s="32">
        <f>SUM(EH8:EH40)</f>
        <v>393773.62844820006</v>
      </c>
      <c r="EI41" s="32">
        <f>SUM(EI8:EI40)</f>
        <v>1310606.0449482002</v>
      </c>
      <c r="EJ41" s="32">
        <f>SUM(EJ8:EJ40)</f>
        <v>71652</v>
      </c>
      <c r="EL41" s="32">
        <f>SUM(EL8:EL40)</f>
        <v>2066357.133</v>
      </c>
      <c r="EM41" s="32">
        <f>SUM(EM8:EM40)</f>
        <v>887487.1037364005</v>
      </c>
      <c r="EN41" s="32">
        <f>SUM(EN8:EN40)</f>
        <v>2953844.2367363996</v>
      </c>
      <c r="EO41" s="32">
        <f>SUM(EO8:EO40)</f>
        <v>161489</v>
      </c>
      <c r="EQ41" s="32">
        <f>SUM(EQ8:EQ40)</f>
        <v>263693.1855</v>
      </c>
      <c r="ER41" s="32">
        <f>SUM(ER8:ER40)</f>
        <v>113254.52785340004</v>
      </c>
      <c r="ES41" s="32">
        <f>SUM(ES8:ES40)</f>
        <v>376947.7133534001</v>
      </c>
      <c r="ET41" s="32">
        <f>SUM(ET8:ET40)</f>
        <v>20608</v>
      </c>
      <c r="EV41" s="32">
        <f>SUM(EV8:EV40)</f>
        <v>418747.12200000003</v>
      </c>
      <c r="EW41" s="32">
        <f>SUM(EW8:EW40)</f>
        <v>179849.19671759996</v>
      </c>
      <c r="EX41" s="32">
        <f>SUM(EX8:EX40)</f>
        <v>598596.3187176001</v>
      </c>
      <c r="EY41" s="32">
        <f>SUM(EY8:EY40)</f>
        <v>32726</v>
      </c>
      <c r="FA41" s="32">
        <f>SUM(FA8:FA40)</f>
        <v>1940662.0335000004</v>
      </c>
      <c r="FB41" s="32">
        <f>SUM(FB8:FB40)</f>
        <v>833501.8666118002</v>
      </c>
      <c r="FC41" s="32">
        <f>SUM(FC8:FC40)</f>
        <v>2774163.9001117996</v>
      </c>
      <c r="FD41" s="32">
        <f>SUM(FD8:FD40)</f>
        <v>151666</v>
      </c>
      <c r="FF41" s="32">
        <f>SUM(FF8:FF40)</f>
        <v>102995.22300000001</v>
      </c>
      <c r="FG41" s="32">
        <f>SUM(FG8:FG40)</f>
        <v>44235.78610839999</v>
      </c>
      <c r="FH41" s="32">
        <f>SUM(FH8:FH40)</f>
        <v>147231.00910839997</v>
      </c>
      <c r="FI41" s="32">
        <f>SUM(FI8:FI40)</f>
        <v>8049</v>
      </c>
      <c r="FK41" s="32">
        <f>SUM(FK8:FK40)</f>
        <v>590510.3460000001</v>
      </c>
      <c r="FL41" s="32">
        <f>SUM(FL8:FL40)</f>
        <v>253620.39713680002</v>
      </c>
      <c r="FM41" s="32">
        <f>SUM(FM8:FM40)</f>
        <v>844130.7431368</v>
      </c>
      <c r="FN41" s="32">
        <f>SUM(FN8:FN40)</f>
        <v>46149</v>
      </c>
    </row>
    <row r="42" ht="13.5" thickTop="1"/>
    <row r="55" spans="1:23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7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2.75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2.75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75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75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.75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.75">
      <c r="A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.75">
      <c r="A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2.75">
      <c r="A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.75">
      <c r="A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</sheetData>
  <sheetProtection/>
  <printOptions/>
  <pageMargins left="0.75" right="0.75" top="0.25" bottom="0.5" header="0.25" footer="0.25"/>
  <pageSetup horizontalDpi="600" verticalDpi="600" orientation="landscape" scale="83" r:id="rId1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2009-04-27T18:31:42Z</cp:lastPrinted>
  <dcterms:created xsi:type="dcterms:W3CDTF">1998-02-23T20:58:01Z</dcterms:created>
  <dcterms:modified xsi:type="dcterms:W3CDTF">2009-06-11T15:25:24Z</dcterms:modified>
  <cp:category/>
  <cp:version/>
  <cp:contentType/>
  <cp:contentStatus/>
</cp:coreProperties>
</file>