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6300" windowHeight="4320" tabRatio="910" activeTab="0"/>
  </bookViews>
  <sheets>
    <sheet name="2004 A " sheetId="1" r:id="rId1"/>
    <sheet name="Academic Project" sheetId="2" r:id="rId2"/>
  </sheets>
  <definedNames>
    <definedName name="_xlnm.Print_Titles" localSheetId="0">'2004 A '!$A:$A</definedName>
    <definedName name="_xlnm.Print_Titles" localSheetId="1">'Academic Project'!$A:$A</definedName>
  </definedNames>
  <calcPr fullCalcOnLoad="1"/>
</workbook>
</file>

<file path=xl/sharedStrings.xml><?xml version="1.0" encoding="utf-8"?>
<sst xmlns="http://schemas.openxmlformats.org/spreadsheetml/2006/main" count="381" uniqueCount="61">
  <si>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</si>
  <si>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</si>
  <si>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</si>
  <si>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</si>
  <si>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</si>
  <si>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</si>
  <si>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</si>
  <si>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</si>
  <si>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 UMCP Facilities Renewal (Academic)</t>
  </si>
  <si>
    <t xml:space="preserve">   UMCP Hornbake &amp; McKeldin Libr (Academic)</t>
  </si>
  <si>
    <t xml:space="preserve">        UMB Facilities Renewal (Academic)</t>
  </si>
  <si>
    <t xml:space="preserve">        UMB New Dental School (Academic)</t>
  </si>
  <si>
    <t xml:space="preserve">        UMES Utilities Upgrade (Academic)</t>
  </si>
  <si>
    <t xml:space="preserve"> UMES Social Sci/Education/Health (Academic)</t>
  </si>
  <si>
    <t xml:space="preserve">        UMBC Facilities Renewal (Academic)</t>
  </si>
  <si>
    <t xml:space="preserve"> UMBC Equip Information Tech Bldg (Academic)</t>
  </si>
  <si>
    <t xml:space="preserve">     UMCES Aquaculture Building (Academic)</t>
  </si>
  <si>
    <t xml:space="preserve">          TU Facilities Renewal (Academic)</t>
  </si>
  <si>
    <t xml:space="preserve">          UB Facilities Renewal (Academic)</t>
  </si>
  <si>
    <t xml:space="preserve">     UMCP Health Center Addition (Auxiliary)</t>
  </si>
  <si>
    <t>UMCP South Campus Parking Garage (Auxiliary)</t>
  </si>
  <si>
    <t xml:space="preserve">        UMB Pine Street Annex (Auxiliary)</t>
  </si>
  <si>
    <t xml:space="preserve">       UMES Murphy Hall Annex  (Auxiliary)</t>
  </si>
  <si>
    <t xml:space="preserve">     UMES Student Service Center  (Auxiliary)</t>
  </si>
  <si>
    <t xml:space="preserve">    UMBC Resident Hall Renovation  (Auxiliary)</t>
  </si>
  <si>
    <t xml:space="preserve">  UMBC New Recreation &amp; Athletic (Auxiliary)</t>
  </si>
  <si>
    <t xml:space="preserve"> UMCP Engineering/Applied Sci Bldg (Academic)</t>
  </si>
  <si>
    <t xml:space="preserve">  USMO Shady Grove Parking Lot 2 (Auxiliary)</t>
  </si>
  <si>
    <t xml:space="preserve">       UMCP Chemical/Nuclear Eng (Academic)</t>
  </si>
  <si>
    <t xml:space="preserve">   UMCP Queen Anne's Hall Renov (Auxiliary)</t>
  </si>
  <si>
    <t xml:space="preserve">      Total Debt Services - 2004 Series A</t>
  </si>
  <si>
    <t xml:space="preserve">          Total New Money - 2004 Series A</t>
  </si>
  <si>
    <t xml:space="preserve">   1992 Series C Bonds Refinanced on 2004A</t>
  </si>
  <si>
    <t>2004 Series A Bond Funded Projects</t>
  </si>
  <si>
    <t xml:space="preserve">           Total Academic Projects - 2004A</t>
  </si>
  <si>
    <t xml:space="preserve">    UMB School of Nursing Equip (Academic)</t>
  </si>
  <si>
    <t xml:space="preserve">   UMBI Emergency Fund Projects (Academic)</t>
  </si>
  <si>
    <t xml:space="preserve">        UMES Facilities Renewal (Academic)</t>
  </si>
  <si>
    <t xml:space="preserve">        UMCES Facilities Renewal (Academic)</t>
  </si>
  <si>
    <t xml:space="preserve">   USM Emergency Fund Projects (Academic)</t>
  </si>
  <si>
    <t xml:space="preserve">           Total Auxiliary Projects - 2004A</t>
  </si>
  <si>
    <t xml:space="preserve">        BSU Facilities Renewal (Academic)</t>
  </si>
  <si>
    <t xml:space="preserve">        CSU Facilities Renewal (Academic)</t>
  </si>
  <si>
    <t xml:space="preserve">   CSU Health/Human Service Bldg (Academic)</t>
  </si>
  <si>
    <t xml:space="preserve">        FSU Facilities Renewal (Academic)</t>
  </si>
  <si>
    <t xml:space="preserve">   FSU Equip Compton Sci Center (Academic)</t>
  </si>
  <si>
    <t xml:space="preserve">        SU Facilities Renewal (Academic)</t>
  </si>
  <si>
    <t xml:space="preserve">     SU Emergency Fund Projects (Academic)</t>
  </si>
  <si>
    <t xml:space="preserve">         TU Fine Arts Center (Academic)</t>
  </si>
  <si>
    <t xml:space="preserve">      TU 7800 York Road Renov (Academic)</t>
  </si>
  <si>
    <t xml:space="preserve">     UB Emergency Fund Projects (Academic)</t>
  </si>
  <si>
    <t xml:space="preserve">        UMBC New Parking Lot  (Auxiliary)</t>
  </si>
  <si>
    <t xml:space="preserve">   UMBC Dining Hall: HVAC Upgrade (Auxiliary)</t>
  </si>
  <si>
    <t xml:space="preserve">    BSU Holmes Hall &amp; Tubman Hall (Auxiliary)</t>
  </si>
  <si>
    <t xml:space="preserve">         CSU New Dining Hall (Auxiliary)</t>
  </si>
  <si>
    <t xml:space="preserve">          TU New Child Care Center (Auxiliary)</t>
  </si>
  <si>
    <t xml:space="preserve">      TU 7800 York Road Garage (Auxiliary)</t>
  </si>
  <si>
    <t xml:space="preserve">        UB New Student Center (Auxiliary)</t>
  </si>
  <si>
    <t>Amort of</t>
  </si>
  <si>
    <t>Premium</t>
  </si>
  <si>
    <t>Gain on Refunding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</si>
</sst>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0.000%"/>
    <numFmt numFmtId="168" formatCode="#,##0.0_);[Red]\(#,##0.0\)"/>
    <numFmt numFmtId="169" formatCode="0.00000_);[Red]\(0.000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167" fontId="0" fillId="0" borderId="12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7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2" sqref="D12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15.8515625" style="15" customWidth="1"/>
    <col min="8" max="8" width="3.7109375" style="14" customWidth="1"/>
    <col min="9" max="12" width="13.7109375" style="14" customWidth="1"/>
    <col min="13" max="13" width="16.57421875" style="14" customWidth="1"/>
    <col min="14" max="14" width="3.7109375" style="14" customWidth="1"/>
    <col min="15" max="18" width="13.7109375" style="14" customWidth="1"/>
    <col min="19" max="19" width="3.7109375" style="14" customWidth="1"/>
    <col min="20" max="23" width="13.7109375" style="14" customWidth="1"/>
    <col min="24" max="24" width="3.7109375" style="14" customWidth="1"/>
    <col min="25" max="28" width="13.7109375" style="0" customWidth="1"/>
    <col min="29" max="29" width="3.7109375" style="14" customWidth="1"/>
    <col min="30" max="33" width="13.7109375" style="0" customWidth="1"/>
    <col min="34" max="34" width="3.7109375" style="0" customWidth="1"/>
    <col min="35" max="38" width="13.7109375" style="0" customWidth="1"/>
    <col min="39" max="39" width="3.7109375" style="0" customWidth="1"/>
    <col min="40" max="43" width="13.7109375" style="0" customWidth="1"/>
    <col min="44" max="44" width="3.7109375" style="0" customWidth="1"/>
    <col min="45" max="48" width="13.7109375" style="0" customWidth="1"/>
    <col min="49" max="49" width="3.7109375" style="3" customWidth="1"/>
    <col min="50" max="53" width="13.7109375" style="3" customWidth="1"/>
    <col min="54" max="54" width="3.7109375" style="3" customWidth="1"/>
    <col min="55" max="58" width="13.7109375" style="3" customWidth="1"/>
    <col min="59" max="59" width="3.7109375" style="3" customWidth="1"/>
    <col min="60" max="63" width="13.7109375" style="3" customWidth="1"/>
    <col min="64" max="64" width="3.7109375" style="3" customWidth="1"/>
    <col min="65" max="68" width="13.7109375" style="3" customWidth="1"/>
    <col min="69" max="69" width="3.7109375" style="3" customWidth="1"/>
    <col min="70" max="73" width="13.7109375" style="3" customWidth="1"/>
    <col min="74" max="74" width="3.7109375" style="3" customWidth="1"/>
    <col min="75" max="78" width="13.7109375" style="3" customWidth="1"/>
    <col min="79" max="79" width="3.7109375" style="3" customWidth="1"/>
    <col min="80" max="83" width="13.7109375" style="3" customWidth="1"/>
    <col min="84" max="84" width="3.7109375" style="3" customWidth="1"/>
    <col min="85" max="88" width="13.7109375" style="3" customWidth="1"/>
    <col min="89" max="89" width="3.7109375" style="3" customWidth="1"/>
    <col min="90" max="93" width="13.7109375" style="3" customWidth="1"/>
    <col min="94" max="94" width="3.7109375" style="3" customWidth="1"/>
    <col min="95" max="98" width="13.7109375" style="3" customWidth="1"/>
    <col min="99" max="99" width="3.7109375" style="3" customWidth="1"/>
    <col min="100" max="103" width="13.7109375" style="3" customWidth="1"/>
    <col min="104" max="104" width="3.7109375" style="3" customWidth="1"/>
    <col min="105" max="108" width="13.7109375" style="3" customWidth="1"/>
    <col min="109" max="109" width="3.7109375" style="3" customWidth="1"/>
    <col min="110" max="113" width="13.7109375" style="3" customWidth="1"/>
    <col min="114" max="114" width="3.7109375" style="0" customWidth="1"/>
  </cols>
  <sheetData>
    <row r="1" spans="1:115" ht="12.75">
      <c r="A1" s="23"/>
      <c r="B1" s="11"/>
      <c r="C1" s="22"/>
      <c r="D1" s="24"/>
      <c r="I1" s="24" t="s">
        <v>6</v>
      </c>
      <c r="O1" s="24"/>
      <c r="Y1" s="24" t="s">
        <v>6</v>
      </c>
      <c r="AD1" s="24"/>
      <c r="AN1" s="24" t="s">
        <v>6</v>
      </c>
      <c r="AS1" s="24"/>
      <c r="BC1" s="24" t="s">
        <v>6</v>
      </c>
      <c r="BH1" s="24"/>
      <c r="BR1" s="24" t="s">
        <v>6</v>
      </c>
      <c r="BW1" s="24"/>
      <c r="CG1" s="24" t="s">
        <v>6</v>
      </c>
      <c r="CL1" s="24"/>
      <c r="CV1" s="24" t="s">
        <v>6</v>
      </c>
      <c r="DA1" s="24"/>
      <c r="DK1" s="24" t="s">
        <v>6</v>
      </c>
    </row>
    <row r="2" spans="1:115" ht="12.75">
      <c r="A2" s="23"/>
      <c r="B2" s="11"/>
      <c r="C2" s="22"/>
      <c r="D2" s="24"/>
      <c r="I2" s="24" t="s">
        <v>5</v>
      </c>
      <c r="O2" s="24"/>
      <c r="Y2" s="24" t="s">
        <v>5</v>
      </c>
      <c r="AD2" s="24"/>
      <c r="AN2" s="24" t="s">
        <v>5</v>
      </c>
      <c r="AS2" s="24"/>
      <c r="BC2" s="24" t="s">
        <v>5</v>
      </c>
      <c r="BH2" s="24"/>
      <c r="BR2" s="24" t="s">
        <v>5</v>
      </c>
      <c r="BW2" s="24"/>
      <c r="CG2" s="24" t="s">
        <v>5</v>
      </c>
      <c r="CL2" s="24"/>
      <c r="CV2" s="24" t="s">
        <v>5</v>
      </c>
      <c r="DA2" s="24"/>
      <c r="DK2" s="24" t="s">
        <v>5</v>
      </c>
    </row>
    <row r="3" spans="1:115" ht="12.75">
      <c r="A3" s="23"/>
      <c r="B3" s="11"/>
      <c r="C3" s="22"/>
      <c r="D3" s="22"/>
      <c r="I3" s="24" t="s">
        <v>33</v>
      </c>
      <c r="O3" s="24"/>
      <c r="Y3" s="24" t="s">
        <v>33</v>
      </c>
      <c r="Z3" s="1"/>
      <c r="AD3" s="24"/>
      <c r="AN3" s="24" t="s">
        <v>33</v>
      </c>
      <c r="AS3" s="24"/>
      <c r="BC3" s="24" t="s">
        <v>33</v>
      </c>
      <c r="BH3" s="24"/>
      <c r="BR3" s="24" t="s">
        <v>33</v>
      </c>
      <c r="BW3" s="24"/>
      <c r="CG3" s="24" t="s">
        <v>33</v>
      </c>
      <c r="CL3" s="24"/>
      <c r="CV3" s="24" t="s">
        <v>33</v>
      </c>
      <c r="DA3" s="24"/>
      <c r="DK3" s="24" t="s">
        <v>33</v>
      </c>
    </row>
    <row r="4" spans="1:4" ht="12.75">
      <c r="A4" s="23"/>
      <c r="B4" s="11"/>
      <c r="C4" s="22"/>
      <c r="D4" s="24"/>
    </row>
    <row r="5" spans="1:113" ht="12.75">
      <c r="A5" s="4" t="s">
        <v>1</v>
      </c>
      <c r="C5" s="28" t="s">
        <v>30</v>
      </c>
      <c r="D5" s="29"/>
      <c r="E5" s="30"/>
      <c r="F5" s="20"/>
      <c r="G5" s="20"/>
      <c r="I5" s="16" t="s">
        <v>32</v>
      </c>
      <c r="J5" s="17"/>
      <c r="K5" s="18"/>
      <c r="L5" s="20"/>
      <c r="M5" s="20"/>
      <c r="O5" s="16" t="s">
        <v>31</v>
      </c>
      <c r="P5" s="17"/>
      <c r="Q5" s="18"/>
      <c r="R5" s="20"/>
      <c r="T5" s="16" t="s">
        <v>34</v>
      </c>
      <c r="U5" s="17"/>
      <c r="V5" s="18"/>
      <c r="W5" s="20"/>
      <c r="Y5" s="16" t="s">
        <v>40</v>
      </c>
      <c r="Z5" s="17"/>
      <c r="AA5" s="18"/>
      <c r="AB5" s="20"/>
      <c r="AD5" s="5" t="s">
        <v>19</v>
      </c>
      <c r="AE5" s="6"/>
      <c r="AF5" s="7"/>
      <c r="AG5" s="20"/>
      <c r="AI5" s="5" t="s">
        <v>29</v>
      </c>
      <c r="AJ5" s="6"/>
      <c r="AK5" s="7"/>
      <c r="AL5" s="20"/>
      <c r="AN5" s="5" t="s">
        <v>20</v>
      </c>
      <c r="AO5" s="6"/>
      <c r="AP5" s="7"/>
      <c r="AQ5" s="20"/>
      <c r="AS5" s="5" t="s">
        <v>21</v>
      </c>
      <c r="AT5" s="6"/>
      <c r="AU5" s="7"/>
      <c r="AV5" s="20"/>
      <c r="AX5" s="5" t="s">
        <v>22</v>
      </c>
      <c r="AY5" s="6"/>
      <c r="AZ5" s="7"/>
      <c r="BA5" s="20"/>
      <c r="BC5" s="5" t="s">
        <v>23</v>
      </c>
      <c r="BD5" s="6"/>
      <c r="BE5" s="7"/>
      <c r="BF5" s="20"/>
      <c r="BH5" s="5" t="s">
        <v>51</v>
      </c>
      <c r="BI5" s="6"/>
      <c r="BJ5" s="7"/>
      <c r="BK5" s="20"/>
      <c r="BM5" s="5" t="s">
        <v>24</v>
      </c>
      <c r="BN5" s="6"/>
      <c r="BO5" s="7"/>
      <c r="BP5" s="20"/>
      <c r="BR5" s="5" t="s">
        <v>52</v>
      </c>
      <c r="BS5" s="6"/>
      <c r="BT5" s="7"/>
      <c r="BU5" s="20"/>
      <c r="BW5" s="5" t="s">
        <v>25</v>
      </c>
      <c r="BX5" s="6"/>
      <c r="BY5" s="7"/>
      <c r="BZ5" s="20"/>
      <c r="CB5" s="36" t="s">
        <v>27</v>
      </c>
      <c r="CC5" s="6"/>
      <c r="CD5" s="7"/>
      <c r="CE5" s="20"/>
      <c r="CG5" s="5" t="s">
        <v>53</v>
      </c>
      <c r="CH5" s="6"/>
      <c r="CI5" s="7"/>
      <c r="CJ5" s="20"/>
      <c r="CL5" s="5" t="s">
        <v>54</v>
      </c>
      <c r="CM5" s="6"/>
      <c r="CN5" s="7"/>
      <c r="CO5" s="20"/>
      <c r="CQ5" s="5" t="s">
        <v>55</v>
      </c>
      <c r="CR5" s="6"/>
      <c r="CS5" s="7"/>
      <c r="CT5" s="20"/>
      <c r="CV5" s="5" t="s">
        <v>56</v>
      </c>
      <c r="CW5" s="6"/>
      <c r="CX5" s="7"/>
      <c r="CY5" s="20"/>
      <c r="DA5" s="5" t="s">
        <v>57</v>
      </c>
      <c r="DB5" s="6"/>
      <c r="DC5" s="7"/>
      <c r="DD5" s="20"/>
      <c r="DF5" s="36" t="s">
        <v>7</v>
      </c>
      <c r="DG5" s="6"/>
      <c r="DH5" s="7"/>
      <c r="DI5" s="20"/>
    </row>
    <row r="6" spans="1:113" s="1" customFormat="1" ht="12.75">
      <c r="A6" s="25" t="s">
        <v>2</v>
      </c>
      <c r="C6" s="19"/>
      <c r="D6" s="17"/>
      <c r="E6" s="18"/>
      <c r="F6" s="20" t="s">
        <v>58</v>
      </c>
      <c r="G6" s="20" t="s">
        <v>58</v>
      </c>
      <c r="H6" s="14"/>
      <c r="I6" s="19"/>
      <c r="J6" s="17"/>
      <c r="K6" s="18"/>
      <c r="L6" s="20" t="s">
        <v>58</v>
      </c>
      <c r="M6" s="20" t="s">
        <v>58</v>
      </c>
      <c r="N6" s="14"/>
      <c r="O6" s="19"/>
      <c r="P6" s="37"/>
      <c r="Q6" s="18"/>
      <c r="R6" s="20" t="s">
        <v>58</v>
      </c>
      <c r="S6" s="14"/>
      <c r="T6" s="19"/>
      <c r="U6" s="41">
        <v>0.6798012</v>
      </c>
      <c r="V6" s="18"/>
      <c r="W6" s="20" t="s">
        <v>58</v>
      </c>
      <c r="X6" s="14"/>
      <c r="Y6" s="19"/>
      <c r="Z6" s="35">
        <f>AE6+AJ6+AO6+AT6+AY6+BD6+BI6+BN6+BS6+BX6+CC6+CH6+CM6+CR6+CW6+DB6+DG6</f>
        <v>0.3201988</v>
      </c>
      <c r="AA6" s="18"/>
      <c r="AB6" s="20" t="s">
        <v>58</v>
      </c>
      <c r="AC6" s="14"/>
      <c r="AD6" s="26"/>
      <c r="AE6" s="13">
        <v>0.0028849</v>
      </c>
      <c r="AF6" s="27"/>
      <c r="AG6" s="20" t="s">
        <v>58</v>
      </c>
      <c r="AI6" s="26"/>
      <c r="AJ6" s="13">
        <v>0.0121511</v>
      </c>
      <c r="AK6" s="27"/>
      <c r="AL6" s="20" t="s">
        <v>58</v>
      </c>
      <c r="AN6" s="26"/>
      <c r="AO6" s="13">
        <v>0.0051763</v>
      </c>
      <c r="AP6" s="27"/>
      <c r="AQ6" s="20" t="s">
        <v>58</v>
      </c>
      <c r="AS6" s="26"/>
      <c r="AT6" s="13">
        <v>0.001659</v>
      </c>
      <c r="AU6" s="27"/>
      <c r="AV6" s="20" t="s">
        <v>58</v>
      </c>
      <c r="AX6" s="26"/>
      <c r="AY6" s="13">
        <v>0.0005119</v>
      </c>
      <c r="AZ6" s="27"/>
      <c r="BA6" s="20" t="s">
        <v>58</v>
      </c>
      <c r="BC6" s="26"/>
      <c r="BD6" s="13">
        <v>0.0109472</v>
      </c>
      <c r="BE6" s="27"/>
      <c r="BF6" s="20" t="s">
        <v>58</v>
      </c>
      <c r="BH6" s="26"/>
      <c r="BI6" s="13">
        <v>0.0001911</v>
      </c>
      <c r="BJ6" s="27"/>
      <c r="BK6" s="20" t="s">
        <v>58</v>
      </c>
      <c r="BM6" s="26"/>
      <c r="BN6" s="13">
        <v>0.0424642</v>
      </c>
      <c r="BO6" s="27"/>
      <c r="BP6" s="20" t="s">
        <v>58</v>
      </c>
      <c r="BR6" s="26"/>
      <c r="BS6" s="13">
        <v>0.0015092</v>
      </c>
      <c r="BT6" s="27"/>
      <c r="BU6" s="20" t="s">
        <v>58</v>
      </c>
      <c r="BW6" s="26"/>
      <c r="BX6" s="13">
        <v>0.0450865</v>
      </c>
      <c r="BY6" s="27"/>
      <c r="BZ6" s="20" t="s">
        <v>58</v>
      </c>
      <c r="CB6" s="26"/>
      <c r="CC6" s="13">
        <v>0.0134749</v>
      </c>
      <c r="CD6" s="27"/>
      <c r="CE6" s="20" t="s">
        <v>58</v>
      </c>
      <c r="CG6" s="26"/>
      <c r="CH6" s="13">
        <v>0.0011948</v>
      </c>
      <c r="CI6" s="27"/>
      <c r="CJ6" s="20" t="s">
        <v>58</v>
      </c>
      <c r="CL6" s="26"/>
      <c r="CM6" s="13">
        <v>0.0003698</v>
      </c>
      <c r="CN6" s="27"/>
      <c r="CO6" s="20" t="s">
        <v>58</v>
      </c>
      <c r="CQ6" s="26"/>
      <c r="CR6" s="13">
        <v>0.0013432</v>
      </c>
      <c r="CS6" s="27"/>
      <c r="CT6" s="20" t="s">
        <v>58</v>
      </c>
      <c r="CV6" s="26"/>
      <c r="CW6" s="13">
        <v>0.0026052</v>
      </c>
      <c r="CX6" s="27"/>
      <c r="CY6" s="20" t="s">
        <v>58</v>
      </c>
      <c r="DA6" s="26"/>
      <c r="DB6" s="13">
        <v>0.1786295</v>
      </c>
      <c r="DC6" s="27"/>
      <c r="DD6" s="20" t="s">
        <v>58</v>
      </c>
      <c r="DF6" s="26"/>
      <c r="DG6" s="13"/>
      <c r="DH6" s="27"/>
      <c r="DI6" s="20" t="s">
        <v>58</v>
      </c>
    </row>
    <row r="7" spans="1:113" ht="12.75">
      <c r="A7" s="8"/>
      <c r="C7" s="20" t="s">
        <v>3</v>
      </c>
      <c r="D7" s="20" t="s">
        <v>4</v>
      </c>
      <c r="E7" s="20" t="s">
        <v>0</v>
      </c>
      <c r="F7" s="20" t="s">
        <v>59</v>
      </c>
      <c r="G7" s="20" t="s">
        <v>60</v>
      </c>
      <c r="I7" s="20" t="s">
        <v>3</v>
      </c>
      <c r="J7" s="20" t="s">
        <v>4</v>
      </c>
      <c r="K7" s="20" t="s">
        <v>0</v>
      </c>
      <c r="L7" s="20" t="s">
        <v>59</v>
      </c>
      <c r="M7" s="20" t="s">
        <v>60</v>
      </c>
      <c r="O7" s="20" t="s">
        <v>3</v>
      </c>
      <c r="P7" s="20" t="s">
        <v>4</v>
      </c>
      <c r="Q7" s="20" t="s">
        <v>0</v>
      </c>
      <c r="R7" s="20" t="s">
        <v>59</v>
      </c>
      <c r="T7" s="20" t="s">
        <v>3</v>
      </c>
      <c r="U7" s="20" t="s">
        <v>4</v>
      </c>
      <c r="V7" s="20" t="s">
        <v>0</v>
      </c>
      <c r="W7" s="20" t="s">
        <v>59</v>
      </c>
      <c r="Y7" s="20" t="s">
        <v>3</v>
      </c>
      <c r="Z7" s="20" t="s">
        <v>4</v>
      </c>
      <c r="AA7" s="20" t="s">
        <v>0</v>
      </c>
      <c r="AB7" s="20" t="s">
        <v>59</v>
      </c>
      <c r="AD7" s="9" t="s">
        <v>3</v>
      </c>
      <c r="AE7" s="9" t="s">
        <v>4</v>
      </c>
      <c r="AF7" s="9" t="s">
        <v>0</v>
      </c>
      <c r="AG7" s="20" t="s">
        <v>59</v>
      </c>
      <c r="AI7" s="9" t="s">
        <v>3</v>
      </c>
      <c r="AJ7" s="9" t="s">
        <v>4</v>
      </c>
      <c r="AK7" s="9" t="s">
        <v>0</v>
      </c>
      <c r="AL7" s="20" t="s">
        <v>59</v>
      </c>
      <c r="AN7" s="9" t="s">
        <v>3</v>
      </c>
      <c r="AO7" s="9" t="s">
        <v>4</v>
      </c>
      <c r="AP7" s="9" t="s">
        <v>0</v>
      </c>
      <c r="AQ7" s="20" t="s">
        <v>59</v>
      </c>
      <c r="AS7" s="9" t="s">
        <v>3</v>
      </c>
      <c r="AT7" s="9" t="s">
        <v>4</v>
      </c>
      <c r="AU7" s="9" t="s">
        <v>0</v>
      </c>
      <c r="AV7" s="20" t="s">
        <v>59</v>
      </c>
      <c r="AX7" s="9" t="s">
        <v>3</v>
      </c>
      <c r="AY7" s="9" t="s">
        <v>4</v>
      </c>
      <c r="AZ7" s="9" t="s">
        <v>0</v>
      </c>
      <c r="BA7" s="20" t="s">
        <v>59</v>
      </c>
      <c r="BC7" s="9" t="s">
        <v>3</v>
      </c>
      <c r="BD7" s="9" t="s">
        <v>4</v>
      </c>
      <c r="BE7" s="9" t="s">
        <v>0</v>
      </c>
      <c r="BF7" s="20" t="s">
        <v>59</v>
      </c>
      <c r="BH7" s="9" t="s">
        <v>3</v>
      </c>
      <c r="BI7" s="9" t="s">
        <v>4</v>
      </c>
      <c r="BJ7" s="9" t="s">
        <v>0</v>
      </c>
      <c r="BK7" s="20" t="s">
        <v>59</v>
      </c>
      <c r="BM7" s="9" t="s">
        <v>3</v>
      </c>
      <c r="BN7" s="9" t="s">
        <v>4</v>
      </c>
      <c r="BO7" s="9" t="s">
        <v>0</v>
      </c>
      <c r="BP7" s="20" t="s">
        <v>59</v>
      </c>
      <c r="BR7" s="9" t="s">
        <v>3</v>
      </c>
      <c r="BS7" s="9" t="s">
        <v>4</v>
      </c>
      <c r="BT7" s="9" t="s">
        <v>0</v>
      </c>
      <c r="BU7" s="20" t="s">
        <v>59</v>
      </c>
      <c r="BW7" s="9" t="s">
        <v>3</v>
      </c>
      <c r="BX7" s="9" t="s">
        <v>4</v>
      </c>
      <c r="BY7" s="9" t="s">
        <v>0</v>
      </c>
      <c r="BZ7" s="20" t="s">
        <v>59</v>
      </c>
      <c r="CB7" s="9" t="s">
        <v>3</v>
      </c>
      <c r="CC7" s="9" t="s">
        <v>4</v>
      </c>
      <c r="CD7" s="9" t="s">
        <v>0</v>
      </c>
      <c r="CE7" s="20" t="s">
        <v>59</v>
      </c>
      <c r="CG7" s="9" t="s">
        <v>3</v>
      </c>
      <c r="CH7" s="9" t="s">
        <v>4</v>
      </c>
      <c r="CI7" s="9" t="s">
        <v>0</v>
      </c>
      <c r="CJ7" s="20" t="s">
        <v>59</v>
      </c>
      <c r="CL7" s="9" t="s">
        <v>3</v>
      </c>
      <c r="CM7" s="9" t="s">
        <v>4</v>
      </c>
      <c r="CN7" s="9" t="s">
        <v>0</v>
      </c>
      <c r="CO7" s="20" t="s">
        <v>59</v>
      </c>
      <c r="CQ7" s="9" t="s">
        <v>3</v>
      </c>
      <c r="CR7" s="9" t="s">
        <v>4</v>
      </c>
      <c r="CS7" s="9" t="s">
        <v>0</v>
      </c>
      <c r="CT7" s="20" t="s">
        <v>59</v>
      </c>
      <c r="CV7" s="9" t="s">
        <v>3</v>
      </c>
      <c r="CW7" s="9" t="s">
        <v>4</v>
      </c>
      <c r="CX7" s="9" t="s">
        <v>0</v>
      </c>
      <c r="CY7" s="20" t="s">
        <v>59</v>
      </c>
      <c r="DA7" s="9" t="s">
        <v>3</v>
      </c>
      <c r="DB7" s="9" t="s">
        <v>4</v>
      </c>
      <c r="DC7" s="9" t="s">
        <v>0</v>
      </c>
      <c r="DD7" s="20" t="s">
        <v>59</v>
      </c>
      <c r="DF7" s="9" t="s">
        <v>3</v>
      </c>
      <c r="DG7" s="9" t="s">
        <v>4</v>
      </c>
      <c r="DH7" s="9" t="s">
        <v>0</v>
      </c>
      <c r="DI7" s="20" t="s">
        <v>59</v>
      </c>
    </row>
    <row r="8" spans="1:113" ht="12.75">
      <c r="A8" s="2">
        <v>40087</v>
      </c>
      <c r="D8" s="15">
        <v>740000</v>
      </c>
      <c r="E8" s="15">
        <f aca="true" t="shared" si="0" ref="E8:E37">C8+D8</f>
        <v>740000</v>
      </c>
      <c r="F8" s="15">
        <f aca="true" t="shared" si="1" ref="F8:F37">L8+R8</f>
        <v>12228</v>
      </c>
      <c r="G8" s="15">
        <f aca="true" t="shared" si="2" ref="G8:G37">M8</f>
        <v>6965</v>
      </c>
      <c r="I8" s="15"/>
      <c r="J8" s="15">
        <v>21375</v>
      </c>
      <c r="K8" s="15">
        <f aca="true" t="shared" si="3" ref="K8:K35">I8+J8</f>
        <v>21375</v>
      </c>
      <c r="L8" s="15">
        <v>406</v>
      </c>
      <c r="M8" s="15">
        <v>6965</v>
      </c>
      <c r="O8" s="15"/>
      <c r="P8" s="15">
        <v>718625</v>
      </c>
      <c r="Q8" s="15">
        <f aca="true" t="shared" si="4" ref="Q8:Q37">O8+P8</f>
        <v>718625</v>
      </c>
      <c r="R8" s="15">
        <f aca="true" t="shared" si="5" ref="R8:R37">W8+AB8</f>
        <v>11822</v>
      </c>
      <c r="T8" s="32"/>
      <c r="U8" s="32">
        <v>488522</v>
      </c>
      <c r="V8" s="32">
        <f aca="true" t="shared" si="6" ref="V8:V37">T8+U8</f>
        <v>488522</v>
      </c>
      <c r="W8" s="32">
        <v>8037</v>
      </c>
      <c r="Y8" s="14"/>
      <c r="Z8" s="21">
        <f aca="true" t="shared" si="7" ref="Z8:Z37">AE8+AJ8+AO8+AT8+AY8+BD8+BI8+BN8+BS8+BX8+CC8+CH8+CM8+CR8+CW8+DB8+DG8</f>
        <v>230102.86265000002</v>
      </c>
      <c r="AA8" s="14">
        <f aca="true" t="shared" si="8" ref="AA8:AA37">Y8+Z8</f>
        <v>230102.86265000002</v>
      </c>
      <c r="AB8" s="14">
        <f aca="true" t="shared" si="9" ref="AB8:AB37">AG8+AL8+AQ8+AV8+BA8+BF8+BK8+BP8+BU8+BZ8+CE8+CJ8+CO8+CT8+CY8+DD8+DI8</f>
        <v>3785</v>
      </c>
      <c r="AD8" s="32"/>
      <c r="AE8" s="21">
        <f aca="true" t="shared" si="10" ref="AE8:AE37">P8*0.28849/100</f>
        <v>2073.1612625000002</v>
      </c>
      <c r="AF8" s="32">
        <f aca="true" t="shared" si="11" ref="AF8:AF37">AD8+AE8</f>
        <v>2073.1612625000002</v>
      </c>
      <c r="AG8" s="32">
        <v>34</v>
      </c>
      <c r="AI8" s="32"/>
      <c r="AJ8" s="32">
        <f aca="true" t="shared" si="12" ref="AJ8:AJ37">P8*1.21511/100</f>
        <v>8732.0842375</v>
      </c>
      <c r="AK8" s="14">
        <f aca="true" t="shared" si="13" ref="AK8:AK37">AI8+AJ8</f>
        <v>8732.0842375</v>
      </c>
      <c r="AL8" s="14">
        <v>144</v>
      </c>
      <c r="AN8" s="32"/>
      <c r="AO8" s="32">
        <f aca="true" t="shared" si="14" ref="AO8:AO37">P8*0.51763/100</f>
        <v>3719.8185875</v>
      </c>
      <c r="AP8" s="14">
        <f aca="true" t="shared" si="15" ref="AP8:AP37">AN8+AO8</f>
        <v>3719.8185875</v>
      </c>
      <c r="AQ8" s="14">
        <v>61</v>
      </c>
      <c r="AS8" s="42"/>
      <c r="AT8" s="42">
        <f aca="true" t="shared" si="16" ref="AT8:AT37">P8*0.1659/100</f>
        <v>1192.198875</v>
      </c>
      <c r="AU8" s="3">
        <f aca="true" t="shared" si="17" ref="AU8:AU37">AS8+AT8</f>
        <v>1192.198875</v>
      </c>
      <c r="AV8" s="3">
        <v>20</v>
      </c>
      <c r="AW8" s="14"/>
      <c r="AX8" s="32"/>
      <c r="AY8" s="32">
        <f aca="true" t="shared" si="18" ref="AY8:AY37">P8*0.05119/100</f>
        <v>367.86413749999997</v>
      </c>
      <c r="AZ8" s="14">
        <f aca="true" t="shared" si="19" ref="AZ8:AZ37">AX8+AY8</f>
        <v>367.86413749999997</v>
      </c>
      <c r="BA8" s="14">
        <v>6</v>
      </c>
      <c r="BB8" s="14"/>
      <c r="BC8" s="32"/>
      <c r="BD8" s="32">
        <f aca="true" t="shared" si="20" ref="BD8:BD37">P8*1.09472/100</f>
        <v>7866.931599999999</v>
      </c>
      <c r="BE8" s="14">
        <f aca="true" t="shared" si="21" ref="BE8:BE37">BC8+BD8</f>
        <v>7866.931599999999</v>
      </c>
      <c r="BF8" s="14">
        <v>129</v>
      </c>
      <c r="BG8" s="14"/>
      <c r="BH8" s="32"/>
      <c r="BI8" s="32">
        <f aca="true" t="shared" si="22" ref="BI8:BI37">P8*0.01911/100</f>
        <v>137.32923749999998</v>
      </c>
      <c r="BJ8" s="14">
        <f aca="true" t="shared" si="23" ref="BJ8:BJ37">BH8+BI8</f>
        <v>137.32923749999998</v>
      </c>
      <c r="BK8" s="14">
        <v>2</v>
      </c>
      <c r="BL8" s="14"/>
      <c r="BM8" s="32"/>
      <c r="BN8" s="32">
        <f aca="true" t="shared" si="24" ref="BN8:BN37">P8*4.24642/100</f>
        <v>30515.835724999997</v>
      </c>
      <c r="BO8" s="14">
        <f aca="true" t="shared" si="25" ref="BO8:BO37">BM8+BN8</f>
        <v>30515.835724999997</v>
      </c>
      <c r="BP8" s="14">
        <v>502</v>
      </c>
      <c r="BQ8" s="14"/>
      <c r="BR8" s="32"/>
      <c r="BS8" s="32">
        <f aca="true" t="shared" si="26" ref="BS8:BS37">P8*0.15092/100</f>
        <v>1084.54885</v>
      </c>
      <c r="BT8" s="14">
        <f aca="true" t="shared" si="27" ref="BT8:BT37">BR8+BS8</f>
        <v>1084.54885</v>
      </c>
      <c r="BU8" s="14">
        <v>18</v>
      </c>
      <c r="BV8" s="14"/>
      <c r="BW8" s="32"/>
      <c r="BX8" s="32">
        <f aca="true" t="shared" si="28" ref="BX8:BX37">P8*4.50865/100</f>
        <v>32400.286062500003</v>
      </c>
      <c r="BY8" s="14">
        <f aca="true" t="shared" si="29" ref="BY8:BY37">BW8+BX8</f>
        <v>32400.286062500003</v>
      </c>
      <c r="BZ8" s="14">
        <v>533</v>
      </c>
      <c r="CA8" s="14"/>
      <c r="CB8" s="32"/>
      <c r="CC8" s="32">
        <f aca="true" t="shared" si="30" ref="CC8:CC37">P8*1.34749/100</f>
        <v>9683.4000125</v>
      </c>
      <c r="CD8" s="14">
        <f aca="true" t="shared" si="31" ref="CD8:CD37">CB8+CC8</f>
        <v>9683.4000125</v>
      </c>
      <c r="CE8" s="14">
        <v>159</v>
      </c>
      <c r="CF8" s="14"/>
      <c r="CG8" s="32"/>
      <c r="CH8" s="32">
        <f aca="true" t="shared" si="32" ref="CH8:CH37">P8*0.11948/100</f>
        <v>858.61315</v>
      </c>
      <c r="CI8" s="14">
        <f aca="true" t="shared" si="33" ref="CI8:CI37">CG8+CH8</f>
        <v>858.61315</v>
      </c>
      <c r="CJ8" s="14">
        <v>14</v>
      </c>
      <c r="CK8" s="14"/>
      <c r="CL8" s="32"/>
      <c r="CM8" s="32">
        <f aca="true" t="shared" si="34" ref="CM8:CM37">P8*0.03698/100</f>
        <v>265.747525</v>
      </c>
      <c r="CN8" s="14">
        <f aca="true" t="shared" si="35" ref="CN8:CN37">CL8+CM8</f>
        <v>265.747525</v>
      </c>
      <c r="CO8" s="14">
        <v>4</v>
      </c>
      <c r="CP8" s="14"/>
      <c r="CQ8" s="32"/>
      <c r="CR8" s="32">
        <f aca="true" t="shared" si="36" ref="CR8:CR37">P8*0.13432/100</f>
        <v>965.2570999999999</v>
      </c>
      <c r="CS8" s="14">
        <f aca="true" t="shared" si="37" ref="CS8:CS37">CQ8+CR8</f>
        <v>965.2570999999999</v>
      </c>
      <c r="CT8" s="14">
        <v>16</v>
      </c>
      <c r="CU8" s="14"/>
      <c r="CV8" s="32"/>
      <c r="CW8" s="32">
        <f aca="true" t="shared" si="38" ref="CW8:CW37">P8*0.26052/100</f>
        <v>1872.1618499999997</v>
      </c>
      <c r="CX8" s="14">
        <f aca="true" t="shared" si="39" ref="CX8:CX37">CV8+CW8</f>
        <v>1872.1618499999997</v>
      </c>
      <c r="CY8" s="14">
        <v>31</v>
      </c>
      <c r="CZ8" s="14"/>
      <c r="DA8" s="32"/>
      <c r="DB8" s="32">
        <f aca="true" t="shared" si="40" ref="DB8:DB37">P8*17.86295/100</f>
        <v>128367.62443750001</v>
      </c>
      <c r="DC8" s="14">
        <f aca="true" t="shared" si="41" ref="DC8:DC37">DA8+DB8</f>
        <v>128367.62443750001</v>
      </c>
      <c r="DD8" s="14">
        <v>2112</v>
      </c>
      <c r="DE8" s="14"/>
      <c r="DF8" s="14"/>
      <c r="DG8" s="14"/>
      <c r="DH8" s="14">
        <f aca="true" t="shared" si="42" ref="DH8:DH37">DF8+DG8</f>
        <v>0</v>
      </c>
      <c r="DI8" s="14"/>
    </row>
    <row r="9" spans="1:113" ht="12.75">
      <c r="A9" s="2">
        <v>40269</v>
      </c>
      <c r="C9" s="15">
        <v>1460000</v>
      </c>
      <c r="D9" s="15">
        <v>740000</v>
      </c>
      <c r="E9" s="15">
        <f t="shared" si="0"/>
        <v>2200000</v>
      </c>
      <c r="F9" s="15">
        <f t="shared" si="1"/>
        <v>12228</v>
      </c>
      <c r="G9" s="15">
        <f t="shared" si="2"/>
        <v>6965</v>
      </c>
      <c r="I9" s="15">
        <v>60000</v>
      </c>
      <c r="J9" s="15">
        <v>21375</v>
      </c>
      <c r="K9" s="15">
        <f t="shared" si="3"/>
        <v>81375</v>
      </c>
      <c r="L9" s="15">
        <v>406</v>
      </c>
      <c r="M9" s="15">
        <v>6965</v>
      </c>
      <c r="O9" s="15">
        <v>1400000</v>
      </c>
      <c r="P9" s="15">
        <v>718625</v>
      </c>
      <c r="Q9" s="15">
        <f t="shared" si="4"/>
        <v>2118625</v>
      </c>
      <c r="R9" s="15">
        <f t="shared" si="5"/>
        <v>11822</v>
      </c>
      <c r="T9" s="32">
        <v>951722</v>
      </c>
      <c r="U9" s="32">
        <v>488522</v>
      </c>
      <c r="V9" s="32">
        <f t="shared" si="6"/>
        <v>1440244</v>
      </c>
      <c r="W9" s="32">
        <v>8037</v>
      </c>
      <c r="Y9" s="14">
        <f aca="true" t="shared" si="43" ref="Y9:Y37">AD9+AI9+AN9+AS9+AX9+BC9+BH9+BM9+BR9+BW9+CB9+CG9+CL9+CQ9+CV9+DA9+DF9</f>
        <v>448278.32000000007</v>
      </c>
      <c r="Z9" s="21">
        <f t="shared" si="7"/>
        <v>230102.86265000002</v>
      </c>
      <c r="AA9" s="14">
        <f t="shared" si="8"/>
        <v>678381.1826500001</v>
      </c>
      <c r="AB9" s="14">
        <f t="shared" si="9"/>
        <v>3785</v>
      </c>
      <c r="AD9" s="32">
        <f aca="true" t="shared" si="44" ref="AD9:AD37">O9*0.28849/100</f>
        <v>4038.8600000000006</v>
      </c>
      <c r="AE9" s="21">
        <f t="shared" si="10"/>
        <v>2073.1612625000002</v>
      </c>
      <c r="AF9" s="32">
        <f t="shared" si="11"/>
        <v>6112.0212625</v>
      </c>
      <c r="AG9" s="32">
        <v>34</v>
      </c>
      <c r="AI9" s="32">
        <f aca="true" t="shared" si="45" ref="AI9:AI37">O9*1.21511/100</f>
        <v>17011.539999999997</v>
      </c>
      <c r="AJ9" s="32">
        <f t="shared" si="12"/>
        <v>8732.0842375</v>
      </c>
      <c r="AK9" s="14">
        <f t="shared" si="13"/>
        <v>25743.624237499997</v>
      </c>
      <c r="AL9" s="14">
        <v>144</v>
      </c>
      <c r="AN9" s="32">
        <f aca="true" t="shared" si="46" ref="AN9:AN37">O9*0.51763/100</f>
        <v>7246.82</v>
      </c>
      <c r="AO9" s="32">
        <f t="shared" si="14"/>
        <v>3719.8185875</v>
      </c>
      <c r="AP9" s="14">
        <f t="shared" si="15"/>
        <v>10966.6385875</v>
      </c>
      <c r="AQ9" s="14">
        <v>61</v>
      </c>
      <c r="AS9" s="42">
        <f aca="true" t="shared" si="47" ref="AS9:AS37">O9*0.1659/100</f>
        <v>2322.6</v>
      </c>
      <c r="AT9" s="42">
        <f t="shared" si="16"/>
        <v>1192.198875</v>
      </c>
      <c r="AU9" s="3">
        <f t="shared" si="17"/>
        <v>3514.798875</v>
      </c>
      <c r="AV9" s="3">
        <v>20</v>
      </c>
      <c r="AW9" s="14"/>
      <c r="AX9" s="32">
        <f aca="true" t="shared" si="48" ref="AX9:AX37">O9*0.05119/100</f>
        <v>716.66</v>
      </c>
      <c r="AY9" s="32">
        <f t="shared" si="18"/>
        <v>367.86413749999997</v>
      </c>
      <c r="AZ9" s="14">
        <f t="shared" si="19"/>
        <v>1084.5241375</v>
      </c>
      <c r="BA9" s="14">
        <v>6</v>
      </c>
      <c r="BB9" s="14"/>
      <c r="BC9" s="32">
        <f aca="true" t="shared" si="49" ref="BC9:BC37">O9*1.09472/100</f>
        <v>15326.079999999998</v>
      </c>
      <c r="BD9" s="32">
        <f t="shared" si="20"/>
        <v>7866.931599999999</v>
      </c>
      <c r="BE9" s="14">
        <f t="shared" si="21"/>
        <v>23193.011599999998</v>
      </c>
      <c r="BF9" s="14">
        <v>129</v>
      </c>
      <c r="BG9" s="14"/>
      <c r="BH9" s="32">
        <f aca="true" t="shared" si="50" ref="BH9:BH37">O9*0.01911/100</f>
        <v>267.53999999999996</v>
      </c>
      <c r="BI9" s="32">
        <f t="shared" si="22"/>
        <v>137.32923749999998</v>
      </c>
      <c r="BJ9" s="14">
        <f t="shared" si="23"/>
        <v>404.86923749999994</v>
      </c>
      <c r="BK9" s="14">
        <v>2</v>
      </c>
      <c r="BL9" s="14"/>
      <c r="BM9" s="32">
        <f aca="true" t="shared" si="51" ref="BM9:BM37">O9*4.24642/100</f>
        <v>59449.87999999999</v>
      </c>
      <c r="BN9" s="32">
        <f t="shared" si="24"/>
        <v>30515.835724999997</v>
      </c>
      <c r="BO9" s="14">
        <f t="shared" si="25"/>
        <v>89965.71572499999</v>
      </c>
      <c r="BP9" s="14">
        <v>502</v>
      </c>
      <c r="BQ9" s="14"/>
      <c r="BR9" s="32">
        <f aca="true" t="shared" si="52" ref="BR9:BR37">O9*0.15092/100</f>
        <v>2112.88</v>
      </c>
      <c r="BS9" s="32">
        <f t="shared" si="26"/>
        <v>1084.54885</v>
      </c>
      <c r="BT9" s="14">
        <f t="shared" si="27"/>
        <v>3197.4288500000002</v>
      </c>
      <c r="BU9" s="14">
        <v>18</v>
      </c>
      <c r="BV9" s="14"/>
      <c r="BW9" s="32">
        <f aca="true" t="shared" si="53" ref="BW9:BW37">O9*4.50865/100</f>
        <v>63121.1</v>
      </c>
      <c r="BX9" s="32">
        <f t="shared" si="28"/>
        <v>32400.286062500003</v>
      </c>
      <c r="BY9" s="14">
        <f t="shared" si="29"/>
        <v>95521.38606250001</v>
      </c>
      <c r="BZ9" s="14">
        <v>533</v>
      </c>
      <c r="CA9" s="14"/>
      <c r="CB9" s="32">
        <f aca="true" t="shared" si="54" ref="CB9:CB37">O9*1.34749/100</f>
        <v>18864.86</v>
      </c>
      <c r="CC9" s="32">
        <f t="shared" si="30"/>
        <v>9683.4000125</v>
      </c>
      <c r="CD9" s="14">
        <f t="shared" si="31"/>
        <v>28548.260012500003</v>
      </c>
      <c r="CE9" s="14">
        <v>159</v>
      </c>
      <c r="CF9" s="14"/>
      <c r="CG9" s="32">
        <f aca="true" t="shared" si="55" ref="CG9:CG37">O9*0.11948/100</f>
        <v>1672.72</v>
      </c>
      <c r="CH9" s="32">
        <f t="shared" si="32"/>
        <v>858.61315</v>
      </c>
      <c r="CI9" s="14">
        <f t="shared" si="33"/>
        <v>2531.33315</v>
      </c>
      <c r="CJ9" s="14">
        <v>14</v>
      </c>
      <c r="CK9" s="14"/>
      <c r="CL9" s="32">
        <f aca="true" t="shared" si="56" ref="CL9:CL37">O9*0.03698/100</f>
        <v>517.72</v>
      </c>
      <c r="CM9" s="32">
        <f t="shared" si="34"/>
        <v>265.747525</v>
      </c>
      <c r="CN9" s="14">
        <f t="shared" si="35"/>
        <v>783.467525</v>
      </c>
      <c r="CO9" s="14">
        <v>4</v>
      </c>
      <c r="CP9" s="14"/>
      <c r="CQ9" s="32">
        <f aca="true" t="shared" si="57" ref="CQ9:CQ37">O9*0.13432/100</f>
        <v>1880.48</v>
      </c>
      <c r="CR9" s="32">
        <f t="shared" si="36"/>
        <v>965.2570999999999</v>
      </c>
      <c r="CS9" s="14">
        <f t="shared" si="37"/>
        <v>2845.7371</v>
      </c>
      <c r="CT9" s="14">
        <v>16</v>
      </c>
      <c r="CU9" s="14"/>
      <c r="CV9" s="32">
        <f aca="true" t="shared" si="58" ref="CV9:CV37">O9*0.26052/100</f>
        <v>3647.2799999999993</v>
      </c>
      <c r="CW9" s="32">
        <f t="shared" si="38"/>
        <v>1872.1618499999997</v>
      </c>
      <c r="CX9" s="14">
        <f t="shared" si="39"/>
        <v>5519.441849999999</v>
      </c>
      <c r="CY9" s="14">
        <v>31</v>
      </c>
      <c r="CZ9" s="14"/>
      <c r="DA9" s="32">
        <f aca="true" t="shared" si="59" ref="DA9:DA37">O9*17.86295/100</f>
        <v>250081.30000000005</v>
      </c>
      <c r="DB9" s="32">
        <f t="shared" si="40"/>
        <v>128367.62443750001</v>
      </c>
      <c r="DC9" s="14">
        <f t="shared" si="41"/>
        <v>378448.92443750007</v>
      </c>
      <c r="DD9" s="14">
        <v>2112</v>
      </c>
      <c r="DE9" s="14"/>
      <c r="DF9" s="14"/>
      <c r="DG9" s="14"/>
      <c r="DH9" s="14">
        <f t="shared" si="42"/>
        <v>0</v>
      </c>
      <c r="DI9" s="14"/>
    </row>
    <row r="10" spans="1:113" ht="12.75">
      <c r="A10" s="2">
        <v>40452</v>
      </c>
      <c r="D10" s="15">
        <v>708975</v>
      </c>
      <c r="E10" s="15">
        <f t="shared" si="0"/>
        <v>708975</v>
      </c>
      <c r="F10" s="15">
        <f t="shared" si="1"/>
        <v>12228</v>
      </c>
      <c r="G10" s="15">
        <f t="shared" si="2"/>
        <v>6965</v>
      </c>
      <c r="I10" s="15"/>
      <c r="J10" s="15">
        <v>20100</v>
      </c>
      <c r="K10" s="15">
        <f t="shared" si="3"/>
        <v>20100</v>
      </c>
      <c r="L10" s="15">
        <v>406</v>
      </c>
      <c r="M10" s="15">
        <v>6965</v>
      </c>
      <c r="O10" s="15"/>
      <c r="P10" s="15">
        <v>688875</v>
      </c>
      <c r="Q10" s="15">
        <f t="shared" si="4"/>
        <v>688875</v>
      </c>
      <c r="R10" s="15">
        <f t="shared" si="5"/>
        <v>11822</v>
      </c>
      <c r="T10" s="32"/>
      <c r="U10" s="32">
        <v>468298</v>
      </c>
      <c r="V10" s="32">
        <f t="shared" si="6"/>
        <v>468298</v>
      </c>
      <c r="W10" s="32">
        <v>8037</v>
      </c>
      <c r="Y10" s="14"/>
      <c r="Z10" s="21">
        <f t="shared" si="7"/>
        <v>220576.94835000002</v>
      </c>
      <c r="AA10" s="14">
        <f t="shared" si="8"/>
        <v>220576.94835000002</v>
      </c>
      <c r="AB10" s="14">
        <f t="shared" si="9"/>
        <v>3785</v>
      </c>
      <c r="AD10" s="32"/>
      <c r="AE10" s="21">
        <f t="shared" si="10"/>
        <v>1987.3354875000002</v>
      </c>
      <c r="AF10" s="32">
        <f t="shared" si="11"/>
        <v>1987.3354875000002</v>
      </c>
      <c r="AG10" s="32">
        <v>34</v>
      </c>
      <c r="AI10" s="32"/>
      <c r="AJ10" s="32">
        <f t="shared" si="12"/>
        <v>8370.5890125</v>
      </c>
      <c r="AK10" s="14">
        <f t="shared" si="13"/>
        <v>8370.5890125</v>
      </c>
      <c r="AL10" s="14">
        <v>144</v>
      </c>
      <c r="AN10" s="32"/>
      <c r="AO10" s="32">
        <f t="shared" si="14"/>
        <v>3565.8236625000004</v>
      </c>
      <c r="AP10" s="14">
        <f t="shared" si="15"/>
        <v>3565.8236625000004</v>
      </c>
      <c r="AQ10" s="14">
        <v>61</v>
      </c>
      <c r="AS10" s="42"/>
      <c r="AT10" s="42">
        <f t="shared" si="16"/>
        <v>1142.843625</v>
      </c>
      <c r="AU10" s="3">
        <f t="shared" si="17"/>
        <v>1142.843625</v>
      </c>
      <c r="AV10" s="3">
        <v>20</v>
      </c>
      <c r="AW10" s="14"/>
      <c r="AX10" s="32"/>
      <c r="AY10" s="32">
        <f t="shared" si="18"/>
        <v>352.63511250000005</v>
      </c>
      <c r="AZ10" s="14">
        <f t="shared" si="19"/>
        <v>352.63511250000005</v>
      </c>
      <c r="BA10" s="14">
        <v>6</v>
      </c>
      <c r="BB10" s="14"/>
      <c r="BC10" s="32"/>
      <c r="BD10" s="32">
        <f t="shared" si="20"/>
        <v>7541.2524</v>
      </c>
      <c r="BE10" s="14">
        <f t="shared" si="21"/>
        <v>7541.2524</v>
      </c>
      <c r="BF10" s="14">
        <v>129</v>
      </c>
      <c r="BG10" s="14"/>
      <c r="BH10" s="32"/>
      <c r="BI10" s="32">
        <f t="shared" si="22"/>
        <v>131.6440125</v>
      </c>
      <c r="BJ10" s="14">
        <f t="shared" si="23"/>
        <v>131.6440125</v>
      </c>
      <c r="BK10" s="14">
        <v>2</v>
      </c>
      <c r="BL10" s="14"/>
      <c r="BM10" s="32"/>
      <c r="BN10" s="32">
        <f t="shared" si="24"/>
        <v>29252.525775</v>
      </c>
      <c r="BO10" s="14">
        <f t="shared" si="25"/>
        <v>29252.525775</v>
      </c>
      <c r="BP10" s="14">
        <v>502</v>
      </c>
      <c r="BQ10" s="14"/>
      <c r="BR10" s="32"/>
      <c r="BS10" s="32">
        <f t="shared" si="26"/>
        <v>1039.65015</v>
      </c>
      <c r="BT10" s="14">
        <f t="shared" si="27"/>
        <v>1039.65015</v>
      </c>
      <c r="BU10" s="14">
        <v>18</v>
      </c>
      <c r="BV10" s="14"/>
      <c r="BW10" s="32"/>
      <c r="BX10" s="32">
        <f t="shared" si="28"/>
        <v>31058.962687500003</v>
      </c>
      <c r="BY10" s="14">
        <f t="shared" si="29"/>
        <v>31058.962687500003</v>
      </c>
      <c r="BZ10" s="14">
        <v>533</v>
      </c>
      <c r="CA10" s="14"/>
      <c r="CB10" s="32"/>
      <c r="CC10" s="32">
        <f t="shared" si="30"/>
        <v>9282.521737500001</v>
      </c>
      <c r="CD10" s="14">
        <f t="shared" si="31"/>
        <v>9282.521737500001</v>
      </c>
      <c r="CE10" s="14">
        <v>159</v>
      </c>
      <c r="CF10" s="14"/>
      <c r="CG10" s="32"/>
      <c r="CH10" s="32">
        <f t="shared" si="32"/>
        <v>823.06785</v>
      </c>
      <c r="CI10" s="14">
        <f t="shared" si="33"/>
        <v>823.06785</v>
      </c>
      <c r="CJ10" s="14">
        <v>14</v>
      </c>
      <c r="CK10" s="14"/>
      <c r="CL10" s="32"/>
      <c r="CM10" s="32">
        <f t="shared" si="34"/>
        <v>254.745975</v>
      </c>
      <c r="CN10" s="14">
        <f t="shared" si="35"/>
        <v>254.745975</v>
      </c>
      <c r="CO10" s="14">
        <v>4</v>
      </c>
      <c r="CP10" s="14"/>
      <c r="CQ10" s="32"/>
      <c r="CR10" s="32">
        <f t="shared" si="36"/>
        <v>925.2969</v>
      </c>
      <c r="CS10" s="14">
        <f t="shared" si="37"/>
        <v>925.2969</v>
      </c>
      <c r="CT10" s="14">
        <v>16</v>
      </c>
      <c r="CU10" s="14"/>
      <c r="CV10" s="32"/>
      <c r="CW10" s="32">
        <f t="shared" si="38"/>
        <v>1794.65715</v>
      </c>
      <c r="CX10" s="14">
        <f t="shared" si="39"/>
        <v>1794.65715</v>
      </c>
      <c r="CY10" s="14">
        <v>31</v>
      </c>
      <c r="CZ10" s="14"/>
      <c r="DA10" s="32"/>
      <c r="DB10" s="32">
        <f t="shared" si="40"/>
        <v>123053.39681250001</v>
      </c>
      <c r="DC10" s="14">
        <f t="shared" si="41"/>
        <v>123053.39681250001</v>
      </c>
      <c r="DD10" s="14">
        <v>2112</v>
      </c>
      <c r="DE10" s="14"/>
      <c r="DF10" s="14"/>
      <c r="DG10" s="14"/>
      <c r="DH10" s="14">
        <f t="shared" si="42"/>
        <v>0</v>
      </c>
      <c r="DI10" s="14"/>
    </row>
    <row r="11" spans="1:113" ht="12.75">
      <c r="A11" s="2">
        <v>40634</v>
      </c>
      <c r="C11" s="15">
        <v>1525000</v>
      </c>
      <c r="D11" s="15">
        <v>708975</v>
      </c>
      <c r="E11" s="15">
        <f t="shared" si="0"/>
        <v>2233975</v>
      </c>
      <c r="F11" s="15">
        <f t="shared" si="1"/>
        <v>12228</v>
      </c>
      <c r="G11" s="15">
        <f t="shared" si="2"/>
        <v>6965</v>
      </c>
      <c r="I11" s="15">
        <v>65000</v>
      </c>
      <c r="J11" s="15">
        <v>20100</v>
      </c>
      <c r="K11" s="15">
        <f t="shared" si="3"/>
        <v>85100</v>
      </c>
      <c r="L11" s="15">
        <v>406</v>
      </c>
      <c r="M11" s="15">
        <v>6965</v>
      </c>
      <c r="O11" s="15">
        <v>1460000</v>
      </c>
      <c r="P11" s="15">
        <v>688875</v>
      </c>
      <c r="Q11" s="15">
        <f t="shared" si="4"/>
        <v>2148875</v>
      </c>
      <c r="R11" s="15">
        <f t="shared" si="5"/>
        <v>11822</v>
      </c>
      <c r="T11" s="32">
        <v>992510</v>
      </c>
      <c r="U11" s="32">
        <v>468298</v>
      </c>
      <c r="V11" s="32">
        <f t="shared" si="6"/>
        <v>1460808</v>
      </c>
      <c r="W11" s="32">
        <v>8037</v>
      </c>
      <c r="Y11" s="14">
        <f t="shared" si="43"/>
        <v>467490.248</v>
      </c>
      <c r="Z11" s="21">
        <f t="shared" si="7"/>
        <v>220576.94835000002</v>
      </c>
      <c r="AA11" s="14">
        <f t="shared" si="8"/>
        <v>688067.1963500001</v>
      </c>
      <c r="AB11" s="14">
        <f t="shared" si="9"/>
        <v>3785</v>
      </c>
      <c r="AD11" s="32">
        <f t="shared" si="44"/>
        <v>4211.954000000001</v>
      </c>
      <c r="AE11" s="21">
        <f t="shared" si="10"/>
        <v>1987.3354875000002</v>
      </c>
      <c r="AF11" s="32">
        <f t="shared" si="11"/>
        <v>6199.289487500001</v>
      </c>
      <c r="AG11" s="32">
        <v>34</v>
      </c>
      <c r="AI11" s="32">
        <f t="shared" si="45"/>
        <v>17740.606</v>
      </c>
      <c r="AJ11" s="32">
        <f t="shared" si="12"/>
        <v>8370.5890125</v>
      </c>
      <c r="AK11" s="14">
        <f t="shared" si="13"/>
        <v>26111.1950125</v>
      </c>
      <c r="AL11" s="14">
        <v>144</v>
      </c>
      <c r="AN11" s="32">
        <f t="shared" si="46"/>
        <v>7557.398</v>
      </c>
      <c r="AO11" s="32">
        <f t="shared" si="14"/>
        <v>3565.8236625000004</v>
      </c>
      <c r="AP11" s="14">
        <f t="shared" si="15"/>
        <v>11123.2216625</v>
      </c>
      <c r="AQ11" s="14">
        <v>61</v>
      </c>
      <c r="AS11" s="42">
        <f t="shared" si="47"/>
        <v>2422.14</v>
      </c>
      <c r="AT11" s="42">
        <f t="shared" si="16"/>
        <v>1142.843625</v>
      </c>
      <c r="AU11" s="3">
        <f t="shared" si="17"/>
        <v>3564.983625</v>
      </c>
      <c r="AV11" s="3">
        <v>20</v>
      </c>
      <c r="AW11" s="14"/>
      <c r="AX11" s="32">
        <f t="shared" si="48"/>
        <v>747.3739999999999</v>
      </c>
      <c r="AY11" s="32">
        <f t="shared" si="18"/>
        <v>352.63511250000005</v>
      </c>
      <c r="AZ11" s="14">
        <f t="shared" si="19"/>
        <v>1100.0091125</v>
      </c>
      <c r="BA11" s="14">
        <v>6</v>
      </c>
      <c r="BB11" s="14"/>
      <c r="BC11" s="32">
        <f t="shared" si="49"/>
        <v>15982.912</v>
      </c>
      <c r="BD11" s="32">
        <f t="shared" si="20"/>
        <v>7541.2524</v>
      </c>
      <c r="BE11" s="14">
        <f t="shared" si="21"/>
        <v>23524.1644</v>
      </c>
      <c r="BF11" s="14">
        <v>129</v>
      </c>
      <c r="BG11" s="14"/>
      <c r="BH11" s="32">
        <f t="shared" si="50"/>
        <v>279.006</v>
      </c>
      <c r="BI11" s="32">
        <f t="shared" si="22"/>
        <v>131.6440125</v>
      </c>
      <c r="BJ11" s="14">
        <f t="shared" si="23"/>
        <v>410.6500125</v>
      </c>
      <c r="BK11" s="14">
        <v>2</v>
      </c>
      <c r="BL11" s="14"/>
      <c r="BM11" s="32">
        <f t="shared" si="51"/>
        <v>61997.73199999999</v>
      </c>
      <c r="BN11" s="32">
        <f t="shared" si="24"/>
        <v>29252.525775</v>
      </c>
      <c r="BO11" s="14">
        <f t="shared" si="25"/>
        <v>91250.25777499999</v>
      </c>
      <c r="BP11" s="14">
        <v>502</v>
      </c>
      <c r="BQ11" s="14"/>
      <c r="BR11" s="32">
        <f t="shared" si="52"/>
        <v>2203.4320000000002</v>
      </c>
      <c r="BS11" s="32">
        <f t="shared" si="26"/>
        <v>1039.65015</v>
      </c>
      <c r="BT11" s="14">
        <f t="shared" si="27"/>
        <v>3243.08215</v>
      </c>
      <c r="BU11" s="14">
        <v>18</v>
      </c>
      <c r="BV11" s="14"/>
      <c r="BW11" s="32">
        <f t="shared" si="53"/>
        <v>65826.29</v>
      </c>
      <c r="BX11" s="32">
        <f t="shared" si="28"/>
        <v>31058.962687500003</v>
      </c>
      <c r="BY11" s="14">
        <f t="shared" si="29"/>
        <v>96885.2526875</v>
      </c>
      <c r="BZ11" s="14">
        <v>533</v>
      </c>
      <c r="CA11" s="14"/>
      <c r="CB11" s="32">
        <f t="shared" si="54"/>
        <v>19673.354000000003</v>
      </c>
      <c r="CC11" s="32">
        <f t="shared" si="30"/>
        <v>9282.521737500001</v>
      </c>
      <c r="CD11" s="14">
        <f t="shared" si="31"/>
        <v>28955.875737500006</v>
      </c>
      <c r="CE11" s="14">
        <v>159</v>
      </c>
      <c r="CF11" s="14"/>
      <c r="CG11" s="32">
        <f t="shared" si="55"/>
        <v>1744.4080000000001</v>
      </c>
      <c r="CH11" s="32">
        <f t="shared" si="32"/>
        <v>823.06785</v>
      </c>
      <c r="CI11" s="14">
        <f t="shared" si="33"/>
        <v>2567.4758500000003</v>
      </c>
      <c r="CJ11" s="14">
        <v>14</v>
      </c>
      <c r="CK11" s="14"/>
      <c r="CL11" s="32">
        <f t="shared" si="56"/>
        <v>539.9079999999999</v>
      </c>
      <c r="CM11" s="32">
        <f t="shared" si="34"/>
        <v>254.745975</v>
      </c>
      <c r="CN11" s="14">
        <f t="shared" si="35"/>
        <v>794.653975</v>
      </c>
      <c r="CO11" s="14">
        <v>4</v>
      </c>
      <c r="CP11" s="14"/>
      <c r="CQ11" s="32">
        <f t="shared" si="57"/>
        <v>1961.072</v>
      </c>
      <c r="CR11" s="32">
        <f t="shared" si="36"/>
        <v>925.2969</v>
      </c>
      <c r="CS11" s="14">
        <f t="shared" si="37"/>
        <v>2886.3689</v>
      </c>
      <c r="CT11" s="14">
        <v>16</v>
      </c>
      <c r="CU11" s="14"/>
      <c r="CV11" s="32">
        <f t="shared" si="58"/>
        <v>3803.5919999999996</v>
      </c>
      <c r="CW11" s="32">
        <f t="shared" si="38"/>
        <v>1794.65715</v>
      </c>
      <c r="CX11" s="14">
        <f t="shared" si="39"/>
        <v>5598.24915</v>
      </c>
      <c r="CY11" s="14">
        <v>31</v>
      </c>
      <c r="CZ11" s="14"/>
      <c r="DA11" s="32">
        <f t="shared" si="59"/>
        <v>260799.07000000004</v>
      </c>
      <c r="DB11" s="32">
        <f t="shared" si="40"/>
        <v>123053.39681250001</v>
      </c>
      <c r="DC11" s="14">
        <f t="shared" si="41"/>
        <v>383852.46681250003</v>
      </c>
      <c r="DD11" s="14">
        <v>2112</v>
      </c>
      <c r="DE11" s="14"/>
      <c r="DF11" s="14"/>
      <c r="DG11" s="14"/>
      <c r="DH11" s="14">
        <f t="shared" si="42"/>
        <v>0</v>
      </c>
      <c r="DI11" s="14"/>
    </row>
    <row r="12" spans="1:113" ht="12.75">
      <c r="A12" s="2">
        <v>40817</v>
      </c>
      <c r="D12" s="15">
        <v>674663</v>
      </c>
      <c r="E12" s="15">
        <f t="shared" si="0"/>
        <v>674663</v>
      </c>
      <c r="F12" s="15">
        <f t="shared" si="1"/>
        <v>12228</v>
      </c>
      <c r="G12" s="15">
        <f t="shared" si="2"/>
        <v>6965</v>
      </c>
      <c r="I12" s="15"/>
      <c r="J12" s="15">
        <v>18638</v>
      </c>
      <c r="K12" s="15">
        <f t="shared" si="3"/>
        <v>18638</v>
      </c>
      <c r="L12" s="15">
        <v>406</v>
      </c>
      <c r="M12" s="15">
        <v>6965</v>
      </c>
      <c r="O12" s="15"/>
      <c r="P12" s="15">
        <v>656025</v>
      </c>
      <c r="Q12" s="15">
        <f t="shared" si="4"/>
        <v>656025</v>
      </c>
      <c r="R12" s="15">
        <f t="shared" si="5"/>
        <v>11822</v>
      </c>
      <c r="T12" s="32"/>
      <c r="U12" s="32">
        <v>445967</v>
      </c>
      <c r="V12" s="32">
        <f t="shared" si="6"/>
        <v>445967</v>
      </c>
      <c r="W12" s="32">
        <v>8037</v>
      </c>
      <c r="Y12" s="14"/>
      <c r="Z12" s="21">
        <f t="shared" si="7"/>
        <v>210058.41777</v>
      </c>
      <c r="AA12" s="14">
        <f t="shared" si="8"/>
        <v>210058.41777</v>
      </c>
      <c r="AB12" s="14">
        <f t="shared" si="9"/>
        <v>3785</v>
      </c>
      <c r="AD12" s="32"/>
      <c r="AE12" s="21">
        <f t="shared" si="10"/>
        <v>1892.5665225000002</v>
      </c>
      <c r="AF12" s="32">
        <f t="shared" si="11"/>
        <v>1892.5665225000002</v>
      </c>
      <c r="AG12" s="32">
        <v>34</v>
      </c>
      <c r="AI12" s="32"/>
      <c r="AJ12" s="32">
        <f t="shared" si="12"/>
        <v>7971.425377499999</v>
      </c>
      <c r="AK12" s="14">
        <f t="shared" si="13"/>
        <v>7971.425377499999</v>
      </c>
      <c r="AL12" s="14">
        <v>144</v>
      </c>
      <c r="AN12" s="32"/>
      <c r="AO12" s="32">
        <f t="shared" si="14"/>
        <v>3395.7822075000004</v>
      </c>
      <c r="AP12" s="14">
        <f t="shared" si="15"/>
        <v>3395.7822075000004</v>
      </c>
      <c r="AQ12" s="14">
        <v>61</v>
      </c>
      <c r="AS12" s="42"/>
      <c r="AT12" s="42">
        <f t="shared" si="16"/>
        <v>1088.345475</v>
      </c>
      <c r="AU12" s="3">
        <f t="shared" si="17"/>
        <v>1088.345475</v>
      </c>
      <c r="AV12" s="3">
        <v>20</v>
      </c>
      <c r="AW12" s="14"/>
      <c r="AX12" s="32"/>
      <c r="AY12" s="32">
        <f t="shared" si="18"/>
        <v>335.81919750000003</v>
      </c>
      <c r="AZ12" s="14">
        <f t="shared" si="19"/>
        <v>335.81919750000003</v>
      </c>
      <c r="BA12" s="14">
        <v>6</v>
      </c>
      <c r="BB12" s="14"/>
      <c r="BC12" s="32"/>
      <c r="BD12" s="32">
        <f t="shared" si="20"/>
        <v>7181.63688</v>
      </c>
      <c r="BE12" s="14">
        <f t="shared" si="21"/>
        <v>7181.63688</v>
      </c>
      <c r="BF12" s="14">
        <v>129</v>
      </c>
      <c r="BG12" s="14"/>
      <c r="BH12" s="32"/>
      <c r="BI12" s="32">
        <f t="shared" si="22"/>
        <v>125.3663775</v>
      </c>
      <c r="BJ12" s="14">
        <f t="shared" si="23"/>
        <v>125.3663775</v>
      </c>
      <c r="BK12" s="14">
        <v>2</v>
      </c>
      <c r="BL12" s="14"/>
      <c r="BM12" s="32"/>
      <c r="BN12" s="32">
        <f t="shared" si="24"/>
        <v>27857.576804999997</v>
      </c>
      <c r="BO12" s="14">
        <f t="shared" si="25"/>
        <v>27857.576804999997</v>
      </c>
      <c r="BP12" s="14">
        <v>502</v>
      </c>
      <c r="BQ12" s="14"/>
      <c r="BR12" s="32"/>
      <c r="BS12" s="32">
        <f t="shared" si="26"/>
        <v>990.07293</v>
      </c>
      <c r="BT12" s="14">
        <f t="shared" si="27"/>
        <v>990.07293</v>
      </c>
      <c r="BU12" s="14">
        <v>18</v>
      </c>
      <c r="BV12" s="14"/>
      <c r="BW12" s="32"/>
      <c r="BX12" s="32">
        <f t="shared" si="28"/>
        <v>29577.8711625</v>
      </c>
      <c r="BY12" s="14">
        <f t="shared" si="29"/>
        <v>29577.8711625</v>
      </c>
      <c r="BZ12" s="14">
        <v>533</v>
      </c>
      <c r="CA12" s="14"/>
      <c r="CB12" s="32"/>
      <c r="CC12" s="32">
        <f t="shared" si="30"/>
        <v>8839.8712725</v>
      </c>
      <c r="CD12" s="14">
        <f t="shared" si="31"/>
        <v>8839.8712725</v>
      </c>
      <c r="CE12" s="14">
        <v>159</v>
      </c>
      <c r="CF12" s="14"/>
      <c r="CG12" s="32"/>
      <c r="CH12" s="32">
        <f t="shared" si="32"/>
        <v>783.81867</v>
      </c>
      <c r="CI12" s="14">
        <f t="shared" si="33"/>
        <v>783.81867</v>
      </c>
      <c r="CJ12" s="14">
        <v>14</v>
      </c>
      <c r="CK12" s="14"/>
      <c r="CL12" s="32"/>
      <c r="CM12" s="32">
        <f t="shared" si="34"/>
        <v>242.59804499999998</v>
      </c>
      <c r="CN12" s="14">
        <f t="shared" si="35"/>
        <v>242.59804499999998</v>
      </c>
      <c r="CO12" s="14">
        <v>4</v>
      </c>
      <c r="CP12" s="14"/>
      <c r="CQ12" s="32"/>
      <c r="CR12" s="32">
        <f t="shared" si="36"/>
        <v>881.1727799999999</v>
      </c>
      <c r="CS12" s="14">
        <f t="shared" si="37"/>
        <v>881.1727799999999</v>
      </c>
      <c r="CT12" s="14">
        <v>16</v>
      </c>
      <c r="CU12" s="14"/>
      <c r="CV12" s="32"/>
      <c r="CW12" s="32">
        <f t="shared" si="38"/>
        <v>1709.0763299999996</v>
      </c>
      <c r="CX12" s="14">
        <f t="shared" si="39"/>
        <v>1709.0763299999996</v>
      </c>
      <c r="CY12" s="14">
        <v>31</v>
      </c>
      <c r="CZ12" s="14"/>
      <c r="DA12" s="32"/>
      <c r="DB12" s="32">
        <f t="shared" si="40"/>
        <v>117185.41773750001</v>
      </c>
      <c r="DC12" s="14">
        <f t="shared" si="41"/>
        <v>117185.41773750001</v>
      </c>
      <c r="DD12" s="14">
        <v>2112</v>
      </c>
      <c r="DE12" s="14"/>
      <c r="DF12" s="14"/>
      <c r="DG12" s="14"/>
      <c r="DH12" s="14">
        <f t="shared" si="42"/>
        <v>0</v>
      </c>
      <c r="DI12" s="14"/>
    </row>
    <row r="13" spans="1:113" ht="12.75">
      <c r="A13" s="2">
        <v>41000</v>
      </c>
      <c r="C13" s="15">
        <v>1590000</v>
      </c>
      <c r="D13" s="15">
        <v>674663</v>
      </c>
      <c r="E13" s="15">
        <f t="shared" si="0"/>
        <v>2264663</v>
      </c>
      <c r="F13" s="15">
        <f t="shared" si="1"/>
        <v>12228</v>
      </c>
      <c r="G13" s="15">
        <f t="shared" si="2"/>
        <v>6965</v>
      </c>
      <c r="I13" s="15">
        <v>65000</v>
      </c>
      <c r="J13" s="15">
        <v>18638</v>
      </c>
      <c r="K13" s="15">
        <f t="shared" si="3"/>
        <v>83638</v>
      </c>
      <c r="L13" s="15">
        <v>406</v>
      </c>
      <c r="M13" s="15">
        <v>6965</v>
      </c>
      <c r="O13" s="15">
        <v>1525000</v>
      </c>
      <c r="P13" s="15">
        <v>656025</v>
      </c>
      <c r="Q13" s="15">
        <f t="shared" si="4"/>
        <v>2181025</v>
      </c>
      <c r="R13" s="15">
        <f t="shared" si="5"/>
        <v>11822</v>
      </c>
      <c r="T13" s="32">
        <v>1036697</v>
      </c>
      <c r="U13" s="32">
        <v>445967</v>
      </c>
      <c r="V13" s="32">
        <f t="shared" si="6"/>
        <v>1482664</v>
      </c>
      <c r="W13" s="32">
        <v>8037</v>
      </c>
      <c r="Y13" s="14">
        <f t="shared" si="43"/>
        <v>488303.17000000004</v>
      </c>
      <c r="Z13" s="21">
        <f t="shared" si="7"/>
        <v>210058.41777</v>
      </c>
      <c r="AA13" s="14">
        <f t="shared" si="8"/>
        <v>698361.5877700001</v>
      </c>
      <c r="AB13" s="14">
        <f t="shared" si="9"/>
        <v>3785</v>
      </c>
      <c r="AD13" s="32">
        <f t="shared" si="44"/>
        <v>4399.472500000001</v>
      </c>
      <c r="AE13" s="21">
        <f t="shared" si="10"/>
        <v>1892.5665225000002</v>
      </c>
      <c r="AF13" s="32">
        <f t="shared" si="11"/>
        <v>6292.039022500001</v>
      </c>
      <c r="AG13" s="32">
        <v>34</v>
      </c>
      <c r="AI13" s="32">
        <f t="shared" si="45"/>
        <v>18530.427499999998</v>
      </c>
      <c r="AJ13" s="32">
        <f t="shared" si="12"/>
        <v>7971.425377499999</v>
      </c>
      <c r="AK13" s="14">
        <f t="shared" si="13"/>
        <v>26501.852877499998</v>
      </c>
      <c r="AL13" s="14">
        <v>144</v>
      </c>
      <c r="AN13" s="32">
        <f t="shared" si="46"/>
        <v>7893.8575</v>
      </c>
      <c r="AO13" s="32">
        <f t="shared" si="14"/>
        <v>3395.7822075000004</v>
      </c>
      <c r="AP13" s="14">
        <f t="shared" si="15"/>
        <v>11289.6397075</v>
      </c>
      <c r="AQ13" s="14">
        <v>61</v>
      </c>
      <c r="AS13" s="42">
        <f t="shared" si="47"/>
        <v>2529.975</v>
      </c>
      <c r="AT13" s="42">
        <f t="shared" si="16"/>
        <v>1088.345475</v>
      </c>
      <c r="AU13" s="3">
        <f t="shared" si="17"/>
        <v>3618.320475</v>
      </c>
      <c r="AV13" s="3">
        <v>20</v>
      </c>
      <c r="AW13" s="14"/>
      <c r="AX13" s="32">
        <f t="shared" si="48"/>
        <v>780.6475</v>
      </c>
      <c r="AY13" s="32">
        <f t="shared" si="18"/>
        <v>335.81919750000003</v>
      </c>
      <c r="AZ13" s="14">
        <f t="shared" si="19"/>
        <v>1116.4666975</v>
      </c>
      <c r="BA13" s="14">
        <v>6</v>
      </c>
      <c r="BB13" s="14"/>
      <c r="BC13" s="32">
        <f t="shared" si="49"/>
        <v>16694.479999999996</v>
      </c>
      <c r="BD13" s="32">
        <f t="shared" si="20"/>
        <v>7181.63688</v>
      </c>
      <c r="BE13" s="14">
        <f t="shared" si="21"/>
        <v>23876.116879999994</v>
      </c>
      <c r="BF13" s="14">
        <v>129</v>
      </c>
      <c r="BG13" s="14"/>
      <c r="BH13" s="32">
        <f t="shared" si="50"/>
        <v>291.42749999999995</v>
      </c>
      <c r="BI13" s="32">
        <f t="shared" si="22"/>
        <v>125.3663775</v>
      </c>
      <c r="BJ13" s="14">
        <f t="shared" si="23"/>
        <v>416.79387749999995</v>
      </c>
      <c r="BK13" s="14">
        <v>2</v>
      </c>
      <c r="BL13" s="14"/>
      <c r="BM13" s="32">
        <f t="shared" si="51"/>
        <v>64757.90499999999</v>
      </c>
      <c r="BN13" s="32">
        <f t="shared" si="24"/>
        <v>27857.576804999997</v>
      </c>
      <c r="BO13" s="14">
        <f t="shared" si="25"/>
        <v>92615.48180499999</v>
      </c>
      <c r="BP13" s="14">
        <v>502</v>
      </c>
      <c r="BQ13" s="14"/>
      <c r="BR13" s="32">
        <f t="shared" si="52"/>
        <v>2301.53</v>
      </c>
      <c r="BS13" s="32">
        <f t="shared" si="26"/>
        <v>990.07293</v>
      </c>
      <c r="BT13" s="14">
        <f t="shared" si="27"/>
        <v>3291.60293</v>
      </c>
      <c r="BU13" s="14">
        <v>18</v>
      </c>
      <c r="BV13" s="14"/>
      <c r="BW13" s="32">
        <f t="shared" si="53"/>
        <v>68756.9125</v>
      </c>
      <c r="BX13" s="32">
        <f t="shared" si="28"/>
        <v>29577.8711625</v>
      </c>
      <c r="BY13" s="14">
        <f t="shared" si="29"/>
        <v>98334.7836625</v>
      </c>
      <c r="BZ13" s="14">
        <v>533</v>
      </c>
      <c r="CA13" s="14"/>
      <c r="CB13" s="32">
        <f t="shared" si="54"/>
        <v>20549.222500000003</v>
      </c>
      <c r="CC13" s="32">
        <f t="shared" si="30"/>
        <v>8839.8712725</v>
      </c>
      <c r="CD13" s="14">
        <f t="shared" si="31"/>
        <v>29389.093772500004</v>
      </c>
      <c r="CE13" s="14">
        <v>159</v>
      </c>
      <c r="CF13" s="14"/>
      <c r="CG13" s="32">
        <f t="shared" si="55"/>
        <v>1822.07</v>
      </c>
      <c r="CH13" s="32">
        <f t="shared" si="32"/>
        <v>783.81867</v>
      </c>
      <c r="CI13" s="14">
        <f t="shared" si="33"/>
        <v>2605.88867</v>
      </c>
      <c r="CJ13" s="14">
        <v>14</v>
      </c>
      <c r="CK13" s="14"/>
      <c r="CL13" s="32">
        <f t="shared" si="56"/>
        <v>563.945</v>
      </c>
      <c r="CM13" s="32">
        <f t="shared" si="34"/>
        <v>242.59804499999998</v>
      </c>
      <c r="CN13" s="14">
        <f t="shared" si="35"/>
        <v>806.543045</v>
      </c>
      <c r="CO13" s="14">
        <v>4</v>
      </c>
      <c r="CP13" s="14"/>
      <c r="CQ13" s="32">
        <f t="shared" si="57"/>
        <v>2048.38</v>
      </c>
      <c r="CR13" s="32">
        <f t="shared" si="36"/>
        <v>881.1727799999999</v>
      </c>
      <c r="CS13" s="14">
        <f t="shared" si="37"/>
        <v>2929.55278</v>
      </c>
      <c r="CT13" s="14">
        <v>16</v>
      </c>
      <c r="CU13" s="14"/>
      <c r="CV13" s="32">
        <f t="shared" si="58"/>
        <v>3972.9299999999994</v>
      </c>
      <c r="CW13" s="32">
        <f t="shared" si="38"/>
        <v>1709.0763299999996</v>
      </c>
      <c r="CX13" s="14">
        <f t="shared" si="39"/>
        <v>5682.006329999999</v>
      </c>
      <c r="CY13" s="14">
        <v>31</v>
      </c>
      <c r="CZ13" s="14"/>
      <c r="DA13" s="32">
        <f t="shared" si="59"/>
        <v>272409.98750000005</v>
      </c>
      <c r="DB13" s="32">
        <f t="shared" si="40"/>
        <v>117185.41773750001</v>
      </c>
      <c r="DC13" s="14">
        <f t="shared" si="41"/>
        <v>389595.4052375001</v>
      </c>
      <c r="DD13" s="14">
        <v>2112</v>
      </c>
      <c r="DE13" s="14"/>
      <c r="DF13" s="14"/>
      <c r="DG13" s="14"/>
      <c r="DH13" s="14">
        <f t="shared" si="42"/>
        <v>0</v>
      </c>
      <c r="DI13" s="14"/>
    </row>
    <row r="14" spans="1:113" ht="12.75">
      <c r="A14" s="2">
        <v>41183</v>
      </c>
      <c r="D14" s="15">
        <v>638888</v>
      </c>
      <c r="E14" s="15">
        <f t="shared" si="0"/>
        <v>638888</v>
      </c>
      <c r="F14" s="15">
        <f t="shared" si="1"/>
        <v>12228</v>
      </c>
      <c r="G14" s="15">
        <f t="shared" si="2"/>
        <v>6965</v>
      </c>
      <c r="I14" s="15"/>
      <c r="J14" s="15">
        <v>17175</v>
      </c>
      <c r="K14" s="15">
        <f t="shared" si="3"/>
        <v>17175</v>
      </c>
      <c r="L14" s="15">
        <v>406</v>
      </c>
      <c r="M14" s="15">
        <v>6965</v>
      </c>
      <c r="O14" s="15"/>
      <c r="P14" s="15">
        <v>621713</v>
      </c>
      <c r="Q14" s="15">
        <f t="shared" si="4"/>
        <v>621713</v>
      </c>
      <c r="R14" s="15">
        <f t="shared" si="5"/>
        <v>11822</v>
      </c>
      <c r="T14" s="32"/>
      <c r="U14" s="32">
        <v>422641</v>
      </c>
      <c r="V14" s="32">
        <f t="shared" si="6"/>
        <v>422641</v>
      </c>
      <c r="W14" s="32">
        <v>8037</v>
      </c>
      <c r="Y14" s="14"/>
      <c r="Z14" s="21">
        <f t="shared" si="7"/>
        <v>199071.7565444</v>
      </c>
      <c r="AA14" s="14">
        <f t="shared" si="8"/>
        <v>199071.7565444</v>
      </c>
      <c r="AB14" s="14">
        <f t="shared" si="9"/>
        <v>3785</v>
      </c>
      <c r="AD14" s="32"/>
      <c r="AE14" s="21">
        <f t="shared" si="10"/>
        <v>1793.5798337</v>
      </c>
      <c r="AF14" s="32">
        <f t="shared" si="11"/>
        <v>1793.5798337</v>
      </c>
      <c r="AG14" s="32">
        <v>34</v>
      </c>
      <c r="AI14" s="32"/>
      <c r="AJ14" s="32">
        <f t="shared" si="12"/>
        <v>7554.4968343</v>
      </c>
      <c r="AK14" s="14">
        <f t="shared" si="13"/>
        <v>7554.4968343</v>
      </c>
      <c r="AL14" s="14">
        <v>144</v>
      </c>
      <c r="AN14" s="32"/>
      <c r="AO14" s="32">
        <f t="shared" si="14"/>
        <v>3218.1730019000006</v>
      </c>
      <c r="AP14" s="14">
        <f t="shared" si="15"/>
        <v>3218.1730019000006</v>
      </c>
      <c r="AQ14" s="14">
        <v>61</v>
      </c>
      <c r="AS14" s="42"/>
      <c r="AT14" s="42">
        <f t="shared" si="16"/>
        <v>1031.421867</v>
      </c>
      <c r="AU14" s="3">
        <f t="shared" si="17"/>
        <v>1031.421867</v>
      </c>
      <c r="AV14" s="3">
        <v>20</v>
      </c>
      <c r="AW14" s="14"/>
      <c r="AX14" s="32"/>
      <c r="AY14" s="32">
        <f t="shared" si="18"/>
        <v>318.2548847</v>
      </c>
      <c r="AZ14" s="14">
        <f t="shared" si="19"/>
        <v>318.2548847</v>
      </c>
      <c r="BA14" s="14">
        <v>6</v>
      </c>
      <c r="BB14" s="14"/>
      <c r="BC14" s="32"/>
      <c r="BD14" s="32">
        <f t="shared" si="20"/>
        <v>6806.0165535999995</v>
      </c>
      <c r="BE14" s="14">
        <f t="shared" si="21"/>
        <v>6806.0165535999995</v>
      </c>
      <c r="BF14" s="14">
        <v>129</v>
      </c>
      <c r="BG14" s="14"/>
      <c r="BH14" s="32"/>
      <c r="BI14" s="32">
        <f t="shared" si="22"/>
        <v>118.8093543</v>
      </c>
      <c r="BJ14" s="14">
        <f t="shared" si="23"/>
        <v>118.8093543</v>
      </c>
      <c r="BK14" s="14">
        <v>2</v>
      </c>
      <c r="BL14" s="14"/>
      <c r="BM14" s="32"/>
      <c r="BN14" s="32">
        <f t="shared" si="24"/>
        <v>26400.545174599996</v>
      </c>
      <c r="BO14" s="14">
        <f t="shared" si="25"/>
        <v>26400.545174599996</v>
      </c>
      <c r="BP14" s="14">
        <v>502</v>
      </c>
      <c r="BQ14" s="14"/>
      <c r="BR14" s="32"/>
      <c r="BS14" s="32">
        <f t="shared" si="26"/>
        <v>938.2892595999999</v>
      </c>
      <c r="BT14" s="14">
        <f t="shared" si="27"/>
        <v>938.2892595999999</v>
      </c>
      <c r="BU14" s="14">
        <v>18</v>
      </c>
      <c r="BV14" s="14"/>
      <c r="BW14" s="32"/>
      <c r="BX14" s="32">
        <f t="shared" si="28"/>
        <v>28030.8631745</v>
      </c>
      <c r="BY14" s="14">
        <f t="shared" si="29"/>
        <v>28030.8631745</v>
      </c>
      <c r="BZ14" s="14">
        <v>533</v>
      </c>
      <c r="CA14" s="14"/>
      <c r="CB14" s="32"/>
      <c r="CC14" s="32">
        <f t="shared" si="30"/>
        <v>8377.520503700001</v>
      </c>
      <c r="CD14" s="14">
        <f t="shared" si="31"/>
        <v>8377.520503700001</v>
      </c>
      <c r="CE14" s="14">
        <v>159</v>
      </c>
      <c r="CF14" s="14"/>
      <c r="CG14" s="32"/>
      <c r="CH14" s="32">
        <f t="shared" si="32"/>
        <v>742.8226924</v>
      </c>
      <c r="CI14" s="14">
        <f t="shared" si="33"/>
        <v>742.8226924</v>
      </c>
      <c r="CJ14" s="14">
        <v>14</v>
      </c>
      <c r="CK14" s="14"/>
      <c r="CL14" s="32"/>
      <c r="CM14" s="32">
        <f t="shared" si="34"/>
        <v>229.90946739999998</v>
      </c>
      <c r="CN14" s="14">
        <f t="shared" si="35"/>
        <v>229.90946739999998</v>
      </c>
      <c r="CO14" s="14">
        <v>4</v>
      </c>
      <c r="CP14" s="14"/>
      <c r="CQ14" s="32"/>
      <c r="CR14" s="32">
        <f t="shared" si="36"/>
        <v>835.0849016</v>
      </c>
      <c r="CS14" s="14">
        <f t="shared" si="37"/>
        <v>835.0849016</v>
      </c>
      <c r="CT14" s="14">
        <v>16</v>
      </c>
      <c r="CU14" s="14"/>
      <c r="CV14" s="32"/>
      <c r="CW14" s="32">
        <f t="shared" si="38"/>
        <v>1619.6867075999999</v>
      </c>
      <c r="CX14" s="14">
        <f t="shared" si="39"/>
        <v>1619.6867075999999</v>
      </c>
      <c r="CY14" s="14">
        <v>31</v>
      </c>
      <c r="CZ14" s="14"/>
      <c r="DA14" s="32"/>
      <c r="DB14" s="32">
        <f t="shared" si="40"/>
        <v>111056.28233350001</v>
      </c>
      <c r="DC14" s="14">
        <f t="shared" si="41"/>
        <v>111056.28233350001</v>
      </c>
      <c r="DD14" s="14">
        <v>2112</v>
      </c>
      <c r="DE14" s="14"/>
      <c r="DF14" s="14"/>
      <c r="DG14" s="14"/>
      <c r="DH14" s="14">
        <f t="shared" si="42"/>
        <v>0</v>
      </c>
      <c r="DI14" s="14"/>
    </row>
    <row r="15" spans="1:113" ht="12.75">
      <c r="A15" s="2">
        <v>41365</v>
      </c>
      <c r="C15" s="15">
        <v>1660000</v>
      </c>
      <c r="D15" s="15">
        <v>638888</v>
      </c>
      <c r="E15" s="15">
        <f t="shared" si="0"/>
        <v>2298888</v>
      </c>
      <c r="F15" s="15">
        <f t="shared" si="1"/>
        <v>12228</v>
      </c>
      <c r="G15" s="15">
        <f t="shared" si="2"/>
        <v>6965</v>
      </c>
      <c r="I15" s="15">
        <v>65000</v>
      </c>
      <c r="J15" s="15">
        <v>17175</v>
      </c>
      <c r="K15" s="15">
        <f t="shared" si="3"/>
        <v>82175</v>
      </c>
      <c r="L15" s="15">
        <v>406</v>
      </c>
      <c r="M15" s="15">
        <v>6965</v>
      </c>
      <c r="O15" s="15">
        <v>1595000</v>
      </c>
      <c r="P15" s="15">
        <v>621713</v>
      </c>
      <c r="Q15" s="15">
        <f t="shared" si="4"/>
        <v>2216713</v>
      </c>
      <c r="R15" s="15">
        <f t="shared" si="5"/>
        <v>11822</v>
      </c>
      <c r="T15" s="32">
        <v>1084283</v>
      </c>
      <c r="U15" s="32">
        <v>422641</v>
      </c>
      <c r="V15" s="32">
        <f t="shared" si="6"/>
        <v>1506924</v>
      </c>
      <c r="W15" s="32">
        <v>8037</v>
      </c>
      <c r="Y15" s="14">
        <f t="shared" si="43"/>
        <v>510717.086</v>
      </c>
      <c r="Z15" s="21">
        <f t="shared" si="7"/>
        <v>199071.7565444</v>
      </c>
      <c r="AA15" s="14">
        <f t="shared" si="8"/>
        <v>709788.8425444</v>
      </c>
      <c r="AB15" s="14">
        <f t="shared" si="9"/>
        <v>3785</v>
      </c>
      <c r="AD15" s="32">
        <f t="shared" si="44"/>
        <v>4601.4155</v>
      </c>
      <c r="AE15" s="21">
        <f t="shared" si="10"/>
        <v>1793.5798337</v>
      </c>
      <c r="AF15" s="32">
        <f t="shared" si="11"/>
        <v>6394.995333700001</v>
      </c>
      <c r="AG15" s="32">
        <v>34</v>
      </c>
      <c r="AI15" s="32">
        <f t="shared" si="45"/>
        <v>19381.0045</v>
      </c>
      <c r="AJ15" s="32">
        <f t="shared" si="12"/>
        <v>7554.4968343</v>
      </c>
      <c r="AK15" s="14">
        <f t="shared" si="13"/>
        <v>26935.5013343</v>
      </c>
      <c r="AL15" s="14">
        <v>144</v>
      </c>
      <c r="AN15" s="32">
        <f t="shared" si="46"/>
        <v>8256.1985</v>
      </c>
      <c r="AO15" s="32">
        <f t="shared" si="14"/>
        <v>3218.1730019000006</v>
      </c>
      <c r="AP15" s="14">
        <f t="shared" si="15"/>
        <v>11474.371501900001</v>
      </c>
      <c r="AQ15" s="14">
        <v>61</v>
      </c>
      <c r="AS15" s="42">
        <f t="shared" si="47"/>
        <v>2646.105</v>
      </c>
      <c r="AT15" s="42">
        <f t="shared" si="16"/>
        <v>1031.421867</v>
      </c>
      <c r="AU15" s="3">
        <f t="shared" si="17"/>
        <v>3677.526867</v>
      </c>
      <c r="AV15" s="3">
        <v>20</v>
      </c>
      <c r="AW15" s="14"/>
      <c r="AX15" s="32">
        <f t="shared" si="48"/>
        <v>816.4805</v>
      </c>
      <c r="AY15" s="32">
        <f t="shared" si="18"/>
        <v>318.2548847</v>
      </c>
      <c r="AZ15" s="14">
        <f t="shared" si="19"/>
        <v>1134.7353847</v>
      </c>
      <c r="BA15" s="14">
        <v>6</v>
      </c>
      <c r="BB15" s="14"/>
      <c r="BC15" s="32">
        <f t="shared" si="49"/>
        <v>17460.784</v>
      </c>
      <c r="BD15" s="32">
        <f t="shared" si="20"/>
        <v>6806.0165535999995</v>
      </c>
      <c r="BE15" s="14">
        <f t="shared" si="21"/>
        <v>24266.8005536</v>
      </c>
      <c r="BF15" s="14">
        <v>129</v>
      </c>
      <c r="BG15" s="14"/>
      <c r="BH15" s="32">
        <f t="shared" si="50"/>
        <v>304.80449999999996</v>
      </c>
      <c r="BI15" s="32">
        <f t="shared" si="22"/>
        <v>118.8093543</v>
      </c>
      <c r="BJ15" s="14">
        <f t="shared" si="23"/>
        <v>423.61385429999996</v>
      </c>
      <c r="BK15" s="14">
        <v>2</v>
      </c>
      <c r="BL15" s="14"/>
      <c r="BM15" s="32">
        <f t="shared" si="51"/>
        <v>67730.39899999999</v>
      </c>
      <c r="BN15" s="32">
        <f t="shared" si="24"/>
        <v>26400.545174599996</v>
      </c>
      <c r="BO15" s="14">
        <f t="shared" si="25"/>
        <v>94130.94417459998</v>
      </c>
      <c r="BP15" s="14">
        <v>502</v>
      </c>
      <c r="BQ15" s="14"/>
      <c r="BR15" s="32">
        <f t="shared" si="52"/>
        <v>2407.174</v>
      </c>
      <c r="BS15" s="32">
        <f t="shared" si="26"/>
        <v>938.2892595999999</v>
      </c>
      <c r="BT15" s="14">
        <f t="shared" si="27"/>
        <v>3345.4632596</v>
      </c>
      <c r="BU15" s="14">
        <v>18</v>
      </c>
      <c r="BV15" s="14"/>
      <c r="BW15" s="32">
        <f t="shared" si="53"/>
        <v>71912.9675</v>
      </c>
      <c r="BX15" s="32">
        <f t="shared" si="28"/>
        <v>28030.8631745</v>
      </c>
      <c r="BY15" s="14">
        <f t="shared" si="29"/>
        <v>99943.8306745</v>
      </c>
      <c r="BZ15" s="14">
        <v>533</v>
      </c>
      <c r="CA15" s="14"/>
      <c r="CB15" s="32">
        <f t="shared" si="54"/>
        <v>21492.465500000002</v>
      </c>
      <c r="CC15" s="32">
        <f t="shared" si="30"/>
        <v>8377.520503700001</v>
      </c>
      <c r="CD15" s="14">
        <f t="shared" si="31"/>
        <v>29869.986003700003</v>
      </c>
      <c r="CE15" s="14">
        <v>159</v>
      </c>
      <c r="CF15" s="14"/>
      <c r="CG15" s="32">
        <f t="shared" si="55"/>
        <v>1905.7060000000001</v>
      </c>
      <c r="CH15" s="32">
        <f t="shared" si="32"/>
        <v>742.8226924</v>
      </c>
      <c r="CI15" s="14">
        <f t="shared" si="33"/>
        <v>2648.5286924</v>
      </c>
      <c r="CJ15" s="14">
        <v>14</v>
      </c>
      <c r="CK15" s="14"/>
      <c r="CL15" s="32">
        <f t="shared" si="56"/>
        <v>589.831</v>
      </c>
      <c r="CM15" s="32">
        <f t="shared" si="34"/>
        <v>229.90946739999998</v>
      </c>
      <c r="CN15" s="14">
        <f t="shared" si="35"/>
        <v>819.7404673999999</v>
      </c>
      <c r="CO15" s="14">
        <v>4</v>
      </c>
      <c r="CP15" s="14"/>
      <c r="CQ15" s="32">
        <f t="shared" si="57"/>
        <v>2142.404</v>
      </c>
      <c r="CR15" s="32">
        <f t="shared" si="36"/>
        <v>835.0849016</v>
      </c>
      <c r="CS15" s="14">
        <f t="shared" si="37"/>
        <v>2977.4889015999997</v>
      </c>
      <c r="CT15" s="14">
        <v>16</v>
      </c>
      <c r="CU15" s="14"/>
      <c r="CV15" s="32">
        <f t="shared" si="58"/>
        <v>4155.294</v>
      </c>
      <c r="CW15" s="32">
        <f t="shared" si="38"/>
        <v>1619.6867075999999</v>
      </c>
      <c r="CX15" s="14">
        <f t="shared" si="39"/>
        <v>5774.9807076</v>
      </c>
      <c r="CY15" s="14">
        <v>31</v>
      </c>
      <c r="CZ15" s="14"/>
      <c r="DA15" s="32">
        <f t="shared" si="59"/>
        <v>284914.05250000005</v>
      </c>
      <c r="DB15" s="32">
        <f t="shared" si="40"/>
        <v>111056.28233350001</v>
      </c>
      <c r="DC15" s="14">
        <f t="shared" si="41"/>
        <v>395970.3348335001</v>
      </c>
      <c r="DD15" s="14">
        <v>2112</v>
      </c>
      <c r="DE15" s="14"/>
      <c r="DF15" s="14"/>
      <c r="DG15" s="14"/>
      <c r="DH15" s="14">
        <f t="shared" si="42"/>
        <v>0</v>
      </c>
      <c r="DI15" s="14"/>
    </row>
    <row r="16" spans="1:113" ht="12.75">
      <c r="A16" s="2">
        <v>41548</v>
      </c>
      <c r="D16" s="15">
        <v>601538</v>
      </c>
      <c r="E16" s="15">
        <f t="shared" si="0"/>
        <v>601538</v>
      </c>
      <c r="F16" s="15">
        <f t="shared" si="1"/>
        <v>12228</v>
      </c>
      <c r="G16" s="15">
        <f t="shared" si="2"/>
        <v>6965</v>
      </c>
      <c r="I16" s="15"/>
      <c r="J16" s="15">
        <v>15713</v>
      </c>
      <c r="K16" s="15">
        <f t="shared" si="3"/>
        <v>15713</v>
      </c>
      <c r="L16" s="15">
        <v>406</v>
      </c>
      <c r="M16" s="15">
        <v>6965</v>
      </c>
      <c r="O16" s="15"/>
      <c r="P16" s="15">
        <v>585825</v>
      </c>
      <c r="Q16" s="15">
        <f t="shared" si="4"/>
        <v>585825</v>
      </c>
      <c r="R16" s="15">
        <f t="shared" si="5"/>
        <v>11822</v>
      </c>
      <c r="T16" s="32"/>
      <c r="U16" s="32">
        <v>398245</v>
      </c>
      <c r="V16" s="32">
        <f t="shared" si="6"/>
        <v>398245</v>
      </c>
      <c r="W16" s="32">
        <v>8037</v>
      </c>
      <c r="Y16" s="14"/>
      <c r="Z16" s="21">
        <f t="shared" si="7"/>
        <v>187580.46201000002</v>
      </c>
      <c r="AA16" s="14">
        <f t="shared" si="8"/>
        <v>187580.46201000002</v>
      </c>
      <c r="AB16" s="14">
        <f t="shared" si="9"/>
        <v>3785</v>
      </c>
      <c r="AD16" s="32"/>
      <c r="AE16" s="21">
        <f t="shared" si="10"/>
        <v>1690.0465425000002</v>
      </c>
      <c r="AF16" s="32">
        <f t="shared" si="11"/>
        <v>1690.0465425000002</v>
      </c>
      <c r="AG16" s="32">
        <v>34</v>
      </c>
      <c r="AI16" s="32"/>
      <c r="AJ16" s="32">
        <f t="shared" si="12"/>
        <v>7118.418157499999</v>
      </c>
      <c r="AK16" s="14">
        <f t="shared" si="13"/>
        <v>7118.418157499999</v>
      </c>
      <c r="AL16" s="14">
        <v>144</v>
      </c>
      <c r="AN16" s="32"/>
      <c r="AO16" s="32">
        <f t="shared" si="14"/>
        <v>3032.4059475000004</v>
      </c>
      <c r="AP16" s="14">
        <f t="shared" si="15"/>
        <v>3032.4059475000004</v>
      </c>
      <c r="AQ16" s="14">
        <v>61</v>
      </c>
      <c r="AS16" s="42"/>
      <c r="AT16" s="42">
        <f t="shared" si="16"/>
        <v>971.8836749999999</v>
      </c>
      <c r="AU16" s="3">
        <f t="shared" si="17"/>
        <v>971.8836749999999</v>
      </c>
      <c r="AV16" s="3">
        <v>20</v>
      </c>
      <c r="AW16" s="14"/>
      <c r="AX16" s="32"/>
      <c r="AY16" s="32">
        <f t="shared" si="18"/>
        <v>299.8838175</v>
      </c>
      <c r="AZ16" s="14">
        <f t="shared" si="19"/>
        <v>299.8838175</v>
      </c>
      <c r="BA16" s="14">
        <v>6</v>
      </c>
      <c r="BB16" s="14"/>
      <c r="BC16" s="32"/>
      <c r="BD16" s="32">
        <f t="shared" si="20"/>
        <v>6413.143439999999</v>
      </c>
      <c r="BE16" s="14">
        <f t="shared" si="21"/>
        <v>6413.143439999999</v>
      </c>
      <c r="BF16" s="14">
        <v>129</v>
      </c>
      <c r="BG16" s="14"/>
      <c r="BH16" s="32"/>
      <c r="BI16" s="32">
        <f t="shared" si="22"/>
        <v>111.9511575</v>
      </c>
      <c r="BJ16" s="14">
        <f t="shared" si="23"/>
        <v>111.9511575</v>
      </c>
      <c r="BK16" s="14">
        <v>2</v>
      </c>
      <c r="BL16" s="14"/>
      <c r="BM16" s="32"/>
      <c r="BN16" s="32">
        <f t="shared" si="24"/>
        <v>24876.589965</v>
      </c>
      <c r="BO16" s="14">
        <f t="shared" si="25"/>
        <v>24876.589965</v>
      </c>
      <c r="BP16" s="14">
        <v>502</v>
      </c>
      <c r="BQ16" s="14"/>
      <c r="BR16" s="32"/>
      <c r="BS16" s="32">
        <f t="shared" si="26"/>
        <v>884.1270900000001</v>
      </c>
      <c r="BT16" s="14">
        <f t="shared" si="27"/>
        <v>884.1270900000001</v>
      </c>
      <c r="BU16" s="14">
        <v>18</v>
      </c>
      <c r="BV16" s="14"/>
      <c r="BW16" s="32"/>
      <c r="BX16" s="32">
        <f t="shared" si="28"/>
        <v>26412.7988625</v>
      </c>
      <c r="BY16" s="14">
        <f t="shared" si="29"/>
        <v>26412.7988625</v>
      </c>
      <c r="BZ16" s="14">
        <v>533</v>
      </c>
      <c r="CA16" s="14"/>
      <c r="CB16" s="32"/>
      <c r="CC16" s="32">
        <f t="shared" si="30"/>
        <v>7893.933292500001</v>
      </c>
      <c r="CD16" s="14">
        <f t="shared" si="31"/>
        <v>7893.933292500001</v>
      </c>
      <c r="CE16" s="14">
        <v>159</v>
      </c>
      <c r="CF16" s="14"/>
      <c r="CG16" s="32"/>
      <c r="CH16" s="32">
        <f t="shared" si="32"/>
        <v>699.94371</v>
      </c>
      <c r="CI16" s="14">
        <f t="shared" si="33"/>
        <v>699.94371</v>
      </c>
      <c r="CJ16" s="14">
        <v>14</v>
      </c>
      <c r="CK16" s="14"/>
      <c r="CL16" s="32"/>
      <c r="CM16" s="32">
        <f t="shared" si="34"/>
        <v>216.638085</v>
      </c>
      <c r="CN16" s="14">
        <f t="shared" si="35"/>
        <v>216.638085</v>
      </c>
      <c r="CO16" s="14">
        <v>4</v>
      </c>
      <c r="CP16" s="14"/>
      <c r="CQ16" s="32"/>
      <c r="CR16" s="32">
        <f t="shared" si="36"/>
        <v>786.88014</v>
      </c>
      <c r="CS16" s="14">
        <f t="shared" si="37"/>
        <v>786.88014</v>
      </c>
      <c r="CT16" s="14">
        <v>16</v>
      </c>
      <c r="CU16" s="14"/>
      <c r="CV16" s="32"/>
      <c r="CW16" s="32">
        <f t="shared" si="38"/>
        <v>1526.1912899999998</v>
      </c>
      <c r="CX16" s="14">
        <f t="shared" si="39"/>
        <v>1526.1912899999998</v>
      </c>
      <c r="CY16" s="14">
        <v>31</v>
      </c>
      <c r="CZ16" s="14"/>
      <c r="DA16" s="32"/>
      <c r="DB16" s="32">
        <f t="shared" si="40"/>
        <v>104645.62683750002</v>
      </c>
      <c r="DC16" s="14">
        <f t="shared" si="41"/>
        <v>104645.62683750002</v>
      </c>
      <c r="DD16" s="14">
        <v>2112</v>
      </c>
      <c r="DE16" s="14"/>
      <c r="DF16" s="14"/>
      <c r="DG16" s="14"/>
      <c r="DH16" s="14">
        <f t="shared" si="42"/>
        <v>0</v>
      </c>
      <c r="DI16" s="14"/>
    </row>
    <row r="17" spans="1:113" ht="12.75">
      <c r="A17" s="2">
        <v>41730</v>
      </c>
      <c r="C17" s="15">
        <v>1735000</v>
      </c>
      <c r="D17" s="15">
        <v>601538</v>
      </c>
      <c r="E17" s="15">
        <f t="shared" si="0"/>
        <v>2336538</v>
      </c>
      <c r="F17" s="15">
        <f t="shared" si="1"/>
        <v>12228</v>
      </c>
      <c r="G17" s="15">
        <f t="shared" si="2"/>
        <v>6965</v>
      </c>
      <c r="I17" s="15">
        <v>65000</v>
      </c>
      <c r="J17" s="15">
        <v>15713</v>
      </c>
      <c r="K17" s="15">
        <f t="shared" si="3"/>
        <v>80713</v>
      </c>
      <c r="L17" s="15">
        <v>406</v>
      </c>
      <c r="M17" s="15">
        <v>6965</v>
      </c>
      <c r="O17" s="15">
        <v>1670000</v>
      </c>
      <c r="P17" s="15">
        <v>585825</v>
      </c>
      <c r="Q17" s="15">
        <f t="shared" si="4"/>
        <v>2255825</v>
      </c>
      <c r="R17" s="15">
        <f t="shared" si="5"/>
        <v>11822</v>
      </c>
      <c r="T17" s="32">
        <v>1135268</v>
      </c>
      <c r="U17" s="32">
        <v>398245</v>
      </c>
      <c r="V17" s="32">
        <f t="shared" si="6"/>
        <v>1533513</v>
      </c>
      <c r="W17" s="32">
        <v>8037</v>
      </c>
      <c r="Y17" s="14">
        <f t="shared" si="43"/>
        <v>534731.996</v>
      </c>
      <c r="Z17" s="21">
        <f t="shared" si="7"/>
        <v>187580.46201000002</v>
      </c>
      <c r="AA17" s="14">
        <f t="shared" si="8"/>
        <v>722312.4580100001</v>
      </c>
      <c r="AB17" s="14">
        <f t="shared" si="9"/>
        <v>3785</v>
      </c>
      <c r="AD17" s="32">
        <f t="shared" si="44"/>
        <v>4817.783</v>
      </c>
      <c r="AE17" s="21">
        <f t="shared" si="10"/>
        <v>1690.0465425000002</v>
      </c>
      <c r="AF17" s="32">
        <f t="shared" si="11"/>
        <v>6507.829542500001</v>
      </c>
      <c r="AG17" s="32">
        <v>34</v>
      </c>
      <c r="AI17" s="32">
        <f t="shared" si="45"/>
        <v>20292.337</v>
      </c>
      <c r="AJ17" s="32">
        <f t="shared" si="12"/>
        <v>7118.418157499999</v>
      </c>
      <c r="AK17" s="14">
        <f t="shared" si="13"/>
        <v>27410.7551575</v>
      </c>
      <c r="AL17" s="14">
        <v>144</v>
      </c>
      <c r="AN17" s="32">
        <f t="shared" si="46"/>
        <v>8644.421</v>
      </c>
      <c r="AO17" s="32">
        <f t="shared" si="14"/>
        <v>3032.4059475000004</v>
      </c>
      <c r="AP17" s="14">
        <f t="shared" si="15"/>
        <v>11676.826947500002</v>
      </c>
      <c r="AQ17" s="14">
        <v>61</v>
      </c>
      <c r="AS17" s="42">
        <f t="shared" si="47"/>
        <v>2770.53</v>
      </c>
      <c r="AT17" s="42">
        <f t="shared" si="16"/>
        <v>971.8836749999999</v>
      </c>
      <c r="AU17" s="3">
        <f t="shared" si="17"/>
        <v>3742.4136750000002</v>
      </c>
      <c r="AV17" s="3">
        <v>20</v>
      </c>
      <c r="AW17" s="14"/>
      <c r="AX17" s="32">
        <f t="shared" si="48"/>
        <v>854.873</v>
      </c>
      <c r="AY17" s="32">
        <f t="shared" si="18"/>
        <v>299.8838175</v>
      </c>
      <c r="AZ17" s="14">
        <f t="shared" si="19"/>
        <v>1154.7568175000001</v>
      </c>
      <c r="BA17" s="14">
        <v>6</v>
      </c>
      <c r="BB17" s="14"/>
      <c r="BC17" s="32">
        <f t="shared" si="49"/>
        <v>18281.824</v>
      </c>
      <c r="BD17" s="32">
        <f t="shared" si="20"/>
        <v>6413.143439999999</v>
      </c>
      <c r="BE17" s="14">
        <f t="shared" si="21"/>
        <v>24694.96744</v>
      </c>
      <c r="BF17" s="14">
        <v>129</v>
      </c>
      <c r="BG17" s="14"/>
      <c r="BH17" s="32">
        <f t="shared" si="50"/>
        <v>319.13699999999994</v>
      </c>
      <c r="BI17" s="32">
        <f t="shared" si="22"/>
        <v>111.9511575</v>
      </c>
      <c r="BJ17" s="14">
        <f t="shared" si="23"/>
        <v>431.08815749999997</v>
      </c>
      <c r="BK17" s="14">
        <v>2</v>
      </c>
      <c r="BL17" s="14"/>
      <c r="BM17" s="32">
        <f t="shared" si="51"/>
        <v>70915.21399999999</v>
      </c>
      <c r="BN17" s="32">
        <f t="shared" si="24"/>
        <v>24876.589965</v>
      </c>
      <c r="BO17" s="14">
        <f t="shared" si="25"/>
        <v>95791.803965</v>
      </c>
      <c r="BP17" s="14">
        <v>502</v>
      </c>
      <c r="BQ17" s="14"/>
      <c r="BR17" s="32">
        <f t="shared" si="52"/>
        <v>2520.364</v>
      </c>
      <c r="BS17" s="32">
        <f t="shared" si="26"/>
        <v>884.1270900000001</v>
      </c>
      <c r="BT17" s="14">
        <f t="shared" si="27"/>
        <v>3404.49109</v>
      </c>
      <c r="BU17" s="14">
        <v>18</v>
      </c>
      <c r="BV17" s="14"/>
      <c r="BW17" s="32">
        <f t="shared" si="53"/>
        <v>75294.455</v>
      </c>
      <c r="BX17" s="32">
        <f t="shared" si="28"/>
        <v>26412.7988625</v>
      </c>
      <c r="BY17" s="14">
        <f t="shared" si="29"/>
        <v>101707.2538625</v>
      </c>
      <c r="BZ17" s="14">
        <v>533</v>
      </c>
      <c r="CA17" s="14"/>
      <c r="CB17" s="32">
        <f t="shared" si="54"/>
        <v>22503.083000000002</v>
      </c>
      <c r="CC17" s="32">
        <f t="shared" si="30"/>
        <v>7893.933292500001</v>
      </c>
      <c r="CD17" s="14">
        <f t="shared" si="31"/>
        <v>30397.016292500004</v>
      </c>
      <c r="CE17" s="14">
        <v>159</v>
      </c>
      <c r="CF17" s="14"/>
      <c r="CG17" s="32">
        <f t="shared" si="55"/>
        <v>1995.316</v>
      </c>
      <c r="CH17" s="32">
        <f t="shared" si="32"/>
        <v>699.94371</v>
      </c>
      <c r="CI17" s="14">
        <f t="shared" si="33"/>
        <v>2695.2597100000003</v>
      </c>
      <c r="CJ17" s="14">
        <v>14</v>
      </c>
      <c r="CK17" s="14"/>
      <c r="CL17" s="32">
        <f t="shared" si="56"/>
        <v>617.566</v>
      </c>
      <c r="CM17" s="32">
        <f t="shared" si="34"/>
        <v>216.638085</v>
      </c>
      <c r="CN17" s="14">
        <f t="shared" si="35"/>
        <v>834.2040850000001</v>
      </c>
      <c r="CO17" s="14">
        <v>4</v>
      </c>
      <c r="CP17" s="14"/>
      <c r="CQ17" s="32">
        <f t="shared" si="57"/>
        <v>2243.144</v>
      </c>
      <c r="CR17" s="32">
        <f t="shared" si="36"/>
        <v>786.88014</v>
      </c>
      <c r="CS17" s="14">
        <f t="shared" si="37"/>
        <v>3030.0241399999995</v>
      </c>
      <c r="CT17" s="14">
        <v>16</v>
      </c>
      <c r="CU17" s="14"/>
      <c r="CV17" s="32">
        <f t="shared" si="58"/>
        <v>4350.683999999999</v>
      </c>
      <c r="CW17" s="32">
        <f t="shared" si="38"/>
        <v>1526.1912899999998</v>
      </c>
      <c r="CX17" s="14">
        <f t="shared" si="39"/>
        <v>5876.875289999999</v>
      </c>
      <c r="CY17" s="14">
        <v>31</v>
      </c>
      <c r="CZ17" s="14"/>
      <c r="DA17" s="32">
        <f t="shared" si="59"/>
        <v>298311.265</v>
      </c>
      <c r="DB17" s="32">
        <f t="shared" si="40"/>
        <v>104645.62683750002</v>
      </c>
      <c r="DC17" s="14">
        <f t="shared" si="41"/>
        <v>402956.89183750004</v>
      </c>
      <c r="DD17" s="14">
        <v>2112</v>
      </c>
      <c r="DE17" s="14"/>
      <c r="DF17" s="14"/>
      <c r="DG17" s="14"/>
      <c r="DH17" s="14">
        <f t="shared" si="42"/>
        <v>0</v>
      </c>
      <c r="DI17" s="14"/>
    </row>
    <row r="18" spans="1:113" ht="12.75">
      <c r="A18" s="2">
        <v>41913</v>
      </c>
      <c r="B18" s="10"/>
      <c r="D18" s="15">
        <v>562500</v>
      </c>
      <c r="E18" s="15">
        <f t="shared" si="0"/>
        <v>562500</v>
      </c>
      <c r="F18" s="15">
        <f t="shared" si="1"/>
        <v>12228</v>
      </c>
      <c r="G18" s="15">
        <f t="shared" si="2"/>
        <v>6965</v>
      </c>
      <c r="I18" s="15"/>
      <c r="J18" s="15">
        <v>14250</v>
      </c>
      <c r="K18" s="15">
        <f t="shared" si="3"/>
        <v>14250</v>
      </c>
      <c r="L18" s="15">
        <v>406</v>
      </c>
      <c r="M18" s="15">
        <v>6965</v>
      </c>
      <c r="O18" s="15"/>
      <c r="P18" s="15">
        <v>548250</v>
      </c>
      <c r="Q18" s="15">
        <f t="shared" si="4"/>
        <v>548250</v>
      </c>
      <c r="R18" s="15">
        <f t="shared" si="5"/>
        <v>11822</v>
      </c>
      <c r="T18" s="32"/>
      <c r="U18" s="32">
        <v>372701</v>
      </c>
      <c r="V18" s="32">
        <f t="shared" si="6"/>
        <v>372701</v>
      </c>
      <c r="W18" s="32">
        <v>8037</v>
      </c>
      <c r="Y18" s="14"/>
      <c r="Z18" s="21">
        <f t="shared" si="7"/>
        <v>175548.99210000003</v>
      </c>
      <c r="AA18" s="14">
        <f t="shared" si="8"/>
        <v>175548.99210000003</v>
      </c>
      <c r="AB18" s="14">
        <f t="shared" si="9"/>
        <v>3785</v>
      </c>
      <c r="AD18" s="32"/>
      <c r="AE18" s="21">
        <f t="shared" si="10"/>
        <v>1581.6464250000001</v>
      </c>
      <c r="AF18" s="32">
        <f t="shared" si="11"/>
        <v>1581.6464250000001</v>
      </c>
      <c r="AG18" s="32">
        <v>34</v>
      </c>
      <c r="AH18" s="10"/>
      <c r="AI18" s="32"/>
      <c r="AJ18" s="32">
        <f t="shared" si="12"/>
        <v>6661.840575</v>
      </c>
      <c r="AK18" s="14">
        <f t="shared" si="13"/>
        <v>6661.840575</v>
      </c>
      <c r="AL18" s="14">
        <v>144</v>
      </c>
      <c r="AM18" s="10"/>
      <c r="AN18" s="32"/>
      <c r="AO18" s="32">
        <f t="shared" si="14"/>
        <v>2837.9064750000002</v>
      </c>
      <c r="AP18" s="14">
        <f t="shared" si="15"/>
        <v>2837.9064750000002</v>
      </c>
      <c r="AQ18" s="14">
        <v>61</v>
      </c>
      <c r="AR18" s="10"/>
      <c r="AS18" s="42"/>
      <c r="AT18" s="42">
        <f t="shared" si="16"/>
        <v>909.5467499999999</v>
      </c>
      <c r="AU18" s="3">
        <f t="shared" si="17"/>
        <v>909.5467499999999</v>
      </c>
      <c r="AV18" s="3">
        <v>20</v>
      </c>
      <c r="AW18" s="14"/>
      <c r="AX18" s="32"/>
      <c r="AY18" s="32">
        <f t="shared" si="18"/>
        <v>280.649175</v>
      </c>
      <c r="AZ18" s="14">
        <f t="shared" si="19"/>
        <v>280.649175</v>
      </c>
      <c r="BA18" s="14">
        <v>6</v>
      </c>
      <c r="BB18" s="14"/>
      <c r="BC18" s="32"/>
      <c r="BD18" s="32">
        <f t="shared" si="20"/>
        <v>6001.8024</v>
      </c>
      <c r="BE18" s="14">
        <f t="shared" si="21"/>
        <v>6001.8024</v>
      </c>
      <c r="BF18" s="14">
        <v>129</v>
      </c>
      <c r="BG18" s="14"/>
      <c r="BH18" s="32"/>
      <c r="BI18" s="32">
        <f t="shared" si="22"/>
        <v>104.770575</v>
      </c>
      <c r="BJ18" s="14">
        <f t="shared" si="23"/>
        <v>104.770575</v>
      </c>
      <c r="BK18" s="14">
        <v>2</v>
      </c>
      <c r="BL18" s="14"/>
      <c r="BM18" s="32"/>
      <c r="BN18" s="32">
        <f t="shared" si="24"/>
        <v>23280.997649999998</v>
      </c>
      <c r="BO18" s="14">
        <f t="shared" si="25"/>
        <v>23280.997649999998</v>
      </c>
      <c r="BP18" s="14">
        <v>502</v>
      </c>
      <c r="BQ18" s="14"/>
      <c r="BR18" s="32"/>
      <c r="BS18" s="32">
        <f t="shared" si="26"/>
        <v>827.4189</v>
      </c>
      <c r="BT18" s="14">
        <f t="shared" si="27"/>
        <v>827.4189</v>
      </c>
      <c r="BU18" s="14">
        <v>18</v>
      </c>
      <c r="BV18" s="14"/>
      <c r="BW18" s="32"/>
      <c r="BX18" s="32">
        <f t="shared" si="28"/>
        <v>24718.673625000003</v>
      </c>
      <c r="BY18" s="14">
        <f t="shared" si="29"/>
        <v>24718.673625000003</v>
      </c>
      <c r="BZ18" s="14">
        <v>533</v>
      </c>
      <c r="CA18" s="14"/>
      <c r="CB18" s="32"/>
      <c r="CC18" s="32">
        <f t="shared" si="30"/>
        <v>7387.613925000001</v>
      </c>
      <c r="CD18" s="14">
        <f t="shared" si="31"/>
        <v>7387.613925000001</v>
      </c>
      <c r="CE18" s="14">
        <v>159</v>
      </c>
      <c r="CF18" s="14"/>
      <c r="CG18" s="32"/>
      <c r="CH18" s="32">
        <f t="shared" si="32"/>
        <v>655.0491000000001</v>
      </c>
      <c r="CI18" s="14">
        <f t="shared" si="33"/>
        <v>655.0491000000001</v>
      </c>
      <c r="CJ18" s="14">
        <v>14</v>
      </c>
      <c r="CK18" s="14"/>
      <c r="CL18" s="32"/>
      <c r="CM18" s="32">
        <f t="shared" si="34"/>
        <v>202.74285</v>
      </c>
      <c r="CN18" s="14">
        <f t="shared" si="35"/>
        <v>202.74285</v>
      </c>
      <c r="CO18" s="14">
        <v>4</v>
      </c>
      <c r="CP18" s="14"/>
      <c r="CQ18" s="32"/>
      <c r="CR18" s="32">
        <f t="shared" si="36"/>
        <v>736.4094</v>
      </c>
      <c r="CS18" s="14">
        <f t="shared" si="37"/>
        <v>736.4094</v>
      </c>
      <c r="CT18" s="14">
        <v>16</v>
      </c>
      <c r="CU18" s="14"/>
      <c r="CV18" s="32"/>
      <c r="CW18" s="32">
        <f t="shared" si="38"/>
        <v>1428.3009</v>
      </c>
      <c r="CX18" s="14">
        <f t="shared" si="39"/>
        <v>1428.3009</v>
      </c>
      <c r="CY18" s="14">
        <v>31</v>
      </c>
      <c r="CZ18" s="14"/>
      <c r="DA18" s="32"/>
      <c r="DB18" s="32">
        <f t="shared" si="40"/>
        <v>97933.62337500001</v>
      </c>
      <c r="DC18" s="14">
        <f t="shared" si="41"/>
        <v>97933.62337500001</v>
      </c>
      <c r="DD18" s="14">
        <v>2112</v>
      </c>
      <c r="DE18" s="14"/>
      <c r="DF18" s="14"/>
      <c r="DG18" s="14"/>
      <c r="DH18" s="14">
        <f t="shared" si="42"/>
        <v>0</v>
      </c>
      <c r="DI18" s="14"/>
    </row>
    <row r="19" spans="1:113" ht="12.75">
      <c r="A19" s="2">
        <v>42095</v>
      </c>
      <c r="C19" s="15">
        <v>1810000</v>
      </c>
      <c r="D19" s="15">
        <v>562500</v>
      </c>
      <c r="E19" s="15">
        <f t="shared" si="0"/>
        <v>2372500</v>
      </c>
      <c r="F19" s="15">
        <f t="shared" si="1"/>
        <v>12228</v>
      </c>
      <c r="G19" s="15">
        <f t="shared" si="2"/>
        <v>6965</v>
      </c>
      <c r="I19" s="15">
        <v>65000</v>
      </c>
      <c r="J19" s="15">
        <v>14250</v>
      </c>
      <c r="K19" s="15">
        <f t="shared" si="3"/>
        <v>79250</v>
      </c>
      <c r="L19" s="15">
        <v>406</v>
      </c>
      <c r="M19" s="15">
        <v>6965</v>
      </c>
      <c r="O19" s="15">
        <v>1745000</v>
      </c>
      <c r="P19" s="15">
        <v>548250</v>
      </c>
      <c r="Q19" s="15">
        <f t="shared" si="4"/>
        <v>2293250</v>
      </c>
      <c r="R19" s="15">
        <f t="shared" si="5"/>
        <v>11822</v>
      </c>
      <c r="T19" s="32">
        <v>1186253</v>
      </c>
      <c r="U19" s="32">
        <v>372701</v>
      </c>
      <c r="V19" s="32">
        <f t="shared" si="6"/>
        <v>1558954</v>
      </c>
      <c r="W19" s="32">
        <v>8037</v>
      </c>
      <c r="Y19" s="14">
        <f t="shared" si="43"/>
        <v>558746.9060000001</v>
      </c>
      <c r="Z19" s="21">
        <f t="shared" si="7"/>
        <v>175548.99210000003</v>
      </c>
      <c r="AA19" s="14">
        <f t="shared" si="8"/>
        <v>734295.8981000001</v>
      </c>
      <c r="AB19" s="14">
        <f t="shared" si="9"/>
        <v>3785</v>
      </c>
      <c r="AD19" s="32">
        <f t="shared" si="44"/>
        <v>5034.150500000001</v>
      </c>
      <c r="AE19" s="21">
        <f t="shared" si="10"/>
        <v>1581.6464250000001</v>
      </c>
      <c r="AF19" s="32">
        <f t="shared" si="11"/>
        <v>6615.796925000001</v>
      </c>
      <c r="AG19" s="32">
        <v>34</v>
      </c>
      <c r="AI19" s="32">
        <f t="shared" si="45"/>
        <v>21203.669499999996</v>
      </c>
      <c r="AJ19" s="32">
        <f t="shared" si="12"/>
        <v>6661.840575</v>
      </c>
      <c r="AK19" s="14">
        <f t="shared" si="13"/>
        <v>27865.510075</v>
      </c>
      <c r="AL19" s="14">
        <v>144</v>
      </c>
      <c r="AN19" s="32">
        <f t="shared" si="46"/>
        <v>9032.6435</v>
      </c>
      <c r="AO19" s="32">
        <f t="shared" si="14"/>
        <v>2837.9064750000002</v>
      </c>
      <c r="AP19" s="14">
        <f t="shared" si="15"/>
        <v>11870.549975</v>
      </c>
      <c r="AQ19" s="14">
        <v>61</v>
      </c>
      <c r="AS19" s="42">
        <f t="shared" si="47"/>
        <v>2894.955</v>
      </c>
      <c r="AT19" s="42">
        <f t="shared" si="16"/>
        <v>909.5467499999999</v>
      </c>
      <c r="AU19" s="3">
        <f t="shared" si="17"/>
        <v>3804.50175</v>
      </c>
      <c r="AV19" s="3">
        <v>20</v>
      </c>
      <c r="AW19" s="14"/>
      <c r="AX19" s="32">
        <f t="shared" si="48"/>
        <v>893.2655</v>
      </c>
      <c r="AY19" s="32">
        <f t="shared" si="18"/>
        <v>280.649175</v>
      </c>
      <c r="AZ19" s="14">
        <f t="shared" si="19"/>
        <v>1173.914675</v>
      </c>
      <c r="BA19" s="14">
        <v>6</v>
      </c>
      <c r="BB19" s="14"/>
      <c r="BC19" s="32">
        <f t="shared" si="49"/>
        <v>19102.863999999998</v>
      </c>
      <c r="BD19" s="32">
        <f t="shared" si="20"/>
        <v>6001.8024</v>
      </c>
      <c r="BE19" s="14">
        <f t="shared" si="21"/>
        <v>25104.6664</v>
      </c>
      <c r="BF19" s="14">
        <v>129</v>
      </c>
      <c r="BG19" s="14"/>
      <c r="BH19" s="32">
        <f t="shared" si="50"/>
        <v>333.4695</v>
      </c>
      <c r="BI19" s="32">
        <f t="shared" si="22"/>
        <v>104.770575</v>
      </c>
      <c r="BJ19" s="14">
        <f t="shared" si="23"/>
        <v>438.240075</v>
      </c>
      <c r="BK19" s="14">
        <v>2</v>
      </c>
      <c r="BL19" s="14"/>
      <c r="BM19" s="32">
        <f t="shared" si="51"/>
        <v>74100.029</v>
      </c>
      <c r="BN19" s="32">
        <f t="shared" si="24"/>
        <v>23280.997649999998</v>
      </c>
      <c r="BO19" s="14">
        <f t="shared" si="25"/>
        <v>97381.02664999999</v>
      </c>
      <c r="BP19" s="14">
        <v>502</v>
      </c>
      <c r="BQ19" s="14"/>
      <c r="BR19" s="32">
        <f t="shared" si="52"/>
        <v>2633.554</v>
      </c>
      <c r="BS19" s="32">
        <f t="shared" si="26"/>
        <v>827.4189</v>
      </c>
      <c r="BT19" s="14">
        <f t="shared" si="27"/>
        <v>3460.9729</v>
      </c>
      <c r="BU19" s="14">
        <v>18</v>
      </c>
      <c r="BV19" s="14"/>
      <c r="BW19" s="32">
        <f t="shared" si="53"/>
        <v>78675.9425</v>
      </c>
      <c r="BX19" s="32">
        <f t="shared" si="28"/>
        <v>24718.673625000003</v>
      </c>
      <c r="BY19" s="14">
        <f t="shared" si="29"/>
        <v>103394.616125</v>
      </c>
      <c r="BZ19" s="14">
        <v>533</v>
      </c>
      <c r="CA19" s="14"/>
      <c r="CB19" s="32">
        <f t="shared" si="54"/>
        <v>23513.700500000003</v>
      </c>
      <c r="CC19" s="32">
        <f t="shared" si="30"/>
        <v>7387.613925000001</v>
      </c>
      <c r="CD19" s="14">
        <f t="shared" si="31"/>
        <v>30901.314425000004</v>
      </c>
      <c r="CE19" s="14">
        <v>159</v>
      </c>
      <c r="CF19" s="14"/>
      <c r="CG19" s="32">
        <f t="shared" si="55"/>
        <v>2084.926</v>
      </c>
      <c r="CH19" s="32">
        <f t="shared" si="32"/>
        <v>655.0491000000001</v>
      </c>
      <c r="CI19" s="14">
        <f t="shared" si="33"/>
        <v>2739.9751</v>
      </c>
      <c r="CJ19" s="14">
        <v>14</v>
      </c>
      <c r="CK19" s="14"/>
      <c r="CL19" s="32">
        <f t="shared" si="56"/>
        <v>645.3009999999999</v>
      </c>
      <c r="CM19" s="32">
        <f t="shared" si="34"/>
        <v>202.74285</v>
      </c>
      <c r="CN19" s="14">
        <f t="shared" si="35"/>
        <v>848.0438499999999</v>
      </c>
      <c r="CO19" s="14">
        <v>4</v>
      </c>
      <c r="CP19" s="14"/>
      <c r="CQ19" s="32">
        <f t="shared" si="57"/>
        <v>2343.884</v>
      </c>
      <c r="CR19" s="32">
        <f t="shared" si="36"/>
        <v>736.4094</v>
      </c>
      <c r="CS19" s="14">
        <f t="shared" si="37"/>
        <v>3080.2934</v>
      </c>
      <c r="CT19" s="14">
        <v>16</v>
      </c>
      <c r="CU19" s="14"/>
      <c r="CV19" s="32">
        <f t="shared" si="58"/>
        <v>4546.074</v>
      </c>
      <c r="CW19" s="32">
        <f t="shared" si="38"/>
        <v>1428.3009</v>
      </c>
      <c r="CX19" s="14">
        <f t="shared" si="39"/>
        <v>5974.3749</v>
      </c>
      <c r="CY19" s="14">
        <v>31</v>
      </c>
      <c r="CZ19" s="14"/>
      <c r="DA19" s="32">
        <f t="shared" si="59"/>
        <v>311708.47750000004</v>
      </c>
      <c r="DB19" s="32">
        <f t="shared" si="40"/>
        <v>97933.62337500001</v>
      </c>
      <c r="DC19" s="14">
        <f t="shared" si="41"/>
        <v>409642.10087500006</v>
      </c>
      <c r="DD19" s="14">
        <v>2112</v>
      </c>
      <c r="DE19" s="14"/>
      <c r="DF19" s="14"/>
      <c r="DG19" s="14"/>
      <c r="DH19" s="14">
        <f t="shared" si="42"/>
        <v>0</v>
      </c>
      <c r="DI19" s="14"/>
    </row>
    <row r="20" spans="1:113" ht="12.75">
      <c r="A20" s="2">
        <v>42278</v>
      </c>
      <c r="D20" s="15">
        <v>517250</v>
      </c>
      <c r="E20" s="15">
        <f t="shared" si="0"/>
        <v>517250</v>
      </c>
      <c r="F20" s="15">
        <f t="shared" si="1"/>
        <v>12228</v>
      </c>
      <c r="G20" s="15">
        <f t="shared" si="2"/>
        <v>6965</v>
      </c>
      <c r="I20" s="15"/>
      <c r="J20" s="15">
        <v>12625</v>
      </c>
      <c r="K20" s="15">
        <f t="shared" si="3"/>
        <v>12625</v>
      </c>
      <c r="L20" s="15">
        <v>406</v>
      </c>
      <c r="M20" s="15">
        <v>6965</v>
      </c>
      <c r="O20" s="15"/>
      <c r="P20" s="15">
        <v>504625</v>
      </c>
      <c r="Q20" s="15">
        <f t="shared" si="4"/>
        <v>504625</v>
      </c>
      <c r="R20" s="15">
        <f t="shared" si="5"/>
        <v>11822</v>
      </c>
      <c r="T20" s="32"/>
      <c r="U20" s="32">
        <v>343045</v>
      </c>
      <c r="V20" s="32">
        <f t="shared" si="6"/>
        <v>343045</v>
      </c>
      <c r="W20" s="32">
        <v>8037</v>
      </c>
      <c r="Y20" s="14"/>
      <c r="Z20" s="21">
        <f t="shared" si="7"/>
        <v>161580.31945</v>
      </c>
      <c r="AA20" s="14">
        <f t="shared" si="8"/>
        <v>161580.31945</v>
      </c>
      <c r="AB20" s="14">
        <f t="shared" si="9"/>
        <v>3785</v>
      </c>
      <c r="AD20" s="32"/>
      <c r="AE20" s="21">
        <f t="shared" si="10"/>
        <v>1455.7926625000002</v>
      </c>
      <c r="AF20" s="32">
        <f t="shared" si="11"/>
        <v>1455.7926625000002</v>
      </c>
      <c r="AG20" s="32">
        <v>34</v>
      </c>
      <c r="AI20" s="32"/>
      <c r="AJ20" s="32">
        <f t="shared" si="12"/>
        <v>6131.748837499999</v>
      </c>
      <c r="AK20" s="14">
        <f t="shared" si="13"/>
        <v>6131.748837499999</v>
      </c>
      <c r="AL20" s="14">
        <v>144</v>
      </c>
      <c r="AN20" s="32"/>
      <c r="AO20" s="32">
        <f t="shared" si="14"/>
        <v>2612.0903875</v>
      </c>
      <c r="AP20" s="14">
        <f t="shared" si="15"/>
        <v>2612.0903875</v>
      </c>
      <c r="AQ20" s="14">
        <v>61</v>
      </c>
      <c r="AS20" s="42"/>
      <c r="AT20" s="42">
        <f t="shared" si="16"/>
        <v>837.1728749999999</v>
      </c>
      <c r="AU20" s="3">
        <f t="shared" si="17"/>
        <v>837.1728749999999</v>
      </c>
      <c r="AV20" s="3">
        <v>20</v>
      </c>
      <c r="AW20" s="14"/>
      <c r="AX20" s="32"/>
      <c r="AY20" s="32">
        <f t="shared" si="18"/>
        <v>258.3175375</v>
      </c>
      <c r="AZ20" s="14">
        <f t="shared" si="19"/>
        <v>258.3175375</v>
      </c>
      <c r="BA20" s="14">
        <v>6</v>
      </c>
      <c r="BB20" s="14"/>
      <c r="BC20" s="32"/>
      <c r="BD20" s="32">
        <f t="shared" si="20"/>
        <v>5524.230799999999</v>
      </c>
      <c r="BE20" s="14">
        <f t="shared" si="21"/>
        <v>5524.230799999999</v>
      </c>
      <c r="BF20" s="14">
        <v>129</v>
      </c>
      <c r="BG20" s="14"/>
      <c r="BH20" s="32"/>
      <c r="BI20" s="32">
        <f t="shared" si="22"/>
        <v>96.4338375</v>
      </c>
      <c r="BJ20" s="14">
        <f t="shared" si="23"/>
        <v>96.4338375</v>
      </c>
      <c r="BK20" s="14">
        <v>2</v>
      </c>
      <c r="BL20" s="14"/>
      <c r="BM20" s="32"/>
      <c r="BN20" s="32">
        <f t="shared" si="24"/>
        <v>21428.496925</v>
      </c>
      <c r="BO20" s="14">
        <f t="shared" si="25"/>
        <v>21428.496925</v>
      </c>
      <c r="BP20" s="14">
        <v>502</v>
      </c>
      <c r="BQ20" s="14"/>
      <c r="BR20" s="32"/>
      <c r="BS20" s="32">
        <f t="shared" si="26"/>
        <v>761.58005</v>
      </c>
      <c r="BT20" s="14">
        <f t="shared" si="27"/>
        <v>761.58005</v>
      </c>
      <c r="BU20" s="14">
        <v>18</v>
      </c>
      <c r="BV20" s="14"/>
      <c r="BW20" s="32"/>
      <c r="BX20" s="32">
        <f t="shared" si="28"/>
        <v>22751.7750625</v>
      </c>
      <c r="BY20" s="14">
        <f t="shared" si="29"/>
        <v>22751.7750625</v>
      </c>
      <c r="BZ20" s="14">
        <v>533</v>
      </c>
      <c r="CA20" s="14"/>
      <c r="CB20" s="32"/>
      <c r="CC20" s="32">
        <f t="shared" si="30"/>
        <v>6799.7714125</v>
      </c>
      <c r="CD20" s="14">
        <f t="shared" si="31"/>
        <v>6799.7714125</v>
      </c>
      <c r="CE20" s="14">
        <v>159</v>
      </c>
      <c r="CF20" s="14"/>
      <c r="CG20" s="32"/>
      <c r="CH20" s="32">
        <f t="shared" si="32"/>
        <v>602.9259500000001</v>
      </c>
      <c r="CI20" s="14">
        <f t="shared" si="33"/>
        <v>602.9259500000001</v>
      </c>
      <c r="CJ20" s="14">
        <v>14</v>
      </c>
      <c r="CK20" s="14"/>
      <c r="CL20" s="32"/>
      <c r="CM20" s="32">
        <f t="shared" si="34"/>
        <v>186.61032500000002</v>
      </c>
      <c r="CN20" s="14">
        <f t="shared" si="35"/>
        <v>186.61032500000002</v>
      </c>
      <c r="CO20" s="14">
        <v>4</v>
      </c>
      <c r="CP20" s="14"/>
      <c r="CQ20" s="32"/>
      <c r="CR20" s="32">
        <f t="shared" si="36"/>
        <v>677.8122999999999</v>
      </c>
      <c r="CS20" s="14">
        <f t="shared" si="37"/>
        <v>677.8122999999999</v>
      </c>
      <c r="CT20" s="14">
        <v>16</v>
      </c>
      <c r="CU20" s="14"/>
      <c r="CV20" s="32"/>
      <c r="CW20" s="32">
        <f t="shared" si="38"/>
        <v>1314.64905</v>
      </c>
      <c r="CX20" s="14">
        <f t="shared" si="39"/>
        <v>1314.64905</v>
      </c>
      <c r="CY20" s="14">
        <v>31</v>
      </c>
      <c r="CZ20" s="14"/>
      <c r="DA20" s="32"/>
      <c r="DB20" s="32">
        <f t="shared" si="40"/>
        <v>90140.9114375</v>
      </c>
      <c r="DC20" s="14">
        <f t="shared" si="41"/>
        <v>90140.9114375</v>
      </c>
      <c r="DD20" s="14">
        <v>2112</v>
      </c>
      <c r="DE20" s="14"/>
      <c r="DF20" s="14"/>
      <c r="DG20" s="14"/>
      <c r="DH20" s="14">
        <f t="shared" si="42"/>
        <v>0</v>
      </c>
      <c r="DI20" s="14"/>
    </row>
    <row r="21" spans="1:113" ht="12.75">
      <c r="A21" s="2">
        <v>42461</v>
      </c>
      <c r="C21" s="15">
        <v>1895000</v>
      </c>
      <c r="D21" s="15">
        <v>517250</v>
      </c>
      <c r="E21" s="15">
        <f t="shared" si="0"/>
        <v>2412250</v>
      </c>
      <c r="F21" s="15">
        <f t="shared" si="1"/>
        <v>12228</v>
      </c>
      <c r="G21" s="15">
        <f t="shared" si="2"/>
        <v>6965</v>
      </c>
      <c r="I21" s="15">
        <v>65000</v>
      </c>
      <c r="J21" s="15">
        <v>12625</v>
      </c>
      <c r="K21" s="15">
        <f t="shared" si="3"/>
        <v>77625</v>
      </c>
      <c r="L21" s="15">
        <v>406</v>
      </c>
      <c r="M21" s="15">
        <v>6965</v>
      </c>
      <c r="O21" s="15">
        <v>1830000</v>
      </c>
      <c r="P21" s="15">
        <v>504625</v>
      </c>
      <c r="Q21" s="15">
        <f t="shared" si="4"/>
        <v>2334625</v>
      </c>
      <c r="R21" s="15">
        <f t="shared" si="5"/>
        <v>11822</v>
      </c>
      <c r="T21" s="32">
        <v>1244036</v>
      </c>
      <c r="U21" s="32">
        <v>343045</v>
      </c>
      <c r="V21" s="32">
        <f t="shared" si="6"/>
        <v>1587081</v>
      </c>
      <c r="W21" s="32">
        <v>8037</v>
      </c>
      <c r="Y21" s="14">
        <f t="shared" si="43"/>
        <v>585963.8040000001</v>
      </c>
      <c r="Z21" s="21">
        <f t="shared" si="7"/>
        <v>161580.31945</v>
      </c>
      <c r="AA21" s="14">
        <f t="shared" si="8"/>
        <v>747544.1234500001</v>
      </c>
      <c r="AB21" s="14">
        <f t="shared" si="9"/>
        <v>3785</v>
      </c>
      <c r="AD21" s="32">
        <f t="shared" si="44"/>
        <v>5279.367000000001</v>
      </c>
      <c r="AE21" s="21">
        <f t="shared" si="10"/>
        <v>1455.7926625000002</v>
      </c>
      <c r="AF21" s="32">
        <f t="shared" si="11"/>
        <v>6735.159662500001</v>
      </c>
      <c r="AG21" s="32">
        <v>34</v>
      </c>
      <c r="AI21" s="32">
        <f t="shared" si="45"/>
        <v>22236.513</v>
      </c>
      <c r="AJ21" s="32">
        <f t="shared" si="12"/>
        <v>6131.748837499999</v>
      </c>
      <c r="AK21" s="14">
        <f t="shared" si="13"/>
        <v>28368.2618375</v>
      </c>
      <c r="AL21" s="14">
        <v>144</v>
      </c>
      <c r="AN21" s="32">
        <f t="shared" si="46"/>
        <v>9472.629</v>
      </c>
      <c r="AO21" s="32">
        <f t="shared" si="14"/>
        <v>2612.0903875</v>
      </c>
      <c r="AP21" s="14">
        <f t="shared" si="15"/>
        <v>12084.719387500001</v>
      </c>
      <c r="AQ21" s="14">
        <v>61</v>
      </c>
      <c r="AS21" s="42">
        <f t="shared" si="47"/>
        <v>3035.97</v>
      </c>
      <c r="AT21" s="42">
        <f t="shared" si="16"/>
        <v>837.1728749999999</v>
      </c>
      <c r="AU21" s="3">
        <f t="shared" si="17"/>
        <v>3873.1428749999995</v>
      </c>
      <c r="AV21" s="3">
        <v>20</v>
      </c>
      <c r="AW21" s="14"/>
      <c r="AX21" s="32">
        <f t="shared" si="48"/>
        <v>936.7769999999999</v>
      </c>
      <c r="AY21" s="32">
        <f t="shared" si="18"/>
        <v>258.3175375</v>
      </c>
      <c r="AZ21" s="14">
        <f t="shared" si="19"/>
        <v>1195.0945375</v>
      </c>
      <c r="BA21" s="14">
        <v>6</v>
      </c>
      <c r="BB21" s="14"/>
      <c r="BC21" s="32">
        <f t="shared" si="49"/>
        <v>20033.376</v>
      </c>
      <c r="BD21" s="32">
        <f t="shared" si="20"/>
        <v>5524.230799999999</v>
      </c>
      <c r="BE21" s="14">
        <f t="shared" si="21"/>
        <v>25557.6068</v>
      </c>
      <c r="BF21" s="14">
        <v>129</v>
      </c>
      <c r="BG21" s="14"/>
      <c r="BH21" s="32">
        <f t="shared" si="50"/>
        <v>349.71299999999997</v>
      </c>
      <c r="BI21" s="32">
        <f t="shared" si="22"/>
        <v>96.4338375</v>
      </c>
      <c r="BJ21" s="14">
        <f t="shared" si="23"/>
        <v>446.14683749999995</v>
      </c>
      <c r="BK21" s="14">
        <v>2</v>
      </c>
      <c r="BL21" s="14"/>
      <c r="BM21" s="32">
        <f t="shared" si="51"/>
        <v>77709.48599999999</v>
      </c>
      <c r="BN21" s="32">
        <f t="shared" si="24"/>
        <v>21428.496925</v>
      </c>
      <c r="BO21" s="14">
        <f t="shared" si="25"/>
        <v>99137.98292499999</v>
      </c>
      <c r="BP21" s="14">
        <v>502</v>
      </c>
      <c r="BQ21" s="14"/>
      <c r="BR21" s="32">
        <f t="shared" si="52"/>
        <v>2761.836</v>
      </c>
      <c r="BS21" s="32">
        <f t="shared" si="26"/>
        <v>761.58005</v>
      </c>
      <c r="BT21" s="14">
        <f t="shared" si="27"/>
        <v>3523.41605</v>
      </c>
      <c r="BU21" s="14">
        <v>18</v>
      </c>
      <c r="BV21" s="14"/>
      <c r="BW21" s="32">
        <f t="shared" si="53"/>
        <v>82508.29500000001</v>
      </c>
      <c r="BX21" s="32">
        <f t="shared" si="28"/>
        <v>22751.7750625</v>
      </c>
      <c r="BY21" s="14">
        <f t="shared" si="29"/>
        <v>105260.07006250002</v>
      </c>
      <c r="BZ21" s="14">
        <v>533</v>
      </c>
      <c r="CA21" s="14"/>
      <c r="CB21" s="32">
        <f t="shared" si="54"/>
        <v>24659.067000000003</v>
      </c>
      <c r="CC21" s="32">
        <f t="shared" si="30"/>
        <v>6799.7714125</v>
      </c>
      <c r="CD21" s="14">
        <f t="shared" si="31"/>
        <v>31458.8384125</v>
      </c>
      <c r="CE21" s="14">
        <v>159</v>
      </c>
      <c r="CF21" s="14"/>
      <c r="CG21" s="32">
        <f t="shared" si="55"/>
        <v>2186.484</v>
      </c>
      <c r="CH21" s="32">
        <f t="shared" si="32"/>
        <v>602.9259500000001</v>
      </c>
      <c r="CI21" s="14">
        <f t="shared" si="33"/>
        <v>2789.40995</v>
      </c>
      <c r="CJ21" s="14">
        <v>14</v>
      </c>
      <c r="CK21" s="14"/>
      <c r="CL21" s="32">
        <f t="shared" si="56"/>
        <v>676.7339999999999</v>
      </c>
      <c r="CM21" s="32">
        <f t="shared" si="34"/>
        <v>186.61032500000002</v>
      </c>
      <c r="CN21" s="14">
        <f t="shared" si="35"/>
        <v>863.3443249999999</v>
      </c>
      <c r="CO21" s="14">
        <v>4</v>
      </c>
      <c r="CP21" s="14"/>
      <c r="CQ21" s="32">
        <f t="shared" si="57"/>
        <v>2458.0559999999996</v>
      </c>
      <c r="CR21" s="32">
        <f t="shared" si="36"/>
        <v>677.8122999999999</v>
      </c>
      <c r="CS21" s="14">
        <f t="shared" si="37"/>
        <v>3135.8682999999996</v>
      </c>
      <c r="CT21" s="14">
        <v>16</v>
      </c>
      <c r="CU21" s="14"/>
      <c r="CV21" s="32">
        <f t="shared" si="58"/>
        <v>4767.516</v>
      </c>
      <c r="CW21" s="32">
        <f t="shared" si="38"/>
        <v>1314.64905</v>
      </c>
      <c r="CX21" s="14">
        <f t="shared" si="39"/>
        <v>6082.16505</v>
      </c>
      <c r="CY21" s="14">
        <v>31</v>
      </c>
      <c r="CZ21" s="14"/>
      <c r="DA21" s="32">
        <f t="shared" si="59"/>
        <v>326891.98500000004</v>
      </c>
      <c r="DB21" s="32">
        <f t="shared" si="40"/>
        <v>90140.9114375</v>
      </c>
      <c r="DC21" s="14">
        <f t="shared" si="41"/>
        <v>417032.8964375</v>
      </c>
      <c r="DD21" s="14">
        <v>2112</v>
      </c>
      <c r="DE21" s="14"/>
      <c r="DF21" s="14"/>
      <c r="DG21" s="14"/>
      <c r="DH21" s="14">
        <f t="shared" si="42"/>
        <v>0</v>
      </c>
      <c r="DI21" s="14"/>
    </row>
    <row r="22" spans="1:113" ht="12.75">
      <c r="A22" s="2">
        <v>42644</v>
      </c>
      <c r="D22" s="15">
        <v>469875</v>
      </c>
      <c r="E22" s="15">
        <f t="shared" si="0"/>
        <v>469875</v>
      </c>
      <c r="F22" s="15">
        <f t="shared" si="1"/>
        <v>12228</v>
      </c>
      <c r="G22" s="15">
        <f t="shared" si="2"/>
        <v>6965</v>
      </c>
      <c r="I22" s="15"/>
      <c r="J22" s="15">
        <v>11000</v>
      </c>
      <c r="K22" s="15">
        <f t="shared" si="3"/>
        <v>11000</v>
      </c>
      <c r="L22" s="15">
        <v>406</v>
      </c>
      <c r="M22" s="15">
        <v>6965</v>
      </c>
      <c r="O22" s="15"/>
      <c r="P22" s="15">
        <v>458875</v>
      </c>
      <c r="Q22" s="15">
        <f t="shared" si="4"/>
        <v>458875</v>
      </c>
      <c r="R22" s="15">
        <f t="shared" si="5"/>
        <v>11822</v>
      </c>
      <c r="T22" s="32"/>
      <c r="U22" s="32">
        <v>311944</v>
      </c>
      <c r="V22" s="32">
        <f t="shared" si="6"/>
        <v>311944</v>
      </c>
      <c r="W22" s="32">
        <v>8037</v>
      </c>
      <c r="Y22" s="14"/>
      <c r="Z22" s="21">
        <f t="shared" si="7"/>
        <v>146931.22435</v>
      </c>
      <c r="AA22" s="14">
        <f t="shared" si="8"/>
        <v>146931.22435</v>
      </c>
      <c r="AB22" s="14">
        <f t="shared" si="9"/>
        <v>3785</v>
      </c>
      <c r="AD22" s="32"/>
      <c r="AE22" s="21">
        <f t="shared" si="10"/>
        <v>1323.8084875</v>
      </c>
      <c r="AF22" s="32">
        <f t="shared" si="11"/>
        <v>1323.8084875</v>
      </c>
      <c r="AG22" s="32">
        <v>34</v>
      </c>
      <c r="AI22" s="32"/>
      <c r="AJ22" s="32">
        <f t="shared" si="12"/>
        <v>5575.8360125</v>
      </c>
      <c r="AK22" s="14">
        <f t="shared" si="13"/>
        <v>5575.8360125</v>
      </c>
      <c r="AL22" s="14">
        <v>144</v>
      </c>
      <c r="AN22" s="32"/>
      <c r="AO22" s="32">
        <f t="shared" si="14"/>
        <v>2375.2746625000004</v>
      </c>
      <c r="AP22" s="14">
        <f t="shared" si="15"/>
        <v>2375.2746625000004</v>
      </c>
      <c r="AQ22" s="14">
        <v>61</v>
      </c>
      <c r="AS22" s="42"/>
      <c r="AT22" s="42">
        <f t="shared" si="16"/>
        <v>761.273625</v>
      </c>
      <c r="AU22" s="3">
        <f t="shared" si="17"/>
        <v>761.273625</v>
      </c>
      <c r="AV22" s="3">
        <v>20</v>
      </c>
      <c r="AW22" s="14"/>
      <c r="AX22" s="32"/>
      <c r="AY22" s="32">
        <f t="shared" si="18"/>
        <v>234.8981125</v>
      </c>
      <c r="AZ22" s="14">
        <f t="shared" si="19"/>
        <v>234.8981125</v>
      </c>
      <c r="BA22" s="14">
        <v>6</v>
      </c>
      <c r="BB22" s="14"/>
      <c r="BC22" s="32"/>
      <c r="BD22" s="32">
        <f t="shared" si="20"/>
        <v>5023.3964</v>
      </c>
      <c r="BE22" s="14">
        <f t="shared" si="21"/>
        <v>5023.3964</v>
      </c>
      <c r="BF22" s="14">
        <v>129</v>
      </c>
      <c r="BG22" s="14"/>
      <c r="BH22" s="32"/>
      <c r="BI22" s="32">
        <f t="shared" si="22"/>
        <v>87.6910125</v>
      </c>
      <c r="BJ22" s="14">
        <f t="shared" si="23"/>
        <v>87.6910125</v>
      </c>
      <c r="BK22" s="14">
        <v>2</v>
      </c>
      <c r="BL22" s="14"/>
      <c r="BM22" s="32"/>
      <c r="BN22" s="32">
        <f t="shared" si="24"/>
        <v>19485.759775</v>
      </c>
      <c r="BO22" s="14">
        <f t="shared" si="25"/>
        <v>19485.759775</v>
      </c>
      <c r="BP22" s="14">
        <v>502</v>
      </c>
      <c r="BQ22" s="14"/>
      <c r="BR22" s="32"/>
      <c r="BS22" s="32">
        <f t="shared" si="26"/>
        <v>692.53415</v>
      </c>
      <c r="BT22" s="14">
        <f t="shared" si="27"/>
        <v>692.53415</v>
      </c>
      <c r="BU22" s="14">
        <v>18</v>
      </c>
      <c r="BV22" s="14"/>
      <c r="BW22" s="32"/>
      <c r="BX22" s="32">
        <f t="shared" si="28"/>
        <v>20689.0676875</v>
      </c>
      <c r="BY22" s="14">
        <f t="shared" si="29"/>
        <v>20689.0676875</v>
      </c>
      <c r="BZ22" s="14">
        <v>533</v>
      </c>
      <c r="CA22" s="14"/>
      <c r="CB22" s="32"/>
      <c r="CC22" s="32">
        <f t="shared" si="30"/>
        <v>6183.2947375</v>
      </c>
      <c r="CD22" s="14">
        <f t="shared" si="31"/>
        <v>6183.2947375</v>
      </c>
      <c r="CE22" s="14">
        <v>159</v>
      </c>
      <c r="CF22" s="14"/>
      <c r="CG22" s="32"/>
      <c r="CH22" s="32">
        <f t="shared" si="32"/>
        <v>548.26385</v>
      </c>
      <c r="CI22" s="14">
        <f t="shared" si="33"/>
        <v>548.26385</v>
      </c>
      <c r="CJ22" s="14">
        <v>14</v>
      </c>
      <c r="CK22" s="14"/>
      <c r="CL22" s="32"/>
      <c r="CM22" s="32">
        <f t="shared" si="34"/>
        <v>169.69197499999999</v>
      </c>
      <c r="CN22" s="14">
        <f t="shared" si="35"/>
        <v>169.69197499999999</v>
      </c>
      <c r="CO22" s="14">
        <v>4</v>
      </c>
      <c r="CP22" s="14"/>
      <c r="CQ22" s="32"/>
      <c r="CR22" s="32">
        <f t="shared" si="36"/>
        <v>616.3609</v>
      </c>
      <c r="CS22" s="14">
        <f t="shared" si="37"/>
        <v>616.3609</v>
      </c>
      <c r="CT22" s="14">
        <v>16</v>
      </c>
      <c r="CU22" s="14"/>
      <c r="CV22" s="32"/>
      <c r="CW22" s="32">
        <f t="shared" si="38"/>
        <v>1195.4611499999999</v>
      </c>
      <c r="CX22" s="14">
        <f t="shared" si="39"/>
        <v>1195.4611499999999</v>
      </c>
      <c r="CY22" s="14">
        <v>31</v>
      </c>
      <c r="CZ22" s="14"/>
      <c r="DA22" s="32"/>
      <c r="DB22" s="32">
        <f t="shared" si="40"/>
        <v>81968.6118125</v>
      </c>
      <c r="DC22" s="14">
        <f t="shared" si="41"/>
        <v>81968.6118125</v>
      </c>
      <c r="DD22" s="14">
        <v>2112</v>
      </c>
      <c r="DE22" s="14"/>
      <c r="DF22" s="14"/>
      <c r="DG22" s="14"/>
      <c r="DH22" s="14">
        <f t="shared" si="42"/>
        <v>0</v>
      </c>
      <c r="DI22" s="14"/>
    </row>
    <row r="23" spans="1:113" ht="12.75">
      <c r="A23" s="2">
        <v>42826</v>
      </c>
      <c r="C23" s="15">
        <v>1985000</v>
      </c>
      <c r="D23" s="15">
        <v>469875</v>
      </c>
      <c r="E23" s="15">
        <f t="shared" si="0"/>
        <v>2454875</v>
      </c>
      <c r="F23" s="15">
        <f t="shared" si="1"/>
        <v>12228</v>
      </c>
      <c r="G23" s="15">
        <f t="shared" si="2"/>
        <v>6965</v>
      </c>
      <c r="I23" s="15">
        <v>65000</v>
      </c>
      <c r="J23" s="15">
        <v>11000</v>
      </c>
      <c r="K23" s="15">
        <f t="shared" si="3"/>
        <v>76000</v>
      </c>
      <c r="L23" s="15">
        <v>406</v>
      </c>
      <c r="M23" s="15">
        <v>6965</v>
      </c>
      <c r="O23" s="15">
        <v>1920000</v>
      </c>
      <c r="P23" s="15">
        <v>458875</v>
      </c>
      <c r="Q23" s="15">
        <f t="shared" si="4"/>
        <v>2378875</v>
      </c>
      <c r="R23" s="15">
        <f t="shared" si="5"/>
        <v>11822</v>
      </c>
      <c r="T23" s="32">
        <v>1305218</v>
      </c>
      <c r="U23" s="32">
        <v>311944</v>
      </c>
      <c r="V23" s="32">
        <f t="shared" si="6"/>
        <v>1617162</v>
      </c>
      <c r="W23" s="32">
        <v>8037</v>
      </c>
      <c r="Y23" s="14">
        <f t="shared" si="43"/>
        <v>614781.696</v>
      </c>
      <c r="Z23" s="21">
        <f t="shared" si="7"/>
        <v>146931.22435</v>
      </c>
      <c r="AA23" s="14">
        <f t="shared" si="8"/>
        <v>761712.92035</v>
      </c>
      <c r="AB23" s="14">
        <f t="shared" si="9"/>
        <v>3785</v>
      </c>
      <c r="AD23" s="32">
        <f t="shared" si="44"/>
        <v>5539.008000000001</v>
      </c>
      <c r="AE23" s="21">
        <f t="shared" si="10"/>
        <v>1323.8084875</v>
      </c>
      <c r="AF23" s="32">
        <f t="shared" si="11"/>
        <v>6862.8164875</v>
      </c>
      <c r="AG23" s="32">
        <v>34</v>
      </c>
      <c r="AI23" s="32">
        <f t="shared" si="45"/>
        <v>23330.111999999997</v>
      </c>
      <c r="AJ23" s="32">
        <f t="shared" si="12"/>
        <v>5575.8360125</v>
      </c>
      <c r="AK23" s="14">
        <f t="shared" si="13"/>
        <v>28905.948012499997</v>
      </c>
      <c r="AL23" s="14">
        <v>144</v>
      </c>
      <c r="AN23" s="32">
        <f t="shared" si="46"/>
        <v>9938.496000000001</v>
      </c>
      <c r="AO23" s="32">
        <f t="shared" si="14"/>
        <v>2375.2746625000004</v>
      </c>
      <c r="AP23" s="14">
        <f t="shared" si="15"/>
        <v>12313.770662500001</v>
      </c>
      <c r="AQ23" s="14">
        <v>61</v>
      </c>
      <c r="AS23" s="42">
        <f t="shared" si="47"/>
        <v>3185.28</v>
      </c>
      <c r="AT23" s="42">
        <f t="shared" si="16"/>
        <v>761.273625</v>
      </c>
      <c r="AU23" s="3">
        <f t="shared" si="17"/>
        <v>3946.5536250000005</v>
      </c>
      <c r="AV23" s="3">
        <v>20</v>
      </c>
      <c r="AW23" s="14"/>
      <c r="AX23" s="32">
        <f t="shared" si="48"/>
        <v>982.8480000000001</v>
      </c>
      <c r="AY23" s="32">
        <f t="shared" si="18"/>
        <v>234.8981125</v>
      </c>
      <c r="AZ23" s="14">
        <f t="shared" si="19"/>
        <v>1217.7461125</v>
      </c>
      <c r="BA23" s="14">
        <v>6</v>
      </c>
      <c r="BB23" s="14"/>
      <c r="BC23" s="32">
        <f t="shared" si="49"/>
        <v>21018.624</v>
      </c>
      <c r="BD23" s="32">
        <f t="shared" si="20"/>
        <v>5023.3964</v>
      </c>
      <c r="BE23" s="14">
        <f t="shared" si="21"/>
        <v>26042.0204</v>
      </c>
      <c r="BF23" s="14">
        <v>129</v>
      </c>
      <c r="BG23" s="14"/>
      <c r="BH23" s="32">
        <f t="shared" si="50"/>
        <v>366.912</v>
      </c>
      <c r="BI23" s="32">
        <f t="shared" si="22"/>
        <v>87.6910125</v>
      </c>
      <c r="BJ23" s="14">
        <f t="shared" si="23"/>
        <v>454.6030125</v>
      </c>
      <c r="BK23" s="14">
        <v>2</v>
      </c>
      <c r="BL23" s="14"/>
      <c r="BM23" s="32">
        <f t="shared" si="51"/>
        <v>81531.264</v>
      </c>
      <c r="BN23" s="32">
        <f t="shared" si="24"/>
        <v>19485.759775</v>
      </c>
      <c r="BO23" s="14">
        <f t="shared" si="25"/>
        <v>101017.023775</v>
      </c>
      <c r="BP23" s="14">
        <v>502</v>
      </c>
      <c r="BQ23" s="14"/>
      <c r="BR23" s="32">
        <f t="shared" si="52"/>
        <v>2897.664</v>
      </c>
      <c r="BS23" s="32">
        <f t="shared" si="26"/>
        <v>692.53415</v>
      </c>
      <c r="BT23" s="14">
        <f t="shared" si="27"/>
        <v>3590.19815</v>
      </c>
      <c r="BU23" s="14">
        <v>18</v>
      </c>
      <c r="BV23" s="14"/>
      <c r="BW23" s="32">
        <f t="shared" si="53"/>
        <v>86566.08</v>
      </c>
      <c r="BX23" s="32">
        <f t="shared" si="28"/>
        <v>20689.0676875</v>
      </c>
      <c r="BY23" s="14">
        <f t="shared" si="29"/>
        <v>107255.1476875</v>
      </c>
      <c r="BZ23" s="14">
        <v>533</v>
      </c>
      <c r="CA23" s="14"/>
      <c r="CB23" s="32">
        <f t="shared" si="54"/>
        <v>25871.808000000005</v>
      </c>
      <c r="CC23" s="32">
        <f t="shared" si="30"/>
        <v>6183.2947375</v>
      </c>
      <c r="CD23" s="14">
        <f t="shared" si="31"/>
        <v>32055.102737500005</v>
      </c>
      <c r="CE23" s="14">
        <v>159</v>
      </c>
      <c r="CF23" s="14"/>
      <c r="CG23" s="32">
        <f t="shared" si="55"/>
        <v>2294.016</v>
      </c>
      <c r="CH23" s="32">
        <f t="shared" si="32"/>
        <v>548.26385</v>
      </c>
      <c r="CI23" s="14">
        <f t="shared" si="33"/>
        <v>2842.27985</v>
      </c>
      <c r="CJ23" s="14">
        <v>14</v>
      </c>
      <c r="CK23" s="14"/>
      <c r="CL23" s="32">
        <f t="shared" si="56"/>
        <v>710.016</v>
      </c>
      <c r="CM23" s="32">
        <f t="shared" si="34"/>
        <v>169.69197499999999</v>
      </c>
      <c r="CN23" s="14">
        <f t="shared" si="35"/>
        <v>879.7079749999999</v>
      </c>
      <c r="CO23" s="14">
        <v>4</v>
      </c>
      <c r="CP23" s="14"/>
      <c r="CQ23" s="32">
        <f t="shared" si="57"/>
        <v>2578.944</v>
      </c>
      <c r="CR23" s="32">
        <f t="shared" si="36"/>
        <v>616.3609</v>
      </c>
      <c r="CS23" s="14">
        <f t="shared" si="37"/>
        <v>3195.3049</v>
      </c>
      <c r="CT23" s="14">
        <v>16</v>
      </c>
      <c r="CU23" s="14"/>
      <c r="CV23" s="32">
        <f t="shared" si="58"/>
        <v>5001.9839999999995</v>
      </c>
      <c r="CW23" s="32">
        <f t="shared" si="38"/>
        <v>1195.4611499999999</v>
      </c>
      <c r="CX23" s="14">
        <f t="shared" si="39"/>
        <v>6197.44515</v>
      </c>
      <c r="CY23" s="14">
        <v>31</v>
      </c>
      <c r="CZ23" s="14"/>
      <c r="DA23" s="32">
        <f t="shared" si="59"/>
        <v>342968.64</v>
      </c>
      <c r="DB23" s="32">
        <f t="shared" si="40"/>
        <v>81968.6118125</v>
      </c>
      <c r="DC23" s="14">
        <f t="shared" si="41"/>
        <v>424937.2518125</v>
      </c>
      <c r="DD23" s="14">
        <v>2112</v>
      </c>
      <c r="DE23" s="14"/>
      <c r="DF23" s="14"/>
      <c r="DG23" s="14"/>
      <c r="DH23" s="14">
        <f t="shared" si="42"/>
        <v>0</v>
      </c>
      <c r="DI23" s="14"/>
    </row>
    <row r="24" spans="1:113" ht="12.75">
      <c r="A24" s="2">
        <v>43009</v>
      </c>
      <c r="D24" s="15">
        <v>420250</v>
      </c>
      <c r="E24" s="15">
        <f t="shared" si="0"/>
        <v>420250</v>
      </c>
      <c r="F24" s="15">
        <f t="shared" si="1"/>
        <v>12228</v>
      </c>
      <c r="G24" s="15">
        <f t="shared" si="2"/>
        <v>6965</v>
      </c>
      <c r="I24" s="15"/>
      <c r="J24" s="15">
        <v>9375</v>
      </c>
      <c r="K24" s="15">
        <f t="shared" si="3"/>
        <v>9375</v>
      </c>
      <c r="L24" s="15">
        <v>406</v>
      </c>
      <c r="M24" s="15">
        <v>6965</v>
      </c>
      <c r="O24" s="15"/>
      <c r="P24" s="15">
        <v>410875</v>
      </c>
      <c r="Q24" s="15">
        <f t="shared" si="4"/>
        <v>410875</v>
      </c>
      <c r="R24" s="15">
        <f t="shared" si="5"/>
        <v>11822</v>
      </c>
      <c r="T24" s="32"/>
      <c r="U24" s="32">
        <v>279313</v>
      </c>
      <c r="V24" s="32">
        <f t="shared" si="6"/>
        <v>279313</v>
      </c>
      <c r="W24" s="32">
        <v>8037</v>
      </c>
      <c r="Y24" s="14"/>
      <c r="Z24" s="21">
        <f t="shared" si="7"/>
        <v>131561.68195</v>
      </c>
      <c r="AA24" s="14">
        <f t="shared" si="8"/>
        <v>131561.68195</v>
      </c>
      <c r="AB24" s="14">
        <f t="shared" si="9"/>
        <v>3785</v>
      </c>
      <c r="AD24" s="32"/>
      <c r="AE24" s="21">
        <f t="shared" si="10"/>
        <v>1185.3332875</v>
      </c>
      <c r="AF24" s="32">
        <f t="shared" si="11"/>
        <v>1185.3332875</v>
      </c>
      <c r="AG24" s="32">
        <v>34</v>
      </c>
      <c r="AI24" s="32"/>
      <c r="AJ24" s="32">
        <f t="shared" si="12"/>
        <v>4992.5832125</v>
      </c>
      <c r="AK24" s="14">
        <f t="shared" si="13"/>
        <v>4992.5832125</v>
      </c>
      <c r="AL24" s="14">
        <v>144</v>
      </c>
      <c r="AN24" s="32"/>
      <c r="AO24" s="32">
        <f t="shared" si="14"/>
        <v>2126.8122625</v>
      </c>
      <c r="AP24" s="14">
        <f t="shared" si="15"/>
        <v>2126.8122625</v>
      </c>
      <c r="AQ24" s="14">
        <v>61</v>
      </c>
      <c r="AS24" s="42"/>
      <c r="AT24" s="42">
        <f t="shared" si="16"/>
        <v>681.6416249999999</v>
      </c>
      <c r="AU24" s="3">
        <f t="shared" si="17"/>
        <v>681.6416249999999</v>
      </c>
      <c r="AV24" s="3">
        <v>20</v>
      </c>
      <c r="AW24" s="14"/>
      <c r="AX24" s="32"/>
      <c r="AY24" s="32">
        <f t="shared" si="18"/>
        <v>210.3269125</v>
      </c>
      <c r="AZ24" s="14">
        <f t="shared" si="19"/>
        <v>210.3269125</v>
      </c>
      <c r="BA24" s="14">
        <v>6</v>
      </c>
      <c r="BB24" s="14"/>
      <c r="BC24" s="32"/>
      <c r="BD24" s="32">
        <f t="shared" si="20"/>
        <v>4497.930799999999</v>
      </c>
      <c r="BE24" s="14">
        <f t="shared" si="21"/>
        <v>4497.930799999999</v>
      </c>
      <c r="BF24" s="14">
        <v>129</v>
      </c>
      <c r="BG24" s="14"/>
      <c r="BH24" s="32"/>
      <c r="BI24" s="32">
        <f t="shared" si="22"/>
        <v>78.51821249999999</v>
      </c>
      <c r="BJ24" s="14">
        <f t="shared" si="23"/>
        <v>78.51821249999999</v>
      </c>
      <c r="BK24" s="14">
        <v>2</v>
      </c>
      <c r="BL24" s="14"/>
      <c r="BM24" s="32"/>
      <c r="BN24" s="32">
        <f t="shared" si="24"/>
        <v>17447.478175</v>
      </c>
      <c r="BO24" s="14">
        <f t="shared" si="25"/>
        <v>17447.478175</v>
      </c>
      <c r="BP24" s="14">
        <v>502</v>
      </c>
      <c r="BQ24" s="14"/>
      <c r="BR24" s="32"/>
      <c r="BS24" s="32">
        <f t="shared" si="26"/>
        <v>620.09255</v>
      </c>
      <c r="BT24" s="14">
        <f t="shared" si="27"/>
        <v>620.09255</v>
      </c>
      <c r="BU24" s="14">
        <v>18</v>
      </c>
      <c r="BV24" s="14"/>
      <c r="BW24" s="32"/>
      <c r="BX24" s="32">
        <f t="shared" si="28"/>
        <v>18524.9156875</v>
      </c>
      <c r="BY24" s="14">
        <f t="shared" si="29"/>
        <v>18524.9156875</v>
      </c>
      <c r="BZ24" s="14">
        <v>533</v>
      </c>
      <c r="CA24" s="14"/>
      <c r="CB24" s="32"/>
      <c r="CC24" s="32">
        <f t="shared" si="30"/>
        <v>5536.4995375</v>
      </c>
      <c r="CD24" s="14">
        <f t="shared" si="31"/>
        <v>5536.4995375</v>
      </c>
      <c r="CE24" s="14">
        <v>159</v>
      </c>
      <c r="CF24" s="14"/>
      <c r="CG24" s="32"/>
      <c r="CH24" s="32">
        <f t="shared" si="32"/>
        <v>490.91345</v>
      </c>
      <c r="CI24" s="14">
        <f t="shared" si="33"/>
        <v>490.91345</v>
      </c>
      <c r="CJ24" s="14">
        <v>14</v>
      </c>
      <c r="CK24" s="14"/>
      <c r="CL24" s="32"/>
      <c r="CM24" s="32">
        <f t="shared" si="34"/>
        <v>151.941575</v>
      </c>
      <c r="CN24" s="14">
        <f t="shared" si="35"/>
        <v>151.941575</v>
      </c>
      <c r="CO24" s="14">
        <v>4</v>
      </c>
      <c r="CP24" s="14"/>
      <c r="CQ24" s="32"/>
      <c r="CR24" s="32">
        <f t="shared" si="36"/>
        <v>551.8873</v>
      </c>
      <c r="CS24" s="14">
        <f t="shared" si="37"/>
        <v>551.8873</v>
      </c>
      <c r="CT24" s="14">
        <v>16</v>
      </c>
      <c r="CU24" s="14"/>
      <c r="CV24" s="32"/>
      <c r="CW24" s="32">
        <f t="shared" si="38"/>
        <v>1070.4115499999998</v>
      </c>
      <c r="CX24" s="14">
        <f t="shared" si="39"/>
        <v>1070.4115499999998</v>
      </c>
      <c r="CY24" s="14">
        <v>31</v>
      </c>
      <c r="CZ24" s="14"/>
      <c r="DA24" s="32"/>
      <c r="DB24" s="32">
        <f t="shared" si="40"/>
        <v>73394.3958125</v>
      </c>
      <c r="DC24" s="14">
        <f t="shared" si="41"/>
        <v>73394.3958125</v>
      </c>
      <c r="DD24" s="14">
        <v>2112</v>
      </c>
      <c r="DE24" s="14"/>
      <c r="DF24" s="14"/>
      <c r="DG24" s="14"/>
      <c r="DH24" s="14">
        <f t="shared" si="42"/>
        <v>0</v>
      </c>
      <c r="DI24" s="14"/>
    </row>
    <row r="25" spans="1:113" ht="12.75">
      <c r="A25" s="33">
        <v>43191</v>
      </c>
      <c r="C25" s="15">
        <v>2085000</v>
      </c>
      <c r="D25" s="15">
        <v>420250</v>
      </c>
      <c r="E25" s="15">
        <f t="shared" si="0"/>
        <v>2505250</v>
      </c>
      <c r="F25" s="15">
        <f t="shared" si="1"/>
        <v>12228</v>
      </c>
      <c r="G25" s="15">
        <f t="shared" si="2"/>
        <v>6965</v>
      </c>
      <c r="I25" s="15">
        <v>65000</v>
      </c>
      <c r="J25" s="15">
        <v>9375</v>
      </c>
      <c r="K25" s="15">
        <f t="shared" si="3"/>
        <v>74375</v>
      </c>
      <c r="L25" s="15">
        <v>406</v>
      </c>
      <c r="M25" s="15">
        <v>6965</v>
      </c>
      <c r="O25" s="15">
        <v>2020000</v>
      </c>
      <c r="P25" s="15">
        <v>410875</v>
      </c>
      <c r="Q25" s="15">
        <f t="shared" si="4"/>
        <v>2430875</v>
      </c>
      <c r="R25" s="15">
        <f t="shared" si="5"/>
        <v>11822</v>
      </c>
      <c r="T25" s="32">
        <v>1373198</v>
      </c>
      <c r="U25" s="32">
        <v>279313</v>
      </c>
      <c r="V25" s="32">
        <f t="shared" si="6"/>
        <v>1652511</v>
      </c>
      <c r="W25" s="32">
        <v>8037</v>
      </c>
      <c r="Y25" s="14">
        <f t="shared" si="43"/>
        <v>646801.576</v>
      </c>
      <c r="Z25" s="21">
        <f t="shared" si="7"/>
        <v>131561.68195</v>
      </c>
      <c r="AA25" s="14">
        <f t="shared" si="8"/>
        <v>778363.25795</v>
      </c>
      <c r="AB25" s="14">
        <f t="shared" si="9"/>
        <v>3785</v>
      </c>
      <c r="AD25" s="32">
        <f t="shared" si="44"/>
        <v>5827.4980000000005</v>
      </c>
      <c r="AE25" s="21">
        <f t="shared" si="10"/>
        <v>1185.3332875</v>
      </c>
      <c r="AF25" s="32">
        <f t="shared" si="11"/>
        <v>7012.831287500001</v>
      </c>
      <c r="AG25" s="32">
        <v>34</v>
      </c>
      <c r="AI25" s="32">
        <f t="shared" si="45"/>
        <v>24545.221999999998</v>
      </c>
      <c r="AJ25" s="32">
        <f t="shared" si="12"/>
        <v>4992.5832125</v>
      </c>
      <c r="AK25" s="14">
        <f t="shared" si="13"/>
        <v>29537.805212499996</v>
      </c>
      <c r="AL25" s="14">
        <v>144</v>
      </c>
      <c r="AN25" s="32">
        <f t="shared" si="46"/>
        <v>10456.126</v>
      </c>
      <c r="AO25" s="32">
        <f t="shared" si="14"/>
        <v>2126.8122625</v>
      </c>
      <c r="AP25" s="14">
        <f t="shared" si="15"/>
        <v>12582.9382625</v>
      </c>
      <c r="AQ25" s="14">
        <v>61</v>
      </c>
      <c r="AS25" s="42">
        <f t="shared" si="47"/>
        <v>3351.18</v>
      </c>
      <c r="AT25" s="42">
        <f t="shared" si="16"/>
        <v>681.6416249999999</v>
      </c>
      <c r="AU25" s="3">
        <f t="shared" si="17"/>
        <v>4032.8216249999996</v>
      </c>
      <c r="AV25" s="3">
        <v>20</v>
      </c>
      <c r="AW25" s="14"/>
      <c r="AX25" s="32">
        <f t="shared" si="48"/>
        <v>1034.038</v>
      </c>
      <c r="AY25" s="32">
        <f t="shared" si="18"/>
        <v>210.3269125</v>
      </c>
      <c r="AZ25" s="14">
        <f t="shared" si="19"/>
        <v>1244.3649125</v>
      </c>
      <c r="BA25" s="14">
        <v>6</v>
      </c>
      <c r="BB25" s="14"/>
      <c r="BC25" s="32">
        <f t="shared" si="49"/>
        <v>22113.343999999997</v>
      </c>
      <c r="BD25" s="32">
        <f t="shared" si="20"/>
        <v>4497.930799999999</v>
      </c>
      <c r="BE25" s="14">
        <f t="shared" si="21"/>
        <v>26611.274799999996</v>
      </c>
      <c r="BF25" s="14">
        <v>129</v>
      </c>
      <c r="BG25" s="14"/>
      <c r="BH25" s="32">
        <f t="shared" si="50"/>
        <v>386.022</v>
      </c>
      <c r="BI25" s="32">
        <f t="shared" si="22"/>
        <v>78.51821249999999</v>
      </c>
      <c r="BJ25" s="14">
        <f t="shared" si="23"/>
        <v>464.5402125</v>
      </c>
      <c r="BK25" s="14">
        <v>2</v>
      </c>
      <c r="BL25" s="14"/>
      <c r="BM25" s="32">
        <f t="shared" si="51"/>
        <v>85777.68399999998</v>
      </c>
      <c r="BN25" s="32">
        <f t="shared" si="24"/>
        <v>17447.478175</v>
      </c>
      <c r="BO25" s="14">
        <f t="shared" si="25"/>
        <v>103225.16217499998</v>
      </c>
      <c r="BP25" s="14">
        <v>502</v>
      </c>
      <c r="BQ25" s="14"/>
      <c r="BR25" s="32">
        <f t="shared" si="52"/>
        <v>3048.5840000000003</v>
      </c>
      <c r="BS25" s="32">
        <f t="shared" si="26"/>
        <v>620.09255</v>
      </c>
      <c r="BT25" s="14">
        <f t="shared" si="27"/>
        <v>3668.67655</v>
      </c>
      <c r="BU25" s="14">
        <v>18</v>
      </c>
      <c r="BV25" s="14"/>
      <c r="BW25" s="32">
        <f t="shared" si="53"/>
        <v>91074.73</v>
      </c>
      <c r="BX25" s="32">
        <f t="shared" si="28"/>
        <v>18524.9156875</v>
      </c>
      <c r="BY25" s="14">
        <f t="shared" si="29"/>
        <v>109599.6456875</v>
      </c>
      <c r="BZ25" s="14">
        <v>533</v>
      </c>
      <c r="CA25" s="14"/>
      <c r="CB25" s="32">
        <f t="shared" si="54"/>
        <v>27219.298000000003</v>
      </c>
      <c r="CC25" s="32">
        <f t="shared" si="30"/>
        <v>5536.4995375</v>
      </c>
      <c r="CD25" s="14">
        <f t="shared" si="31"/>
        <v>32755.797537500002</v>
      </c>
      <c r="CE25" s="14">
        <v>159</v>
      </c>
      <c r="CF25" s="14"/>
      <c r="CG25" s="32">
        <f t="shared" si="55"/>
        <v>2413.496</v>
      </c>
      <c r="CH25" s="32">
        <f t="shared" si="32"/>
        <v>490.91345</v>
      </c>
      <c r="CI25" s="14">
        <f t="shared" si="33"/>
        <v>2904.40945</v>
      </c>
      <c r="CJ25" s="14">
        <v>14</v>
      </c>
      <c r="CK25" s="14"/>
      <c r="CL25" s="32">
        <f t="shared" si="56"/>
        <v>746.9959999999999</v>
      </c>
      <c r="CM25" s="32">
        <f t="shared" si="34"/>
        <v>151.941575</v>
      </c>
      <c r="CN25" s="14">
        <f t="shared" si="35"/>
        <v>898.9375749999999</v>
      </c>
      <c r="CO25" s="14">
        <v>4</v>
      </c>
      <c r="CP25" s="14"/>
      <c r="CQ25" s="32">
        <f t="shared" si="57"/>
        <v>2713.2639999999997</v>
      </c>
      <c r="CR25" s="32">
        <f t="shared" si="36"/>
        <v>551.8873</v>
      </c>
      <c r="CS25" s="14">
        <f t="shared" si="37"/>
        <v>3265.1512999999995</v>
      </c>
      <c r="CT25" s="14">
        <v>16</v>
      </c>
      <c r="CU25" s="14"/>
      <c r="CV25" s="32">
        <f t="shared" si="58"/>
        <v>5262.503999999999</v>
      </c>
      <c r="CW25" s="32">
        <f t="shared" si="38"/>
        <v>1070.4115499999998</v>
      </c>
      <c r="CX25" s="14">
        <f t="shared" si="39"/>
        <v>6332.915549999999</v>
      </c>
      <c r="CY25" s="14">
        <v>31</v>
      </c>
      <c r="CZ25" s="14"/>
      <c r="DA25" s="32">
        <f t="shared" si="59"/>
        <v>360831.59</v>
      </c>
      <c r="DB25" s="32">
        <f t="shared" si="40"/>
        <v>73394.3958125</v>
      </c>
      <c r="DC25" s="14">
        <f t="shared" si="41"/>
        <v>434225.9858125</v>
      </c>
      <c r="DD25" s="14">
        <v>2112</v>
      </c>
      <c r="DE25" s="14"/>
      <c r="DF25" s="14"/>
      <c r="DG25" s="14"/>
      <c r="DH25" s="14">
        <f t="shared" si="42"/>
        <v>0</v>
      </c>
      <c r="DI25" s="14"/>
    </row>
    <row r="26" spans="1:113" ht="12.75">
      <c r="A26" s="33">
        <v>43374</v>
      </c>
      <c r="D26" s="15">
        <v>368125</v>
      </c>
      <c r="E26" s="15">
        <f t="shared" si="0"/>
        <v>368125</v>
      </c>
      <c r="F26" s="15">
        <f t="shared" si="1"/>
        <v>12228</v>
      </c>
      <c r="G26" s="15">
        <f t="shared" si="2"/>
        <v>6965</v>
      </c>
      <c r="I26" s="15"/>
      <c r="J26" s="15">
        <v>7750</v>
      </c>
      <c r="K26" s="15">
        <f t="shared" si="3"/>
        <v>7750</v>
      </c>
      <c r="L26" s="15">
        <v>406</v>
      </c>
      <c r="M26" s="15">
        <v>6965</v>
      </c>
      <c r="O26" s="15"/>
      <c r="P26" s="15">
        <v>360375</v>
      </c>
      <c r="Q26" s="15">
        <f t="shared" si="4"/>
        <v>360375</v>
      </c>
      <c r="R26" s="15">
        <f t="shared" si="5"/>
        <v>11822</v>
      </c>
      <c r="T26" s="32"/>
      <c r="U26" s="32">
        <v>244983</v>
      </c>
      <c r="V26" s="32">
        <f t="shared" si="6"/>
        <v>244983</v>
      </c>
      <c r="W26" s="32">
        <v>8037</v>
      </c>
      <c r="Y26" s="14"/>
      <c r="Z26" s="21">
        <f t="shared" si="7"/>
        <v>115391.64255</v>
      </c>
      <c r="AA26" s="14">
        <f t="shared" si="8"/>
        <v>115391.64255</v>
      </c>
      <c r="AB26" s="14">
        <f t="shared" si="9"/>
        <v>3785</v>
      </c>
      <c r="AD26" s="32"/>
      <c r="AE26" s="21">
        <f t="shared" si="10"/>
        <v>1039.6458375</v>
      </c>
      <c r="AF26" s="32">
        <f t="shared" si="11"/>
        <v>1039.6458375</v>
      </c>
      <c r="AG26" s="32">
        <v>34</v>
      </c>
      <c r="AI26" s="32"/>
      <c r="AJ26" s="32">
        <f t="shared" si="12"/>
        <v>4378.9526625</v>
      </c>
      <c r="AK26" s="14">
        <f t="shared" si="13"/>
        <v>4378.9526625</v>
      </c>
      <c r="AL26" s="14">
        <v>144</v>
      </c>
      <c r="AN26" s="32"/>
      <c r="AO26" s="32">
        <f t="shared" si="14"/>
        <v>1865.4091125</v>
      </c>
      <c r="AP26" s="14">
        <f t="shared" si="15"/>
        <v>1865.4091125</v>
      </c>
      <c r="AQ26" s="14">
        <v>61</v>
      </c>
      <c r="AS26" s="42"/>
      <c r="AT26" s="42">
        <f t="shared" si="16"/>
        <v>597.862125</v>
      </c>
      <c r="AU26" s="3">
        <f t="shared" si="17"/>
        <v>597.862125</v>
      </c>
      <c r="AV26" s="3">
        <v>20</v>
      </c>
      <c r="AW26" s="14"/>
      <c r="AX26" s="32"/>
      <c r="AY26" s="32">
        <f t="shared" si="18"/>
        <v>184.47596249999998</v>
      </c>
      <c r="AZ26" s="14">
        <f t="shared" si="19"/>
        <v>184.47596249999998</v>
      </c>
      <c r="BA26" s="14">
        <v>6</v>
      </c>
      <c r="BB26" s="14"/>
      <c r="BC26" s="32"/>
      <c r="BD26" s="32">
        <f t="shared" si="20"/>
        <v>3945.0971999999997</v>
      </c>
      <c r="BE26" s="14">
        <f t="shared" si="21"/>
        <v>3945.0971999999997</v>
      </c>
      <c r="BF26" s="14">
        <v>129</v>
      </c>
      <c r="BG26" s="14"/>
      <c r="BH26" s="32"/>
      <c r="BI26" s="32">
        <f t="shared" si="22"/>
        <v>68.8676625</v>
      </c>
      <c r="BJ26" s="14">
        <f t="shared" si="23"/>
        <v>68.8676625</v>
      </c>
      <c r="BK26" s="14">
        <v>2</v>
      </c>
      <c r="BL26" s="14"/>
      <c r="BM26" s="32"/>
      <c r="BN26" s="32">
        <f t="shared" si="24"/>
        <v>15303.036075</v>
      </c>
      <c r="BO26" s="14">
        <f t="shared" si="25"/>
        <v>15303.036075</v>
      </c>
      <c r="BP26" s="14">
        <v>502</v>
      </c>
      <c r="BQ26" s="14"/>
      <c r="BR26" s="32"/>
      <c r="BS26" s="32">
        <f t="shared" si="26"/>
        <v>543.8779499999999</v>
      </c>
      <c r="BT26" s="14">
        <f t="shared" si="27"/>
        <v>543.8779499999999</v>
      </c>
      <c r="BU26" s="14">
        <v>18</v>
      </c>
      <c r="BV26" s="14"/>
      <c r="BW26" s="32"/>
      <c r="BX26" s="32">
        <f t="shared" si="28"/>
        <v>16248.047437500001</v>
      </c>
      <c r="BY26" s="14">
        <f t="shared" si="29"/>
        <v>16248.047437500001</v>
      </c>
      <c r="BZ26" s="14">
        <v>533</v>
      </c>
      <c r="CA26" s="14"/>
      <c r="CB26" s="32"/>
      <c r="CC26" s="32">
        <f t="shared" si="30"/>
        <v>4856.0170875</v>
      </c>
      <c r="CD26" s="14">
        <f t="shared" si="31"/>
        <v>4856.0170875</v>
      </c>
      <c r="CE26" s="14">
        <v>159</v>
      </c>
      <c r="CF26" s="14"/>
      <c r="CG26" s="32"/>
      <c r="CH26" s="32">
        <f t="shared" si="32"/>
        <v>430.57605</v>
      </c>
      <c r="CI26" s="14">
        <f t="shared" si="33"/>
        <v>430.57605</v>
      </c>
      <c r="CJ26" s="14">
        <v>14</v>
      </c>
      <c r="CK26" s="14"/>
      <c r="CL26" s="32"/>
      <c r="CM26" s="32">
        <f t="shared" si="34"/>
        <v>133.266675</v>
      </c>
      <c r="CN26" s="14">
        <f t="shared" si="35"/>
        <v>133.266675</v>
      </c>
      <c r="CO26" s="14">
        <v>4</v>
      </c>
      <c r="CP26" s="14"/>
      <c r="CQ26" s="32"/>
      <c r="CR26" s="32">
        <f t="shared" si="36"/>
        <v>484.0557</v>
      </c>
      <c r="CS26" s="14">
        <f t="shared" si="37"/>
        <v>484.0557</v>
      </c>
      <c r="CT26" s="14">
        <v>16</v>
      </c>
      <c r="CU26" s="14"/>
      <c r="CV26" s="32"/>
      <c r="CW26" s="32">
        <f t="shared" si="38"/>
        <v>938.84895</v>
      </c>
      <c r="CX26" s="14">
        <f t="shared" si="39"/>
        <v>938.84895</v>
      </c>
      <c r="CY26" s="14">
        <v>31</v>
      </c>
      <c r="CZ26" s="14"/>
      <c r="DA26" s="32"/>
      <c r="DB26" s="32">
        <f t="shared" si="40"/>
        <v>64373.6060625</v>
      </c>
      <c r="DC26" s="14">
        <f t="shared" si="41"/>
        <v>64373.6060625</v>
      </c>
      <c r="DD26" s="14">
        <v>2112</v>
      </c>
      <c r="DE26" s="14"/>
      <c r="DF26" s="14"/>
      <c r="DG26" s="14"/>
      <c r="DH26" s="14">
        <f t="shared" si="42"/>
        <v>0</v>
      </c>
      <c r="DI26" s="14"/>
    </row>
    <row r="27" spans="1:113" s="34" customFormat="1" ht="12.75">
      <c r="A27" s="33">
        <v>43556</v>
      </c>
      <c r="C27" s="21">
        <v>2185000</v>
      </c>
      <c r="D27" s="21">
        <v>368125</v>
      </c>
      <c r="E27" s="15">
        <f t="shared" si="0"/>
        <v>2553125</v>
      </c>
      <c r="F27" s="15">
        <f t="shared" si="1"/>
        <v>12228</v>
      </c>
      <c r="G27" s="15">
        <f t="shared" si="2"/>
        <v>6965</v>
      </c>
      <c r="H27" s="32"/>
      <c r="I27" s="21">
        <v>65000</v>
      </c>
      <c r="J27" s="21">
        <v>7750</v>
      </c>
      <c r="K27" s="15">
        <f t="shared" si="3"/>
        <v>72750</v>
      </c>
      <c r="L27" s="15">
        <v>406</v>
      </c>
      <c r="M27" s="15">
        <v>6965</v>
      </c>
      <c r="N27" s="32"/>
      <c r="O27" s="21">
        <v>2120000</v>
      </c>
      <c r="P27" s="21">
        <v>360375</v>
      </c>
      <c r="Q27" s="15">
        <f t="shared" si="4"/>
        <v>2480375</v>
      </c>
      <c r="R27" s="15">
        <f t="shared" si="5"/>
        <v>11822</v>
      </c>
      <c r="S27" s="32"/>
      <c r="T27" s="32">
        <v>1441179</v>
      </c>
      <c r="U27" s="32">
        <v>244983</v>
      </c>
      <c r="V27" s="32">
        <f t="shared" si="6"/>
        <v>1686162</v>
      </c>
      <c r="W27" s="32">
        <v>8037</v>
      </c>
      <c r="X27" s="32"/>
      <c r="Y27" s="14">
        <f t="shared" si="43"/>
        <v>678821.456</v>
      </c>
      <c r="Z27" s="21">
        <f t="shared" si="7"/>
        <v>115391.64255</v>
      </c>
      <c r="AA27" s="14">
        <f t="shared" si="8"/>
        <v>794213.09855</v>
      </c>
      <c r="AB27" s="14">
        <f t="shared" si="9"/>
        <v>3785</v>
      </c>
      <c r="AC27" s="32"/>
      <c r="AD27" s="32">
        <f t="shared" si="44"/>
        <v>6115.988</v>
      </c>
      <c r="AE27" s="21">
        <f t="shared" si="10"/>
        <v>1039.6458375</v>
      </c>
      <c r="AF27" s="32">
        <f t="shared" si="11"/>
        <v>7155.6338375000005</v>
      </c>
      <c r="AG27" s="32">
        <v>34</v>
      </c>
      <c r="AI27" s="32">
        <f t="shared" si="45"/>
        <v>25760.332</v>
      </c>
      <c r="AJ27" s="32">
        <f t="shared" si="12"/>
        <v>4378.9526625</v>
      </c>
      <c r="AK27" s="14">
        <f t="shared" si="13"/>
        <v>30139.2846625</v>
      </c>
      <c r="AL27" s="14">
        <v>144</v>
      </c>
      <c r="AN27" s="32">
        <f t="shared" si="46"/>
        <v>10973.756000000001</v>
      </c>
      <c r="AO27" s="32">
        <f t="shared" si="14"/>
        <v>1865.4091125</v>
      </c>
      <c r="AP27" s="14">
        <f t="shared" si="15"/>
        <v>12839.1651125</v>
      </c>
      <c r="AQ27" s="14">
        <v>61</v>
      </c>
      <c r="AS27" s="42">
        <f t="shared" si="47"/>
        <v>3517.08</v>
      </c>
      <c r="AT27" s="42">
        <f t="shared" si="16"/>
        <v>597.862125</v>
      </c>
      <c r="AU27" s="3">
        <f t="shared" si="17"/>
        <v>4114.942125</v>
      </c>
      <c r="AV27" s="3">
        <v>20</v>
      </c>
      <c r="AW27" s="32"/>
      <c r="AX27" s="32">
        <f t="shared" si="48"/>
        <v>1085.228</v>
      </c>
      <c r="AY27" s="32">
        <f t="shared" si="18"/>
        <v>184.47596249999998</v>
      </c>
      <c r="AZ27" s="14">
        <f t="shared" si="19"/>
        <v>1269.7039625</v>
      </c>
      <c r="BA27" s="14">
        <v>6</v>
      </c>
      <c r="BB27" s="32"/>
      <c r="BC27" s="32">
        <f t="shared" si="49"/>
        <v>23208.064</v>
      </c>
      <c r="BD27" s="32">
        <f t="shared" si="20"/>
        <v>3945.0971999999997</v>
      </c>
      <c r="BE27" s="14">
        <f t="shared" si="21"/>
        <v>27153.1612</v>
      </c>
      <c r="BF27" s="14">
        <v>129</v>
      </c>
      <c r="BG27" s="32"/>
      <c r="BH27" s="32">
        <f t="shared" si="50"/>
        <v>405.13199999999995</v>
      </c>
      <c r="BI27" s="32">
        <f t="shared" si="22"/>
        <v>68.8676625</v>
      </c>
      <c r="BJ27" s="14">
        <f t="shared" si="23"/>
        <v>473.99966249999994</v>
      </c>
      <c r="BK27" s="14">
        <v>2</v>
      </c>
      <c r="BL27" s="32"/>
      <c r="BM27" s="32">
        <f t="shared" si="51"/>
        <v>90024.10399999999</v>
      </c>
      <c r="BN27" s="32">
        <f t="shared" si="24"/>
        <v>15303.036075</v>
      </c>
      <c r="BO27" s="14">
        <f t="shared" si="25"/>
        <v>105327.14007499999</v>
      </c>
      <c r="BP27" s="14">
        <v>502</v>
      </c>
      <c r="BQ27" s="32"/>
      <c r="BR27" s="32">
        <f t="shared" si="52"/>
        <v>3199.5040000000004</v>
      </c>
      <c r="BS27" s="32">
        <f t="shared" si="26"/>
        <v>543.8779499999999</v>
      </c>
      <c r="BT27" s="14">
        <f t="shared" si="27"/>
        <v>3743.3819500000004</v>
      </c>
      <c r="BU27" s="14">
        <v>18</v>
      </c>
      <c r="BV27" s="32"/>
      <c r="BW27" s="32">
        <f t="shared" si="53"/>
        <v>95583.38</v>
      </c>
      <c r="BX27" s="32">
        <f t="shared" si="28"/>
        <v>16248.047437500001</v>
      </c>
      <c r="BY27" s="14">
        <f t="shared" si="29"/>
        <v>111831.42743750001</v>
      </c>
      <c r="BZ27" s="14">
        <v>533</v>
      </c>
      <c r="CA27" s="32"/>
      <c r="CB27" s="32">
        <f t="shared" si="54"/>
        <v>28566.788000000004</v>
      </c>
      <c r="CC27" s="32">
        <f t="shared" si="30"/>
        <v>4856.0170875</v>
      </c>
      <c r="CD27" s="14">
        <f t="shared" si="31"/>
        <v>33422.805087500004</v>
      </c>
      <c r="CE27" s="14">
        <v>159</v>
      </c>
      <c r="CF27" s="32"/>
      <c r="CG27" s="32">
        <f t="shared" si="55"/>
        <v>2532.976</v>
      </c>
      <c r="CH27" s="32">
        <f t="shared" si="32"/>
        <v>430.57605</v>
      </c>
      <c r="CI27" s="14">
        <f t="shared" si="33"/>
        <v>2963.5520500000002</v>
      </c>
      <c r="CJ27" s="14">
        <v>14</v>
      </c>
      <c r="CK27" s="32"/>
      <c r="CL27" s="32">
        <f t="shared" si="56"/>
        <v>783.9759999999999</v>
      </c>
      <c r="CM27" s="32">
        <f t="shared" si="34"/>
        <v>133.266675</v>
      </c>
      <c r="CN27" s="14">
        <f t="shared" si="35"/>
        <v>917.2426749999998</v>
      </c>
      <c r="CO27" s="14">
        <v>4</v>
      </c>
      <c r="CP27" s="32"/>
      <c r="CQ27" s="32">
        <f t="shared" si="57"/>
        <v>2847.584</v>
      </c>
      <c r="CR27" s="32">
        <f t="shared" si="36"/>
        <v>484.0557</v>
      </c>
      <c r="CS27" s="14">
        <f t="shared" si="37"/>
        <v>3331.6396999999997</v>
      </c>
      <c r="CT27" s="14">
        <v>16</v>
      </c>
      <c r="CU27" s="32"/>
      <c r="CV27" s="32">
        <f t="shared" si="58"/>
        <v>5523.023999999999</v>
      </c>
      <c r="CW27" s="32">
        <f t="shared" si="38"/>
        <v>938.84895</v>
      </c>
      <c r="CX27" s="14">
        <f t="shared" si="39"/>
        <v>6461.872949999999</v>
      </c>
      <c r="CY27" s="14">
        <v>31</v>
      </c>
      <c r="CZ27" s="32"/>
      <c r="DA27" s="32">
        <f t="shared" si="59"/>
        <v>378694.54</v>
      </c>
      <c r="DB27" s="32">
        <f t="shared" si="40"/>
        <v>64373.6060625</v>
      </c>
      <c r="DC27" s="14">
        <f t="shared" si="41"/>
        <v>443068.14606249996</v>
      </c>
      <c r="DD27" s="14">
        <v>2112</v>
      </c>
      <c r="DE27" s="32"/>
      <c r="DF27" s="14"/>
      <c r="DG27" s="14"/>
      <c r="DH27" s="14">
        <f t="shared" si="42"/>
        <v>0</v>
      </c>
      <c r="DI27" s="14"/>
    </row>
    <row r="28" spans="1:113" s="34" customFormat="1" ht="12.75">
      <c r="A28" s="33">
        <v>43739</v>
      </c>
      <c r="C28" s="21"/>
      <c r="D28" s="21">
        <v>313500</v>
      </c>
      <c r="E28" s="15">
        <f t="shared" si="0"/>
        <v>313500</v>
      </c>
      <c r="F28" s="15">
        <f t="shared" si="1"/>
        <v>12228</v>
      </c>
      <c r="G28" s="15">
        <f t="shared" si="2"/>
        <v>6965</v>
      </c>
      <c r="H28" s="32"/>
      <c r="I28" s="21"/>
      <c r="J28" s="21">
        <v>6125</v>
      </c>
      <c r="K28" s="15">
        <f t="shared" si="3"/>
        <v>6125</v>
      </c>
      <c r="L28" s="15">
        <v>406</v>
      </c>
      <c r="M28" s="15">
        <v>6965</v>
      </c>
      <c r="N28" s="32"/>
      <c r="O28" s="21"/>
      <c r="P28" s="21">
        <v>307375</v>
      </c>
      <c r="Q28" s="15">
        <f t="shared" si="4"/>
        <v>307375</v>
      </c>
      <c r="R28" s="15">
        <f t="shared" si="5"/>
        <v>11822</v>
      </c>
      <c r="S28" s="32"/>
      <c r="T28" s="32"/>
      <c r="U28" s="32">
        <v>208954</v>
      </c>
      <c r="V28" s="32">
        <f t="shared" si="6"/>
        <v>208954</v>
      </c>
      <c r="W28" s="32">
        <v>8037</v>
      </c>
      <c r="X28" s="32"/>
      <c r="Y28" s="14"/>
      <c r="Z28" s="21">
        <f t="shared" si="7"/>
        <v>98421.10615</v>
      </c>
      <c r="AA28" s="14">
        <f t="shared" si="8"/>
        <v>98421.10615</v>
      </c>
      <c r="AB28" s="14">
        <f t="shared" si="9"/>
        <v>3785</v>
      </c>
      <c r="AC28" s="32"/>
      <c r="AD28" s="32"/>
      <c r="AE28" s="21">
        <f t="shared" si="10"/>
        <v>886.7461375</v>
      </c>
      <c r="AF28" s="32">
        <f t="shared" si="11"/>
        <v>886.7461375</v>
      </c>
      <c r="AG28" s="32">
        <v>34</v>
      </c>
      <c r="AI28" s="32"/>
      <c r="AJ28" s="32">
        <f t="shared" si="12"/>
        <v>3734.9443625</v>
      </c>
      <c r="AK28" s="14">
        <f t="shared" si="13"/>
        <v>3734.9443625</v>
      </c>
      <c r="AL28" s="14">
        <v>144</v>
      </c>
      <c r="AN28" s="32"/>
      <c r="AO28" s="32">
        <f t="shared" si="14"/>
        <v>1591.0652125000001</v>
      </c>
      <c r="AP28" s="14">
        <f t="shared" si="15"/>
        <v>1591.0652125000001</v>
      </c>
      <c r="AQ28" s="14">
        <v>61</v>
      </c>
      <c r="AS28" s="42"/>
      <c r="AT28" s="42">
        <f t="shared" si="16"/>
        <v>509.93512499999997</v>
      </c>
      <c r="AU28" s="3">
        <f t="shared" si="17"/>
        <v>509.93512499999997</v>
      </c>
      <c r="AV28" s="3">
        <v>20</v>
      </c>
      <c r="AW28" s="32"/>
      <c r="AX28" s="32"/>
      <c r="AY28" s="32">
        <f t="shared" si="18"/>
        <v>157.3452625</v>
      </c>
      <c r="AZ28" s="14">
        <f t="shared" si="19"/>
        <v>157.3452625</v>
      </c>
      <c r="BA28" s="14">
        <v>6</v>
      </c>
      <c r="BB28" s="32"/>
      <c r="BC28" s="32"/>
      <c r="BD28" s="32">
        <f t="shared" si="20"/>
        <v>3364.8956</v>
      </c>
      <c r="BE28" s="14">
        <f t="shared" si="21"/>
        <v>3364.8956</v>
      </c>
      <c r="BF28" s="14">
        <v>129</v>
      </c>
      <c r="BG28" s="32"/>
      <c r="BH28" s="32"/>
      <c r="BI28" s="32">
        <f t="shared" si="22"/>
        <v>58.7393625</v>
      </c>
      <c r="BJ28" s="14">
        <f t="shared" si="23"/>
        <v>58.7393625</v>
      </c>
      <c r="BK28" s="14">
        <v>2</v>
      </c>
      <c r="BL28" s="32"/>
      <c r="BM28" s="32"/>
      <c r="BN28" s="32">
        <f t="shared" si="24"/>
        <v>13052.433475</v>
      </c>
      <c r="BO28" s="14">
        <f t="shared" si="25"/>
        <v>13052.433475</v>
      </c>
      <c r="BP28" s="14">
        <v>502</v>
      </c>
      <c r="BQ28" s="32"/>
      <c r="BR28" s="32"/>
      <c r="BS28" s="32">
        <f t="shared" si="26"/>
        <v>463.89034999999996</v>
      </c>
      <c r="BT28" s="14">
        <f t="shared" si="27"/>
        <v>463.89034999999996</v>
      </c>
      <c r="BU28" s="14">
        <v>18</v>
      </c>
      <c r="BV28" s="32"/>
      <c r="BW28" s="32"/>
      <c r="BX28" s="32">
        <f t="shared" si="28"/>
        <v>13858.462937500002</v>
      </c>
      <c r="BY28" s="14">
        <f t="shared" si="29"/>
        <v>13858.462937500002</v>
      </c>
      <c r="BZ28" s="14">
        <v>533</v>
      </c>
      <c r="CA28" s="32"/>
      <c r="CB28" s="32"/>
      <c r="CC28" s="32">
        <f t="shared" si="30"/>
        <v>4141.8473875</v>
      </c>
      <c r="CD28" s="14">
        <f t="shared" si="31"/>
        <v>4141.8473875</v>
      </c>
      <c r="CE28" s="14">
        <v>159</v>
      </c>
      <c r="CF28" s="32"/>
      <c r="CG28" s="32"/>
      <c r="CH28" s="32">
        <f t="shared" si="32"/>
        <v>367.25165</v>
      </c>
      <c r="CI28" s="14">
        <f t="shared" si="33"/>
        <v>367.25165</v>
      </c>
      <c r="CJ28" s="14">
        <v>14</v>
      </c>
      <c r="CK28" s="32"/>
      <c r="CL28" s="32"/>
      <c r="CM28" s="32">
        <f t="shared" si="34"/>
        <v>113.66727499999999</v>
      </c>
      <c r="CN28" s="14">
        <f t="shared" si="35"/>
        <v>113.66727499999999</v>
      </c>
      <c r="CO28" s="14">
        <v>4</v>
      </c>
      <c r="CP28" s="32"/>
      <c r="CQ28" s="32"/>
      <c r="CR28" s="32">
        <f t="shared" si="36"/>
        <v>412.8661</v>
      </c>
      <c r="CS28" s="14">
        <f t="shared" si="37"/>
        <v>412.8661</v>
      </c>
      <c r="CT28" s="14">
        <v>16</v>
      </c>
      <c r="CU28" s="32"/>
      <c r="CV28" s="32"/>
      <c r="CW28" s="32">
        <f t="shared" si="38"/>
        <v>800.7733499999999</v>
      </c>
      <c r="CX28" s="14">
        <f t="shared" si="39"/>
        <v>800.7733499999999</v>
      </c>
      <c r="CY28" s="14">
        <v>31</v>
      </c>
      <c r="CZ28" s="32"/>
      <c r="DA28" s="32"/>
      <c r="DB28" s="32">
        <f t="shared" si="40"/>
        <v>54906.2425625</v>
      </c>
      <c r="DC28" s="14">
        <f t="shared" si="41"/>
        <v>54906.2425625</v>
      </c>
      <c r="DD28" s="14">
        <v>2112</v>
      </c>
      <c r="DE28" s="32"/>
      <c r="DF28" s="14"/>
      <c r="DG28" s="14"/>
      <c r="DH28" s="14">
        <f t="shared" si="42"/>
        <v>0</v>
      </c>
      <c r="DI28" s="14"/>
    </row>
    <row r="29" spans="1:113" s="34" customFormat="1" ht="12.75">
      <c r="A29" s="33">
        <v>43922</v>
      </c>
      <c r="C29" s="21">
        <v>2290000</v>
      </c>
      <c r="D29" s="21">
        <v>313500</v>
      </c>
      <c r="E29" s="15">
        <f t="shared" si="0"/>
        <v>2603500</v>
      </c>
      <c r="F29" s="15">
        <f t="shared" si="1"/>
        <v>12228</v>
      </c>
      <c r="G29" s="15">
        <f t="shared" si="2"/>
        <v>6965</v>
      </c>
      <c r="H29" s="32"/>
      <c r="I29" s="21">
        <v>65000</v>
      </c>
      <c r="J29" s="21">
        <v>6125</v>
      </c>
      <c r="K29" s="15">
        <f t="shared" si="3"/>
        <v>71125</v>
      </c>
      <c r="L29" s="15">
        <v>406</v>
      </c>
      <c r="M29" s="15">
        <v>6965</v>
      </c>
      <c r="N29" s="32"/>
      <c r="O29" s="21">
        <v>2225000</v>
      </c>
      <c r="P29" s="21">
        <v>307375</v>
      </c>
      <c r="Q29" s="15">
        <f t="shared" si="4"/>
        <v>2532375</v>
      </c>
      <c r="R29" s="15">
        <f t="shared" si="5"/>
        <v>11822</v>
      </c>
      <c r="S29" s="32"/>
      <c r="T29" s="32">
        <v>1512558</v>
      </c>
      <c r="U29" s="32">
        <v>208954</v>
      </c>
      <c r="V29" s="32">
        <f t="shared" si="6"/>
        <v>1721512</v>
      </c>
      <c r="W29" s="32">
        <v>8037</v>
      </c>
      <c r="X29" s="32"/>
      <c r="Y29" s="14">
        <f t="shared" si="43"/>
        <v>712442.3300000001</v>
      </c>
      <c r="Z29" s="21">
        <f t="shared" si="7"/>
        <v>98421.10615</v>
      </c>
      <c r="AA29" s="14">
        <f t="shared" si="8"/>
        <v>810863.4361500001</v>
      </c>
      <c r="AB29" s="14">
        <f t="shared" si="9"/>
        <v>3785</v>
      </c>
      <c r="AC29" s="32"/>
      <c r="AD29" s="32">
        <f t="shared" si="44"/>
        <v>6418.9025</v>
      </c>
      <c r="AE29" s="21">
        <f t="shared" si="10"/>
        <v>886.7461375</v>
      </c>
      <c r="AF29" s="32">
        <f t="shared" si="11"/>
        <v>7305.6486375</v>
      </c>
      <c r="AG29" s="32">
        <v>34</v>
      </c>
      <c r="AI29" s="32">
        <f t="shared" si="45"/>
        <v>27036.1975</v>
      </c>
      <c r="AJ29" s="32">
        <f t="shared" si="12"/>
        <v>3734.9443625</v>
      </c>
      <c r="AK29" s="14">
        <f t="shared" si="13"/>
        <v>30771.141862499997</v>
      </c>
      <c r="AL29" s="14">
        <v>144</v>
      </c>
      <c r="AN29" s="32">
        <f t="shared" si="46"/>
        <v>11517.2675</v>
      </c>
      <c r="AO29" s="32">
        <f t="shared" si="14"/>
        <v>1591.0652125000001</v>
      </c>
      <c r="AP29" s="14">
        <f t="shared" si="15"/>
        <v>13108.3327125</v>
      </c>
      <c r="AQ29" s="14">
        <v>61</v>
      </c>
      <c r="AS29" s="42">
        <f t="shared" si="47"/>
        <v>3691.275</v>
      </c>
      <c r="AT29" s="42">
        <f t="shared" si="16"/>
        <v>509.93512499999997</v>
      </c>
      <c r="AU29" s="3">
        <f t="shared" si="17"/>
        <v>4201.210125</v>
      </c>
      <c r="AV29" s="3">
        <v>20</v>
      </c>
      <c r="AW29" s="32"/>
      <c r="AX29" s="32">
        <f t="shared" si="48"/>
        <v>1138.9775</v>
      </c>
      <c r="AY29" s="32">
        <f t="shared" si="18"/>
        <v>157.3452625</v>
      </c>
      <c r="AZ29" s="14">
        <f t="shared" si="19"/>
        <v>1296.3227625</v>
      </c>
      <c r="BA29" s="14">
        <v>6</v>
      </c>
      <c r="BB29" s="32"/>
      <c r="BC29" s="32">
        <f t="shared" si="49"/>
        <v>24357.52</v>
      </c>
      <c r="BD29" s="32">
        <f t="shared" si="20"/>
        <v>3364.8956</v>
      </c>
      <c r="BE29" s="14">
        <f t="shared" si="21"/>
        <v>27722.4156</v>
      </c>
      <c r="BF29" s="14">
        <v>129</v>
      </c>
      <c r="BG29" s="32"/>
      <c r="BH29" s="32">
        <f t="shared" si="50"/>
        <v>425.1975</v>
      </c>
      <c r="BI29" s="32">
        <f t="shared" si="22"/>
        <v>58.7393625</v>
      </c>
      <c r="BJ29" s="14">
        <f t="shared" si="23"/>
        <v>483.93686249999996</v>
      </c>
      <c r="BK29" s="14">
        <v>2</v>
      </c>
      <c r="BL29" s="32"/>
      <c r="BM29" s="32">
        <f t="shared" si="51"/>
        <v>94482.845</v>
      </c>
      <c r="BN29" s="32">
        <f t="shared" si="24"/>
        <v>13052.433475</v>
      </c>
      <c r="BO29" s="14">
        <f t="shared" si="25"/>
        <v>107535.278475</v>
      </c>
      <c r="BP29" s="14">
        <v>502</v>
      </c>
      <c r="BQ29" s="32"/>
      <c r="BR29" s="32">
        <f t="shared" si="52"/>
        <v>3357.97</v>
      </c>
      <c r="BS29" s="32">
        <f t="shared" si="26"/>
        <v>463.89034999999996</v>
      </c>
      <c r="BT29" s="14">
        <f t="shared" si="27"/>
        <v>3821.86035</v>
      </c>
      <c r="BU29" s="14">
        <v>18</v>
      </c>
      <c r="BV29" s="32"/>
      <c r="BW29" s="32">
        <f t="shared" si="53"/>
        <v>100317.4625</v>
      </c>
      <c r="BX29" s="32">
        <f t="shared" si="28"/>
        <v>13858.462937500002</v>
      </c>
      <c r="BY29" s="14">
        <f t="shared" si="29"/>
        <v>114175.9254375</v>
      </c>
      <c r="BZ29" s="14">
        <v>533</v>
      </c>
      <c r="CA29" s="32"/>
      <c r="CB29" s="32">
        <f t="shared" si="54"/>
        <v>29981.6525</v>
      </c>
      <c r="CC29" s="32">
        <f t="shared" si="30"/>
        <v>4141.8473875</v>
      </c>
      <c r="CD29" s="14">
        <f t="shared" si="31"/>
        <v>34123.4998875</v>
      </c>
      <c r="CE29" s="14">
        <v>159</v>
      </c>
      <c r="CF29" s="32"/>
      <c r="CG29" s="32">
        <f t="shared" si="55"/>
        <v>2658.43</v>
      </c>
      <c r="CH29" s="32">
        <f t="shared" si="32"/>
        <v>367.25165</v>
      </c>
      <c r="CI29" s="14">
        <f t="shared" si="33"/>
        <v>3025.68165</v>
      </c>
      <c r="CJ29" s="14">
        <v>14</v>
      </c>
      <c r="CK29" s="32"/>
      <c r="CL29" s="32">
        <f t="shared" si="56"/>
        <v>822.805</v>
      </c>
      <c r="CM29" s="32">
        <f t="shared" si="34"/>
        <v>113.66727499999999</v>
      </c>
      <c r="CN29" s="14">
        <f t="shared" si="35"/>
        <v>936.472275</v>
      </c>
      <c r="CO29" s="14">
        <v>4</v>
      </c>
      <c r="CP29" s="32"/>
      <c r="CQ29" s="32">
        <f t="shared" si="57"/>
        <v>2988.62</v>
      </c>
      <c r="CR29" s="32">
        <f t="shared" si="36"/>
        <v>412.8661</v>
      </c>
      <c r="CS29" s="14">
        <f t="shared" si="37"/>
        <v>3401.4861</v>
      </c>
      <c r="CT29" s="14">
        <v>16</v>
      </c>
      <c r="CU29" s="32"/>
      <c r="CV29" s="32">
        <f t="shared" si="58"/>
        <v>5796.569999999999</v>
      </c>
      <c r="CW29" s="32">
        <f t="shared" si="38"/>
        <v>800.7733499999999</v>
      </c>
      <c r="CX29" s="14">
        <f t="shared" si="39"/>
        <v>6597.343349999999</v>
      </c>
      <c r="CY29" s="14">
        <v>31</v>
      </c>
      <c r="CZ29" s="32"/>
      <c r="DA29" s="32">
        <f t="shared" si="59"/>
        <v>397450.6375</v>
      </c>
      <c r="DB29" s="32">
        <f t="shared" si="40"/>
        <v>54906.2425625</v>
      </c>
      <c r="DC29" s="14">
        <f t="shared" si="41"/>
        <v>452356.8800625</v>
      </c>
      <c r="DD29" s="14">
        <v>2112</v>
      </c>
      <c r="DE29" s="32"/>
      <c r="DF29" s="14"/>
      <c r="DG29" s="14"/>
      <c r="DH29" s="14">
        <f t="shared" si="42"/>
        <v>0</v>
      </c>
      <c r="DI29" s="14"/>
    </row>
    <row r="30" spans="1:113" s="34" customFormat="1" ht="12.75">
      <c r="A30" s="33">
        <v>44105</v>
      </c>
      <c r="C30" s="21"/>
      <c r="D30" s="21">
        <v>256250</v>
      </c>
      <c r="E30" s="15">
        <f t="shared" si="0"/>
        <v>256250</v>
      </c>
      <c r="F30" s="15">
        <f t="shared" si="1"/>
        <v>12228</v>
      </c>
      <c r="G30" s="15">
        <f t="shared" si="2"/>
        <v>6965</v>
      </c>
      <c r="H30" s="32"/>
      <c r="I30" s="21"/>
      <c r="J30" s="21">
        <v>4500</v>
      </c>
      <c r="K30" s="15">
        <f t="shared" si="3"/>
        <v>4500</v>
      </c>
      <c r="L30" s="15">
        <v>406</v>
      </c>
      <c r="M30" s="15">
        <v>6965</v>
      </c>
      <c r="N30" s="32"/>
      <c r="O30" s="21"/>
      <c r="P30" s="21">
        <v>251750</v>
      </c>
      <c r="Q30" s="15">
        <f t="shared" si="4"/>
        <v>251750</v>
      </c>
      <c r="R30" s="15">
        <f t="shared" si="5"/>
        <v>11822</v>
      </c>
      <c r="S30" s="32"/>
      <c r="T30" s="32"/>
      <c r="U30" s="32">
        <v>171140</v>
      </c>
      <c r="V30" s="32">
        <f t="shared" si="6"/>
        <v>171140</v>
      </c>
      <c r="W30" s="32">
        <v>8037</v>
      </c>
      <c r="X30" s="32"/>
      <c r="Y30" s="14"/>
      <c r="Z30" s="21">
        <f t="shared" si="7"/>
        <v>80610.0479</v>
      </c>
      <c r="AA30" s="14">
        <f t="shared" si="8"/>
        <v>80610.0479</v>
      </c>
      <c r="AB30" s="14">
        <f t="shared" si="9"/>
        <v>3785</v>
      </c>
      <c r="AC30" s="32"/>
      <c r="AD30" s="32"/>
      <c r="AE30" s="21">
        <f t="shared" si="10"/>
        <v>726.2735750000002</v>
      </c>
      <c r="AF30" s="32">
        <f t="shared" si="11"/>
        <v>726.2735750000002</v>
      </c>
      <c r="AG30" s="32">
        <v>34</v>
      </c>
      <c r="AI30" s="32"/>
      <c r="AJ30" s="32">
        <f t="shared" si="12"/>
        <v>3059.039425</v>
      </c>
      <c r="AK30" s="14">
        <f t="shared" si="13"/>
        <v>3059.039425</v>
      </c>
      <c r="AL30" s="14">
        <v>144</v>
      </c>
      <c r="AN30" s="32"/>
      <c r="AO30" s="32">
        <f t="shared" si="14"/>
        <v>1303.1335250000002</v>
      </c>
      <c r="AP30" s="14">
        <f t="shared" si="15"/>
        <v>1303.1335250000002</v>
      </c>
      <c r="AQ30" s="14">
        <v>61</v>
      </c>
      <c r="AS30" s="42"/>
      <c r="AT30" s="42">
        <f t="shared" si="16"/>
        <v>417.65324999999996</v>
      </c>
      <c r="AU30" s="3">
        <f t="shared" si="17"/>
        <v>417.65324999999996</v>
      </c>
      <c r="AV30" s="3">
        <v>20</v>
      </c>
      <c r="AW30" s="32"/>
      <c r="AX30" s="32"/>
      <c r="AY30" s="32">
        <f t="shared" si="18"/>
        <v>128.870825</v>
      </c>
      <c r="AZ30" s="14">
        <f t="shared" si="19"/>
        <v>128.870825</v>
      </c>
      <c r="BA30" s="14">
        <v>6</v>
      </c>
      <c r="BB30" s="32"/>
      <c r="BC30" s="32"/>
      <c r="BD30" s="32">
        <f t="shared" si="20"/>
        <v>2755.9575999999997</v>
      </c>
      <c r="BE30" s="14">
        <f t="shared" si="21"/>
        <v>2755.9575999999997</v>
      </c>
      <c r="BF30" s="14">
        <v>129</v>
      </c>
      <c r="BG30" s="32"/>
      <c r="BH30" s="32"/>
      <c r="BI30" s="32">
        <f t="shared" si="22"/>
        <v>48.109424999999995</v>
      </c>
      <c r="BJ30" s="14">
        <f t="shared" si="23"/>
        <v>48.109424999999995</v>
      </c>
      <c r="BK30" s="14">
        <v>2</v>
      </c>
      <c r="BL30" s="32"/>
      <c r="BM30" s="32"/>
      <c r="BN30" s="32">
        <f t="shared" si="24"/>
        <v>10690.36235</v>
      </c>
      <c r="BO30" s="14">
        <f t="shared" si="25"/>
        <v>10690.36235</v>
      </c>
      <c r="BP30" s="14">
        <v>502</v>
      </c>
      <c r="BQ30" s="32"/>
      <c r="BR30" s="32"/>
      <c r="BS30" s="32">
        <f t="shared" si="26"/>
        <v>379.9411</v>
      </c>
      <c r="BT30" s="14">
        <f t="shared" si="27"/>
        <v>379.9411</v>
      </c>
      <c r="BU30" s="14">
        <v>18</v>
      </c>
      <c r="BV30" s="32"/>
      <c r="BW30" s="32"/>
      <c r="BX30" s="32">
        <f t="shared" si="28"/>
        <v>11350.526375</v>
      </c>
      <c r="BY30" s="14">
        <f t="shared" si="29"/>
        <v>11350.526375</v>
      </c>
      <c r="BZ30" s="14">
        <v>533</v>
      </c>
      <c r="CA30" s="32"/>
      <c r="CB30" s="32"/>
      <c r="CC30" s="32">
        <f t="shared" si="30"/>
        <v>3392.3060750000004</v>
      </c>
      <c r="CD30" s="14">
        <f t="shared" si="31"/>
        <v>3392.3060750000004</v>
      </c>
      <c r="CE30" s="14">
        <v>159</v>
      </c>
      <c r="CF30" s="32"/>
      <c r="CG30" s="32"/>
      <c r="CH30" s="32">
        <f t="shared" si="32"/>
        <v>300.7909</v>
      </c>
      <c r="CI30" s="14">
        <f t="shared" si="33"/>
        <v>300.7909</v>
      </c>
      <c r="CJ30" s="14">
        <v>14</v>
      </c>
      <c r="CK30" s="32"/>
      <c r="CL30" s="32"/>
      <c r="CM30" s="32">
        <f t="shared" si="34"/>
        <v>93.09715</v>
      </c>
      <c r="CN30" s="14">
        <f t="shared" si="35"/>
        <v>93.09715</v>
      </c>
      <c r="CO30" s="14">
        <v>4</v>
      </c>
      <c r="CP30" s="32"/>
      <c r="CQ30" s="32"/>
      <c r="CR30" s="32">
        <f t="shared" si="36"/>
        <v>338.1506</v>
      </c>
      <c r="CS30" s="14">
        <f t="shared" si="37"/>
        <v>338.1506</v>
      </c>
      <c r="CT30" s="14">
        <v>16</v>
      </c>
      <c r="CU30" s="32"/>
      <c r="CV30" s="32"/>
      <c r="CW30" s="32">
        <f t="shared" si="38"/>
        <v>655.8590999999999</v>
      </c>
      <c r="CX30" s="14">
        <f t="shared" si="39"/>
        <v>655.8590999999999</v>
      </c>
      <c r="CY30" s="14">
        <v>31</v>
      </c>
      <c r="CZ30" s="32"/>
      <c r="DA30" s="32"/>
      <c r="DB30" s="32">
        <f t="shared" si="40"/>
        <v>44969.976625</v>
      </c>
      <c r="DC30" s="14">
        <f t="shared" si="41"/>
        <v>44969.976625</v>
      </c>
      <c r="DD30" s="14">
        <v>2112</v>
      </c>
      <c r="DE30" s="32"/>
      <c r="DF30" s="14"/>
      <c r="DG30" s="14"/>
      <c r="DH30" s="14">
        <f t="shared" si="42"/>
        <v>0</v>
      </c>
      <c r="DI30" s="14"/>
    </row>
    <row r="31" spans="1:113" s="34" customFormat="1" ht="12.75">
      <c r="A31" s="33">
        <v>44287</v>
      </c>
      <c r="C31" s="21">
        <v>2395000</v>
      </c>
      <c r="D31" s="21">
        <v>256250</v>
      </c>
      <c r="E31" s="15">
        <f t="shared" si="0"/>
        <v>2651250</v>
      </c>
      <c r="F31" s="15">
        <f t="shared" si="1"/>
        <v>12228</v>
      </c>
      <c r="G31" s="15">
        <f t="shared" si="2"/>
        <v>6965</v>
      </c>
      <c r="H31" s="32"/>
      <c r="I31" s="21">
        <v>60000</v>
      </c>
      <c r="J31" s="21">
        <v>4500</v>
      </c>
      <c r="K31" s="15">
        <f t="shared" si="3"/>
        <v>64500</v>
      </c>
      <c r="L31" s="15">
        <v>406</v>
      </c>
      <c r="M31" s="15">
        <v>6965</v>
      </c>
      <c r="N31" s="32"/>
      <c r="O31" s="21">
        <v>2335000</v>
      </c>
      <c r="P31" s="21">
        <v>251750</v>
      </c>
      <c r="Q31" s="15">
        <f t="shared" si="4"/>
        <v>2586750</v>
      </c>
      <c r="R31" s="15">
        <f t="shared" si="5"/>
        <v>11822</v>
      </c>
      <c r="S31" s="32"/>
      <c r="T31" s="32">
        <v>1587336</v>
      </c>
      <c r="U31" s="32">
        <v>171140</v>
      </c>
      <c r="V31" s="32">
        <f t="shared" si="6"/>
        <v>1758476</v>
      </c>
      <c r="W31" s="32">
        <v>8037</v>
      </c>
      <c r="X31" s="32"/>
      <c r="Y31" s="14">
        <f t="shared" si="43"/>
        <v>747664.198</v>
      </c>
      <c r="Z31" s="21">
        <f t="shared" si="7"/>
        <v>80610.0479</v>
      </c>
      <c r="AA31" s="14">
        <f t="shared" si="8"/>
        <v>828274.2459</v>
      </c>
      <c r="AB31" s="14">
        <f t="shared" si="9"/>
        <v>3785</v>
      </c>
      <c r="AC31" s="32"/>
      <c r="AD31" s="32">
        <f t="shared" si="44"/>
        <v>6736.2415</v>
      </c>
      <c r="AE31" s="21">
        <f t="shared" si="10"/>
        <v>726.2735750000002</v>
      </c>
      <c r="AF31" s="32">
        <f t="shared" si="11"/>
        <v>7462.515075</v>
      </c>
      <c r="AG31" s="32">
        <v>34</v>
      </c>
      <c r="AI31" s="32">
        <f t="shared" si="45"/>
        <v>28372.818499999998</v>
      </c>
      <c r="AJ31" s="32">
        <f t="shared" si="12"/>
        <v>3059.039425</v>
      </c>
      <c r="AK31" s="14">
        <f t="shared" si="13"/>
        <v>31431.857924999997</v>
      </c>
      <c r="AL31" s="14">
        <v>144</v>
      </c>
      <c r="AN31" s="32">
        <f t="shared" si="46"/>
        <v>12086.6605</v>
      </c>
      <c r="AO31" s="32">
        <f t="shared" si="14"/>
        <v>1303.1335250000002</v>
      </c>
      <c r="AP31" s="14">
        <f t="shared" si="15"/>
        <v>13389.794025</v>
      </c>
      <c r="AQ31" s="14">
        <v>61</v>
      </c>
      <c r="AS31" s="42">
        <f t="shared" si="47"/>
        <v>3873.765</v>
      </c>
      <c r="AT31" s="42">
        <f t="shared" si="16"/>
        <v>417.65324999999996</v>
      </c>
      <c r="AU31" s="3">
        <f t="shared" si="17"/>
        <v>4291.41825</v>
      </c>
      <c r="AV31" s="3">
        <v>20</v>
      </c>
      <c r="AW31" s="32"/>
      <c r="AX31" s="32">
        <f t="shared" si="48"/>
        <v>1195.2865</v>
      </c>
      <c r="AY31" s="32">
        <f t="shared" si="18"/>
        <v>128.870825</v>
      </c>
      <c r="AZ31" s="14">
        <f t="shared" si="19"/>
        <v>1324.157325</v>
      </c>
      <c r="BA31" s="14">
        <v>6</v>
      </c>
      <c r="BB31" s="32"/>
      <c r="BC31" s="32">
        <f t="shared" si="49"/>
        <v>25561.711999999996</v>
      </c>
      <c r="BD31" s="32">
        <f t="shared" si="20"/>
        <v>2755.9575999999997</v>
      </c>
      <c r="BE31" s="14">
        <f t="shared" si="21"/>
        <v>28317.669599999994</v>
      </c>
      <c r="BF31" s="14">
        <v>129</v>
      </c>
      <c r="BG31" s="32"/>
      <c r="BH31" s="32">
        <f t="shared" si="50"/>
        <v>446.2185</v>
      </c>
      <c r="BI31" s="32">
        <f t="shared" si="22"/>
        <v>48.109424999999995</v>
      </c>
      <c r="BJ31" s="14">
        <f t="shared" si="23"/>
        <v>494.327925</v>
      </c>
      <c r="BK31" s="14">
        <v>2</v>
      </c>
      <c r="BL31" s="32"/>
      <c r="BM31" s="32">
        <f t="shared" si="51"/>
        <v>99153.90699999999</v>
      </c>
      <c r="BN31" s="32">
        <f t="shared" si="24"/>
        <v>10690.36235</v>
      </c>
      <c r="BO31" s="14">
        <f t="shared" si="25"/>
        <v>109844.26934999999</v>
      </c>
      <c r="BP31" s="14">
        <v>502</v>
      </c>
      <c r="BQ31" s="32"/>
      <c r="BR31" s="32">
        <f t="shared" si="52"/>
        <v>3523.982</v>
      </c>
      <c r="BS31" s="32">
        <f t="shared" si="26"/>
        <v>379.9411</v>
      </c>
      <c r="BT31" s="14">
        <f t="shared" si="27"/>
        <v>3903.9231</v>
      </c>
      <c r="BU31" s="14">
        <v>18</v>
      </c>
      <c r="BV31" s="32"/>
      <c r="BW31" s="32">
        <f t="shared" si="53"/>
        <v>105276.9775</v>
      </c>
      <c r="BX31" s="32">
        <f t="shared" si="28"/>
        <v>11350.526375</v>
      </c>
      <c r="BY31" s="14">
        <f t="shared" si="29"/>
        <v>116627.503875</v>
      </c>
      <c r="BZ31" s="14">
        <v>533</v>
      </c>
      <c r="CA31" s="32"/>
      <c r="CB31" s="32">
        <f t="shared" si="54"/>
        <v>31463.891500000005</v>
      </c>
      <c r="CC31" s="32">
        <f t="shared" si="30"/>
        <v>3392.3060750000004</v>
      </c>
      <c r="CD31" s="14">
        <f t="shared" si="31"/>
        <v>34856.197575000006</v>
      </c>
      <c r="CE31" s="14">
        <v>159</v>
      </c>
      <c r="CF31" s="32"/>
      <c r="CG31" s="32">
        <f t="shared" si="55"/>
        <v>2789.8579999999997</v>
      </c>
      <c r="CH31" s="32">
        <f t="shared" si="32"/>
        <v>300.7909</v>
      </c>
      <c r="CI31" s="14">
        <f t="shared" si="33"/>
        <v>3090.6488999999997</v>
      </c>
      <c r="CJ31" s="14">
        <v>14</v>
      </c>
      <c r="CK31" s="32"/>
      <c r="CL31" s="32">
        <f t="shared" si="56"/>
        <v>863.4830000000001</v>
      </c>
      <c r="CM31" s="32">
        <f t="shared" si="34"/>
        <v>93.09715</v>
      </c>
      <c r="CN31" s="14">
        <f t="shared" si="35"/>
        <v>956.58015</v>
      </c>
      <c r="CO31" s="14">
        <v>4</v>
      </c>
      <c r="CP31" s="32"/>
      <c r="CQ31" s="32">
        <f t="shared" si="57"/>
        <v>3136.3720000000003</v>
      </c>
      <c r="CR31" s="32">
        <f t="shared" si="36"/>
        <v>338.1506</v>
      </c>
      <c r="CS31" s="14">
        <f t="shared" si="37"/>
        <v>3474.5226000000002</v>
      </c>
      <c r="CT31" s="14">
        <v>16</v>
      </c>
      <c r="CU31" s="32"/>
      <c r="CV31" s="32">
        <f t="shared" si="58"/>
        <v>6083.142</v>
      </c>
      <c r="CW31" s="32">
        <f t="shared" si="38"/>
        <v>655.8590999999999</v>
      </c>
      <c r="CX31" s="14">
        <f t="shared" si="39"/>
        <v>6739.0010999999995</v>
      </c>
      <c r="CY31" s="14">
        <v>31</v>
      </c>
      <c r="CZ31" s="32"/>
      <c r="DA31" s="32">
        <f t="shared" si="59"/>
        <v>417099.8825</v>
      </c>
      <c r="DB31" s="32">
        <f t="shared" si="40"/>
        <v>44969.976625</v>
      </c>
      <c r="DC31" s="14">
        <f t="shared" si="41"/>
        <v>462069.859125</v>
      </c>
      <c r="DD31" s="14">
        <v>2112</v>
      </c>
      <c r="DE31" s="32"/>
      <c r="DF31" s="14"/>
      <c r="DG31" s="14"/>
      <c r="DH31" s="14">
        <f t="shared" si="42"/>
        <v>0</v>
      </c>
      <c r="DI31" s="14"/>
    </row>
    <row r="32" spans="1:113" s="34" customFormat="1" ht="12.75">
      <c r="A32" s="33">
        <v>44470</v>
      </c>
      <c r="C32" s="21"/>
      <c r="D32" s="21">
        <v>196375</v>
      </c>
      <c r="E32" s="15">
        <f t="shared" si="0"/>
        <v>196375</v>
      </c>
      <c r="F32" s="15">
        <f t="shared" si="1"/>
        <v>12228</v>
      </c>
      <c r="G32" s="15">
        <f t="shared" si="2"/>
        <v>6965</v>
      </c>
      <c r="H32" s="32"/>
      <c r="I32" s="21"/>
      <c r="J32" s="21">
        <v>3000</v>
      </c>
      <c r="K32" s="15">
        <f t="shared" si="3"/>
        <v>3000</v>
      </c>
      <c r="L32" s="15">
        <v>406</v>
      </c>
      <c r="M32" s="15">
        <v>6965</v>
      </c>
      <c r="N32" s="32"/>
      <c r="O32" s="21"/>
      <c r="P32" s="21">
        <v>193375</v>
      </c>
      <c r="Q32" s="15">
        <f t="shared" si="4"/>
        <v>193375</v>
      </c>
      <c r="R32" s="15">
        <f t="shared" si="5"/>
        <v>11822</v>
      </c>
      <c r="S32" s="32"/>
      <c r="T32" s="32"/>
      <c r="U32" s="32">
        <v>131457</v>
      </c>
      <c r="V32" s="32">
        <f t="shared" si="6"/>
        <v>131457</v>
      </c>
      <c r="W32" s="32">
        <v>8037</v>
      </c>
      <c r="X32" s="32"/>
      <c r="Y32" s="14"/>
      <c r="Z32" s="21">
        <f t="shared" si="7"/>
        <v>61918.442950000004</v>
      </c>
      <c r="AA32" s="14">
        <f t="shared" si="8"/>
        <v>61918.442950000004</v>
      </c>
      <c r="AB32" s="14">
        <f t="shared" si="9"/>
        <v>3785</v>
      </c>
      <c r="AC32" s="32"/>
      <c r="AD32" s="32"/>
      <c r="AE32" s="21">
        <f t="shared" si="10"/>
        <v>557.8675375</v>
      </c>
      <c r="AF32" s="32">
        <f t="shared" si="11"/>
        <v>557.8675375</v>
      </c>
      <c r="AG32" s="32">
        <v>34</v>
      </c>
      <c r="AI32" s="32"/>
      <c r="AJ32" s="32">
        <f t="shared" si="12"/>
        <v>2349.7189625</v>
      </c>
      <c r="AK32" s="14">
        <f t="shared" si="13"/>
        <v>2349.7189625</v>
      </c>
      <c r="AL32" s="14">
        <v>144</v>
      </c>
      <c r="AN32" s="32"/>
      <c r="AO32" s="32">
        <f t="shared" si="14"/>
        <v>1000.9670125000001</v>
      </c>
      <c r="AP32" s="14">
        <f t="shared" si="15"/>
        <v>1000.9670125000001</v>
      </c>
      <c r="AQ32" s="14">
        <v>61</v>
      </c>
      <c r="AS32" s="42"/>
      <c r="AT32" s="42">
        <f t="shared" si="16"/>
        <v>320.809125</v>
      </c>
      <c r="AU32" s="3">
        <f t="shared" si="17"/>
        <v>320.809125</v>
      </c>
      <c r="AV32" s="3">
        <v>20</v>
      </c>
      <c r="AW32" s="32"/>
      <c r="AX32" s="32"/>
      <c r="AY32" s="32">
        <f t="shared" si="18"/>
        <v>98.98866249999999</v>
      </c>
      <c r="AZ32" s="14">
        <f t="shared" si="19"/>
        <v>98.98866249999999</v>
      </c>
      <c r="BA32" s="14">
        <v>6</v>
      </c>
      <c r="BB32" s="32"/>
      <c r="BC32" s="32"/>
      <c r="BD32" s="32">
        <f t="shared" si="20"/>
        <v>2116.9148</v>
      </c>
      <c r="BE32" s="14">
        <f t="shared" si="21"/>
        <v>2116.9148</v>
      </c>
      <c r="BF32" s="14">
        <v>129</v>
      </c>
      <c r="BG32" s="32"/>
      <c r="BH32" s="32"/>
      <c r="BI32" s="32">
        <f t="shared" si="22"/>
        <v>36.953962499999996</v>
      </c>
      <c r="BJ32" s="14">
        <f t="shared" si="23"/>
        <v>36.953962499999996</v>
      </c>
      <c r="BK32" s="14">
        <v>2</v>
      </c>
      <c r="BL32" s="32"/>
      <c r="BM32" s="32"/>
      <c r="BN32" s="32">
        <f t="shared" si="24"/>
        <v>8211.514674999999</v>
      </c>
      <c r="BO32" s="14">
        <f t="shared" si="25"/>
        <v>8211.514674999999</v>
      </c>
      <c r="BP32" s="14">
        <v>502</v>
      </c>
      <c r="BQ32" s="32"/>
      <c r="BR32" s="32"/>
      <c r="BS32" s="32">
        <f t="shared" si="26"/>
        <v>291.84155</v>
      </c>
      <c r="BT32" s="14">
        <f t="shared" si="27"/>
        <v>291.84155</v>
      </c>
      <c r="BU32" s="14">
        <v>18</v>
      </c>
      <c r="BV32" s="32"/>
      <c r="BW32" s="32"/>
      <c r="BX32" s="32">
        <f t="shared" si="28"/>
        <v>8718.601937500001</v>
      </c>
      <c r="BY32" s="14">
        <f t="shared" si="29"/>
        <v>8718.601937500001</v>
      </c>
      <c r="BZ32" s="14">
        <v>533</v>
      </c>
      <c r="CA32" s="32"/>
      <c r="CB32" s="32"/>
      <c r="CC32" s="32">
        <f t="shared" si="30"/>
        <v>2605.7087875</v>
      </c>
      <c r="CD32" s="14">
        <f t="shared" si="31"/>
        <v>2605.7087875</v>
      </c>
      <c r="CE32" s="14">
        <v>159</v>
      </c>
      <c r="CF32" s="32"/>
      <c r="CG32" s="32"/>
      <c r="CH32" s="32">
        <f t="shared" si="32"/>
        <v>231.04444999999998</v>
      </c>
      <c r="CI32" s="14">
        <f t="shared" si="33"/>
        <v>231.04444999999998</v>
      </c>
      <c r="CJ32" s="14">
        <v>14</v>
      </c>
      <c r="CK32" s="32"/>
      <c r="CL32" s="32"/>
      <c r="CM32" s="32">
        <f t="shared" si="34"/>
        <v>71.510075</v>
      </c>
      <c r="CN32" s="14">
        <f t="shared" si="35"/>
        <v>71.510075</v>
      </c>
      <c r="CO32" s="14">
        <v>4</v>
      </c>
      <c r="CP32" s="32"/>
      <c r="CQ32" s="32"/>
      <c r="CR32" s="32">
        <f t="shared" si="36"/>
        <v>259.74129999999997</v>
      </c>
      <c r="CS32" s="14">
        <f t="shared" si="37"/>
        <v>259.74129999999997</v>
      </c>
      <c r="CT32" s="14">
        <v>16</v>
      </c>
      <c r="CU32" s="32"/>
      <c r="CV32" s="32"/>
      <c r="CW32" s="32">
        <f t="shared" si="38"/>
        <v>503.78054999999995</v>
      </c>
      <c r="CX32" s="14">
        <f t="shared" si="39"/>
        <v>503.78054999999995</v>
      </c>
      <c r="CY32" s="14">
        <v>31</v>
      </c>
      <c r="CZ32" s="32"/>
      <c r="DA32" s="32"/>
      <c r="DB32" s="32">
        <f t="shared" si="40"/>
        <v>34542.479562500004</v>
      </c>
      <c r="DC32" s="14">
        <f t="shared" si="41"/>
        <v>34542.479562500004</v>
      </c>
      <c r="DD32" s="14">
        <v>2112</v>
      </c>
      <c r="DE32" s="32"/>
      <c r="DF32" s="14"/>
      <c r="DG32" s="14"/>
      <c r="DH32" s="14">
        <f t="shared" si="42"/>
        <v>0</v>
      </c>
      <c r="DI32" s="14"/>
    </row>
    <row r="33" spans="1:113" s="34" customFormat="1" ht="12.75">
      <c r="A33" s="33">
        <v>44652</v>
      </c>
      <c r="C33" s="21">
        <v>2515000</v>
      </c>
      <c r="D33" s="21">
        <v>196375</v>
      </c>
      <c r="E33" s="15">
        <f t="shared" si="0"/>
        <v>2711375</v>
      </c>
      <c r="F33" s="15">
        <f t="shared" si="1"/>
        <v>12228</v>
      </c>
      <c r="G33" s="15">
        <f t="shared" si="2"/>
        <v>6965</v>
      </c>
      <c r="H33" s="32"/>
      <c r="I33" s="21">
        <v>60000</v>
      </c>
      <c r="J33" s="21">
        <v>3000</v>
      </c>
      <c r="K33" s="15">
        <f t="shared" si="3"/>
        <v>63000</v>
      </c>
      <c r="L33" s="15">
        <v>406</v>
      </c>
      <c r="M33" s="15">
        <v>6965</v>
      </c>
      <c r="N33" s="32"/>
      <c r="O33" s="21">
        <v>2455000</v>
      </c>
      <c r="P33" s="21">
        <v>193375</v>
      </c>
      <c r="Q33" s="15">
        <f t="shared" si="4"/>
        <v>2648375</v>
      </c>
      <c r="R33" s="15">
        <f t="shared" si="5"/>
        <v>11822</v>
      </c>
      <c r="S33" s="32"/>
      <c r="T33" s="32">
        <v>1668912</v>
      </c>
      <c r="U33" s="32">
        <v>131457</v>
      </c>
      <c r="V33" s="32">
        <f t="shared" si="6"/>
        <v>1800369</v>
      </c>
      <c r="W33" s="32">
        <v>8037</v>
      </c>
      <c r="X33" s="32"/>
      <c r="Y33" s="14">
        <f t="shared" si="43"/>
        <v>786088.054</v>
      </c>
      <c r="Z33" s="21">
        <f t="shared" si="7"/>
        <v>61918.442950000004</v>
      </c>
      <c r="AA33" s="14">
        <f t="shared" si="8"/>
        <v>848006.4969500001</v>
      </c>
      <c r="AB33" s="14">
        <f t="shared" si="9"/>
        <v>3785</v>
      </c>
      <c r="AC33" s="32"/>
      <c r="AD33" s="32">
        <f t="shared" si="44"/>
        <v>7082.429500000001</v>
      </c>
      <c r="AE33" s="21">
        <f t="shared" si="10"/>
        <v>557.8675375</v>
      </c>
      <c r="AF33" s="32">
        <f t="shared" si="11"/>
        <v>7640.297037500001</v>
      </c>
      <c r="AG33" s="32">
        <v>34</v>
      </c>
      <c r="AI33" s="32">
        <f t="shared" si="45"/>
        <v>29830.9505</v>
      </c>
      <c r="AJ33" s="32">
        <f t="shared" si="12"/>
        <v>2349.7189625</v>
      </c>
      <c r="AK33" s="14">
        <f t="shared" si="13"/>
        <v>32180.6694625</v>
      </c>
      <c r="AL33" s="14">
        <v>144</v>
      </c>
      <c r="AN33" s="32">
        <f t="shared" si="46"/>
        <v>12707.8165</v>
      </c>
      <c r="AO33" s="32">
        <f t="shared" si="14"/>
        <v>1000.9670125000001</v>
      </c>
      <c r="AP33" s="14">
        <f t="shared" si="15"/>
        <v>13708.7835125</v>
      </c>
      <c r="AQ33" s="14">
        <v>61</v>
      </c>
      <c r="AS33" s="42">
        <f t="shared" si="47"/>
        <v>4072.845</v>
      </c>
      <c r="AT33" s="42">
        <f t="shared" si="16"/>
        <v>320.809125</v>
      </c>
      <c r="AU33" s="3">
        <f t="shared" si="17"/>
        <v>4393.654125</v>
      </c>
      <c r="AV33" s="3">
        <v>20</v>
      </c>
      <c r="AW33" s="32"/>
      <c r="AX33" s="32">
        <f t="shared" si="48"/>
        <v>1256.7145</v>
      </c>
      <c r="AY33" s="32">
        <f t="shared" si="18"/>
        <v>98.98866249999999</v>
      </c>
      <c r="AZ33" s="14">
        <f t="shared" si="19"/>
        <v>1355.7031625</v>
      </c>
      <c r="BA33" s="14">
        <v>6</v>
      </c>
      <c r="BB33" s="32"/>
      <c r="BC33" s="32">
        <f t="shared" si="49"/>
        <v>26875.375999999997</v>
      </c>
      <c r="BD33" s="32">
        <f t="shared" si="20"/>
        <v>2116.9148</v>
      </c>
      <c r="BE33" s="14">
        <f t="shared" si="21"/>
        <v>28992.290799999995</v>
      </c>
      <c r="BF33" s="14">
        <v>129</v>
      </c>
      <c r="BG33" s="32"/>
      <c r="BH33" s="32">
        <f t="shared" si="50"/>
        <v>469.15049999999997</v>
      </c>
      <c r="BI33" s="32">
        <f t="shared" si="22"/>
        <v>36.953962499999996</v>
      </c>
      <c r="BJ33" s="14">
        <f t="shared" si="23"/>
        <v>506.10446249999995</v>
      </c>
      <c r="BK33" s="14">
        <v>2</v>
      </c>
      <c r="BL33" s="32"/>
      <c r="BM33" s="32">
        <f t="shared" si="51"/>
        <v>104249.61099999999</v>
      </c>
      <c r="BN33" s="32">
        <f t="shared" si="24"/>
        <v>8211.514674999999</v>
      </c>
      <c r="BO33" s="14">
        <f t="shared" si="25"/>
        <v>112461.12567499999</v>
      </c>
      <c r="BP33" s="14">
        <v>502</v>
      </c>
      <c r="BQ33" s="32"/>
      <c r="BR33" s="32">
        <f t="shared" si="52"/>
        <v>3705.086</v>
      </c>
      <c r="BS33" s="32">
        <f t="shared" si="26"/>
        <v>291.84155</v>
      </c>
      <c r="BT33" s="14">
        <f t="shared" si="27"/>
        <v>3996.92755</v>
      </c>
      <c r="BU33" s="14">
        <v>18</v>
      </c>
      <c r="BV33" s="32"/>
      <c r="BW33" s="32">
        <f t="shared" si="53"/>
        <v>110687.3575</v>
      </c>
      <c r="BX33" s="32">
        <f t="shared" si="28"/>
        <v>8718.601937500001</v>
      </c>
      <c r="BY33" s="14">
        <f t="shared" si="29"/>
        <v>119405.9594375</v>
      </c>
      <c r="BZ33" s="14">
        <v>533</v>
      </c>
      <c r="CA33" s="32"/>
      <c r="CB33" s="32">
        <f t="shared" si="54"/>
        <v>33080.8795</v>
      </c>
      <c r="CC33" s="32">
        <f t="shared" si="30"/>
        <v>2605.7087875</v>
      </c>
      <c r="CD33" s="14">
        <f t="shared" si="31"/>
        <v>35686.5882875</v>
      </c>
      <c r="CE33" s="14">
        <v>159</v>
      </c>
      <c r="CF33" s="32"/>
      <c r="CG33" s="32">
        <f t="shared" si="55"/>
        <v>2933.2340000000004</v>
      </c>
      <c r="CH33" s="32">
        <f t="shared" si="32"/>
        <v>231.04444999999998</v>
      </c>
      <c r="CI33" s="14">
        <f t="shared" si="33"/>
        <v>3164.2784500000002</v>
      </c>
      <c r="CJ33" s="14">
        <v>14</v>
      </c>
      <c r="CK33" s="32"/>
      <c r="CL33" s="32">
        <f t="shared" si="56"/>
        <v>907.8589999999999</v>
      </c>
      <c r="CM33" s="32">
        <f t="shared" si="34"/>
        <v>71.510075</v>
      </c>
      <c r="CN33" s="14">
        <f t="shared" si="35"/>
        <v>979.369075</v>
      </c>
      <c r="CO33" s="14">
        <v>4</v>
      </c>
      <c r="CP33" s="32"/>
      <c r="CQ33" s="32">
        <f t="shared" si="57"/>
        <v>3297.5559999999996</v>
      </c>
      <c r="CR33" s="32">
        <f t="shared" si="36"/>
        <v>259.74129999999997</v>
      </c>
      <c r="CS33" s="14">
        <f t="shared" si="37"/>
        <v>3557.2972999999997</v>
      </c>
      <c r="CT33" s="14">
        <v>16</v>
      </c>
      <c r="CU33" s="32"/>
      <c r="CV33" s="32">
        <f t="shared" si="58"/>
        <v>6395.766</v>
      </c>
      <c r="CW33" s="32">
        <f t="shared" si="38"/>
        <v>503.78054999999995</v>
      </c>
      <c r="CX33" s="14">
        <f t="shared" si="39"/>
        <v>6899.546549999999</v>
      </c>
      <c r="CY33" s="14">
        <v>31</v>
      </c>
      <c r="CZ33" s="32"/>
      <c r="DA33" s="32">
        <f t="shared" si="59"/>
        <v>438535.4225</v>
      </c>
      <c r="DB33" s="32">
        <f t="shared" si="40"/>
        <v>34542.479562500004</v>
      </c>
      <c r="DC33" s="14">
        <f t="shared" si="41"/>
        <v>473077.9020625</v>
      </c>
      <c r="DD33" s="14">
        <v>2112</v>
      </c>
      <c r="DE33" s="32"/>
      <c r="DF33" s="14"/>
      <c r="DG33" s="14"/>
      <c r="DH33" s="14">
        <f t="shared" si="42"/>
        <v>0</v>
      </c>
      <c r="DI33" s="14"/>
    </row>
    <row r="34" spans="1:113" s="34" customFormat="1" ht="12.75">
      <c r="A34" s="33">
        <v>44835</v>
      </c>
      <c r="C34" s="21"/>
      <c r="D34" s="21">
        <v>133500</v>
      </c>
      <c r="E34" s="15">
        <f t="shared" si="0"/>
        <v>133500</v>
      </c>
      <c r="F34" s="15">
        <f t="shared" si="1"/>
        <v>12228</v>
      </c>
      <c r="G34" s="15">
        <f t="shared" si="2"/>
        <v>6965</v>
      </c>
      <c r="H34" s="32"/>
      <c r="I34" s="21"/>
      <c r="J34" s="21">
        <v>1500</v>
      </c>
      <c r="K34" s="15">
        <f t="shared" si="3"/>
        <v>1500</v>
      </c>
      <c r="L34" s="15">
        <v>406</v>
      </c>
      <c r="M34" s="15">
        <v>6965</v>
      </c>
      <c r="N34" s="32"/>
      <c r="O34" s="21"/>
      <c r="P34" s="21">
        <v>132000</v>
      </c>
      <c r="Q34" s="15">
        <f t="shared" si="4"/>
        <v>132000</v>
      </c>
      <c r="R34" s="15">
        <f t="shared" si="5"/>
        <v>11822</v>
      </c>
      <c r="S34" s="32"/>
      <c r="T34" s="32"/>
      <c r="U34" s="32">
        <v>89734</v>
      </c>
      <c r="V34" s="32">
        <f t="shared" si="6"/>
        <v>89734</v>
      </c>
      <c r="W34" s="32">
        <v>8037</v>
      </c>
      <c r="X34" s="32"/>
      <c r="Y34" s="14"/>
      <c r="Z34" s="21">
        <f t="shared" si="7"/>
        <v>42266.24160000001</v>
      </c>
      <c r="AA34" s="14">
        <f t="shared" si="8"/>
        <v>42266.24160000001</v>
      </c>
      <c r="AB34" s="14">
        <f t="shared" si="9"/>
        <v>3785</v>
      </c>
      <c r="AC34" s="32"/>
      <c r="AD34" s="32"/>
      <c r="AE34" s="21">
        <f t="shared" si="10"/>
        <v>380.8068</v>
      </c>
      <c r="AF34" s="32">
        <f t="shared" si="11"/>
        <v>380.8068</v>
      </c>
      <c r="AG34" s="32">
        <v>34</v>
      </c>
      <c r="AI34" s="32"/>
      <c r="AJ34" s="32">
        <f t="shared" si="12"/>
        <v>1603.9451999999999</v>
      </c>
      <c r="AK34" s="14">
        <f t="shared" si="13"/>
        <v>1603.9451999999999</v>
      </c>
      <c r="AL34" s="14">
        <v>144</v>
      </c>
      <c r="AN34" s="32"/>
      <c r="AO34" s="32">
        <f t="shared" si="14"/>
        <v>683.2716</v>
      </c>
      <c r="AP34" s="14">
        <f t="shared" si="15"/>
        <v>683.2716</v>
      </c>
      <c r="AQ34" s="14">
        <v>61</v>
      </c>
      <c r="AS34" s="42"/>
      <c r="AT34" s="42">
        <f t="shared" si="16"/>
        <v>218.988</v>
      </c>
      <c r="AU34" s="3">
        <f t="shared" si="17"/>
        <v>218.988</v>
      </c>
      <c r="AV34" s="3">
        <v>20</v>
      </c>
      <c r="AW34" s="32"/>
      <c r="AX34" s="32"/>
      <c r="AY34" s="32">
        <f t="shared" si="18"/>
        <v>67.5708</v>
      </c>
      <c r="AZ34" s="14">
        <f t="shared" si="19"/>
        <v>67.5708</v>
      </c>
      <c r="BA34" s="14">
        <v>6</v>
      </c>
      <c r="BB34" s="32"/>
      <c r="BC34" s="32"/>
      <c r="BD34" s="32">
        <f t="shared" si="20"/>
        <v>1445.0303999999999</v>
      </c>
      <c r="BE34" s="14">
        <f t="shared" si="21"/>
        <v>1445.0303999999999</v>
      </c>
      <c r="BF34" s="14">
        <v>129</v>
      </c>
      <c r="BG34" s="32"/>
      <c r="BH34" s="32"/>
      <c r="BI34" s="32">
        <f t="shared" si="22"/>
        <v>25.2252</v>
      </c>
      <c r="BJ34" s="14">
        <f t="shared" si="23"/>
        <v>25.2252</v>
      </c>
      <c r="BK34" s="14">
        <v>2</v>
      </c>
      <c r="BL34" s="32"/>
      <c r="BM34" s="32"/>
      <c r="BN34" s="32">
        <f t="shared" si="24"/>
        <v>5605.274399999999</v>
      </c>
      <c r="BO34" s="14">
        <f t="shared" si="25"/>
        <v>5605.274399999999</v>
      </c>
      <c r="BP34" s="14">
        <v>502</v>
      </c>
      <c r="BQ34" s="32"/>
      <c r="BR34" s="32"/>
      <c r="BS34" s="32">
        <f t="shared" si="26"/>
        <v>199.21439999999998</v>
      </c>
      <c r="BT34" s="14">
        <f t="shared" si="27"/>
        <v>199.21439999999998</v>
      </c>
      <c r="BU34" s="14">
        <v>18</v>
      </c>
      <c r="BV34" s="32"/>
      <c r="BW34" s="32"/>
      <c r="BX34" s="32">
        <f t="shared" si="28"/>
        <v>5951.418000000001</v>
      </c>
      <c r="BY34" s="14">
        <f t="shared" si="29"/>
        <v>5951.418000000001</v>
      </c>
      <c r="BZ34" s="14">
        <v>533</v>
      </c>
      <c r="CA34" s="32"/>
      <c r="CB34" s="32"/>
      <c r="CC34" s="32">
        <f t="shared" si="30"/>
        <v>1778.6868000000002</v>
      </c>
      <c r="CD34" s="14">
        <f t="shared" si="31"/>
        <v>1778.6868000000002</v>
      </c>
      <c r="CE34" s="14">
        <v>159</v>
      </c>
      <c r="CF34" s="32"/>
      <c r="CG34" s="32"/>
      <c r="CH34" s="32">
        <f t="shared" si="32"/>
        <v>157.7136</v>
      </c>
      <c r="CI34" s="14">
        <f t="shared" si="33"/>
        <v>157.7136</v>
      </c>
      <c r="CJ34" s="14">
        <v>14</v>
      </c>
      <c r="CK34" s="32"/>
      <c r="CL34" s="32"/>
      <c r="CM34" s="32">
        <f t="shared" si="34"/>
        <v>48.813599999999994</v>
      </c>
      <c r="CN34" s="14">
        <f t="shared" si="35"/>
        <v>48.813599999999994</v>
      </c>
      <c r="CO34" s="14">
        <v>4</v>
      </c>
      <c r="CP34" s="32"/>
      <c r="CQ34" s="32"/>
      <c r="CR34" s="32">
        <f t="shared" si="36"/>
        <v>177.30239999999998</v>
      </c>
      <c r="CS34" s="14">
        <f t="shared" si="37"/>
        <v>177.30239999999998</v>
      </c>
      <c r="CT34" s="14">
        <v>16</v>
      </c>
      <c r="CU34" s="32"/>
      <c r="CV34" s="32"/>
      <c r="CW34" s="32">
        <f t="shared" si="38"/>
        <v>343.8864</v>
      </c>
      <c r="CX34" s="14">
        <f t="shared" si="39"/>
        <v>343.8864</v>
      </c>
      <c r="CY34" s="14">
        <v>31</v>
      </c>
      <c r="CZ34" s="32"/>
      <c r="DA34" s="32"/>
      <c r="DB34" s="32">
        <f t="shared" si="40"/>
        <v>23579.094000000005</v>
      </c>
      <c r="DC34" s="14">
        <f t="shared" si="41"/>
        <v>23579.094000000005</v>
      </c>
      <c r="DD34" s="14">
        <v>2112</v>
      </c>
      <c r="DE34" s="32"/>
      <c r="DF34" s="14"/>
      <c r="DG34" s="14"/>
      <c r="DH34" s="14">
        <f t="shared" si="42"/>
        <v>0</v>
      </c>
      <c r="DI34" s="14"/>
    </row>
    <row r="35" spans="1:113" s="34" customFormat="1" ht="12.75">
      <c r="A35" s="33">
        <v>45017</v>
      </c>
      <c r="C35" s="21">
        <v>2635000</v>
      </c>
      <c r="D35" s="21">
        <v>133500</v>
      </c>
      <c r="E35" s="15">
        <f t="shared" si="0"/>
        <v>2768500</v>
      </c>
      <c r="F35" s="15">
        <f t="shared" si="1"/>
        <v>12228</v>
      </c>
      <c r="G35" s="15">
        <f t="shared" si="2"/>
        <v>6977</v>
      </c>
      <c r="H35" s="32"/>
      <c r="I35" s="21">
        <v>60000</v>
      </c>
      <c r="J35" s="21">
        <v>1500</v>
      </c>
      <c r="K35" s="15">
        <f t="shared" si="3"/>
        <v>61500</v>
      </c>
      <c r="L35" s="15">
        <v>406</v>
      </c>
      <c r="M35" s="15">
        <v>6977</v>
      </c>
      <c r="N35" s="32"/>
      <c r="O35" s="21">
        <v>2575000</v>
      </c>
      <c r="P35" s="21">
        <v>132000</v>
      </c>
      <c r="Q35" s="15">
        <f t="shared" si="4"/>
        <v>2707000</v>
      </c>
      <c r="R35" s="15">
        <f t="shared" si="5"/>
        <v>11822</v>
      </c>
      <c r="S35" s="32"/>
      <c r="T35" s="32">
        <v>1750488</v>
      </c>
      <c r="U35" s="32">
        <v>89734</v>
      </c>
      <c r="V35" s="32">
        <f t="shared" si="6"/>
        <v>1840222</v>
      </c>
      <c r="W35" s="32">
        <v>8037</v>
      </c>
      <c r="X35" s="32"/>
      <c r="Y35" s="14">
        <f t="shared" si="43"/>
        <v>824511.9099999999</v>
      </c>
      <c r="Z35" s="21">
        <f t="shared" si="7"/>
        <v>42266.24160000001</v>
      </c>
      <c r="AA35" s="14">
        <f t="shared" si="8"/>
        <v>866778.1516</v>
      </c>
      <c r="AB35" s="14">
        <f t="shared" si="9"/>
        <v>3785</v>
      </c>
      <c r="AC35" s="32"/>
      <c r="AD35" s="32">
        <f t="shared" si="44"/>
        <v>7428.617500000001</v>
      </c>
      <c r="AE35" s="21">
        <f t="shared" si="10"/>
        <v>380.8068</v>
      </c>
      <c r="AF35" s="32">
        <f t="shared" si="11"/>
        <v>7809.4243000000015</v>
      </c>
      <c r="AG35" s="32">
        <v>34</v>
      </c>
      <c r="AI35" s="32">
        <f t="shared" si="45"/>
        <v>31289.0825</v>
      </c>
      <c r="AJ35" s="32">
        <f t="shared" si="12"/>
        <v>1603.9451999999999</v>
      </c>
      <c r="AK35" s="14">
        <f t="shared" si="13"/>
        <v>32893.0277</v>
      </c>
      <c r="AL35" s="14">
        <v>144</v>
      </c>
      <c r="AN35" s="32">
        <f t="shared" si="46"/>
        <v>13328.9725</v>
      </c>
      <c r="AO35" s="32">
        <f t="shared" si="14"/>
        <v>683.2716</v>
      </c>
      <c r="AP35" s="14">
        <f t="shared" si="15"/>
        <v>14012.2441</v>
      </c>
      <c r="AQ35" s="14">
        <v>61</v>
      </c>
      <c r="AS35" s="42">
        <f t="shared" si="47"/>
        <v>4271.925</v>
      </c>
      <c r="AT35" s="42">
        <f t="shared" si="16"/>
        <v>218.988</v>
      </c>
      <c r="AU35" s="3">
        <f t="shared" si="17"/>
        <v>4490.9130000000005</v>
      </c>
      <c r="AV35" s="3">
        <v>20</v>
      </c>
      <c r="AW35" s="32"/>
      <c r="AX35" s="32">
        <f t="shared" si="48"/>
        <v>1318.1425</v>
      </c>
      <c r="AY35" s="32">
        <f t="shared" si="18"/>
        <v>67.5708</v>
      </c>
      <c r="AZ35" s="14">
        <f t="shared" si="19"/>
        <v>1385.7133</v>
      </c>
      <c r="BA35" s="14">
        <v>6</v>
      </c>
      <c r="BB35" s="32"/>
      <c r="BC35" s="32">
        <f t="shared" si="49"/>
        <v>28189.04</v>
      </c>
      <c r="BD35" s="32">
        <f t="shared" si="20"/>
        <v>1445.0303999999999</v>
      </c>
      <c r="BE35" s="14">
        <f t="shared" si="21"/>
        <v>29634.0704</v>
      </c>
      <c r="BF35" s="14">
        <v>129</v>
      </c>
      <c r="BG35" s="32"/>
      <c r="BH35" s="32">
        <f t="shared" si="50"/>
        <v>492.0824999999999</v>
      </c>
      <c r="BI35" s="32">
        <f t="shared" si="22"/>
        <v>25.2252</v>
      </c>
      <c r="BJ35" s="14">
        <f t="shared" si="23"/>
        <v>517.3077</v>
      </c>
      <c r="BK35" s="14">
        <v>2</v>
      </c>
      <c r="BL35" s="32"/>
      <c r="BM35" s="32">
        <f t="shared" si="51"/>
        <v>109345.315</v>
      </c>
      <c r="BN35" s="32">
        <f t="shared" si="24"/>
        <v>5605.274399999999</v>
      </c>
      <c r="BO35" s="14">
        <f t="shared" si="25"/>
        <v>114950.5894</v>
      </c>
      <c r="BP35" s="14">
        <v>502</v>
      </c>
      <c r="BQ35" s="32"/>
      <c r="BR35" s="32">
        <f t="shared" si="52"/>
        <v>3886.19</v>
      </c>
      <c r="BS35" s="32">
        <f t="shared" si="26"/>
        <v>199.21439999999998</v>
      </c>
      <c r="BT35" s="14">
        <f t="shared" si="27"/>
        <v>4085.4044</v>
      </c>
      <c r="BU35" s="14">
        <v>18</v>
      </c>
      <c r="BV35" s="32"/>
      <c r="BW35" s="32">
        <f t="shared" si="53"/>
        <v>116097.7375</v>
      </c>
      <c r="BX35" s="32">
        <f t="shared" si="28"/>
        <v>5951.418000000001</v>
      </c>
      <c r="BY35" s="14">
        <f t="shared" si="29"/>
        <v>122049.15550000001</v>
      </c>
      <c r="BZ35" s="14">
        <v>533</v>
      </c>
      <c r="CA35" s="32"/>
      <c r="CB35" s="32">
        <f t="shared" si="54"/>
        <v>34697.8675</v>
      </c>
      <c r="CC35" s="32">
        <f t="shared" si="30"/>
        <v>1778.6868000000002</v>
      </c>
      <c r="CD35" s="14">
        <f t="shared" si="31"/>
        <v>36476.5543</v>
      </c>
      <c r="CE35" s="14">
        <v>159</v>
      </c>
      <c r="CF35" s="32"/>
      <c r="CG35" s="32">
        <f t="shared" si="55"/>
        <v>3076.61</v>
      </c>
      <c r="CH35" s="32">
        <f t="shared" si="32"/>
        <v>157.7136</v>
      </c>
      <c r="CI35" s="14">
        <f t="shared" si="33"/>
        <v>3234.3236</v>
      </c>
      <c r="CJ35" s="14">
        <v>14</v>
      </c>
      <c r="CK35" s="32"/>
      <c r="CL35" s="32">
        <f t="shared" si="56"/>
        <v>952.235</v>
      </c>
      <c r="CM35" s="32">
        <f t="shared" si="34"/>
        <v>48.813599999999994</v>
      </c>
      <c r="CN35" s="14">
        <f t="shared" si="35"/>
        <v>1001.0486</v>
      </c>
      <c r="CO35" s="14">
        <v>4</v>
      </c>
      <c r="CP35" s="32"/>
      <c r="CQ35" s="32">
        <f t="shared" si="57"/>
        <v>3458.74</v>
      </c>
      <c r="CR35" s="32">
        <f t="shared" si="36"/>
        <v>177.30239999999998</v>
      </c>
      <c r="CS35" s="14">
        <f t="shared" si="37"/>
        <v>3636.0424</v>
      </c>
      <c r="CT35" s="14">
        <v>16</v>
      </c>
      <c r="CU35" s="32"/>
      <c r="CV35" s="32">
        <f t="shared" si="58"/>
        <v>6708.3899999999985</v>
      </c>
      <c r="CW35" s="32">
        <f t="shared" si="38"/>
        <v>343.8864</v>
      </c>
      <c r="CX35" s="14">
        <f t="shared" si="39"/>
        <v>7052.276399999999</v>
      </c>
      <c r="CY35" s="14">
        <v>31</v>
      </c>
      <c r="CZ35" s="32"/>
      <c r="DA35" s="32">
        <f t="shared" si="59"/>
        <v>459970.9625</v>
      </c>
      <c r="DB35" s="32">
        <f t="shared" si="40"/>
        <v>23579.094000000005</v>
      </c>
      <c r="DC35" s="14">
        <f t="shared" si="41"/>
        <v>483550.0565</v>
      </c>
      <c r="DD35" s="14">
        <v>2112</v>
      </c>
      <c r="DE35" s="32"/>
      <c r="DF35" s="14"/>
      <c r="DG35" s="14"/>
      <c r="DH35" s="14">
        <f t="shared" si="42"/>
        <v>0</v>
      </c>
      <c r="DI35" s="14"/>
    </row>
    <row r="36" spans="1:113" s="34" customFormat="1" ht="12.75">
      <c r="A36" s="33">
        <v>45200</v>
      </c>
      <c r="C36" s="21"/>
      <c r="D36" s="21">
        <v>67625</v>
      </c>
      <c r="E36" s="15">
        <f t="shared" si="0"/>
        <v>67625</v>
      </c>
      <c r="F36" s="15">
        <f t="shared" si="1"/>
        <v>11815</v>
      </c>
      <c r="G36" s="15">
        <f t="shared" si="2"/>
        <v>0</v>
      </c>
      <c r="H36" s="32"/>
      <c r="I36" s="21"/>
      <c r="J36" s="21"/>
      <c r="K36" s="15"/>
      <c r="L36" s="15"/>
      <c r="M36" s="15"/>
      <c r="N36" s="32"/>
      <c r="O36" s="21"/>
      <c r="P36" s="21">
        <v>67625</v>
      </c>
      <c r="Q36" s="15">
        <f t="shared" si="4"/>
        <v>67625</v>
      </c>
      <c r="R36" s="15">
        <f t="shared" si="5"/>
        <v>11815</v>
      </c>
      <c r="S36" s="32"/>
      <c r="T36" s="32"/>
      <c r="U36" s="32">
        <v>45972</v>
      </c>
      <c r="V36" s="32">
        <f t="shared" si="6"/>
        <v>45972</v>
      </c>
      <c r="W36" s="32">
        <v>8030</v>
      </c>
      <c r="X36" s="32"/>
      <c r="Y36" s="14"/>
      <c r="Z36" s="21">
        <f t="shared" si="7"/>
        <v>21653.44385</v>
      </c>
      <c r="AA36" s="14">
        <f t="shared" si="8"/>
        <v>21653.44385</v>
      </c>
      <c r="AB36" s="14">
        <f t="shared" si="9"/>
        <v>3785</v>
      </c>
      <c r="AC36" s="32"/>
      <c r="AD36" s="32"/>
      <c r="AE36" s="21">
        <f t="shared" si="10"/>
        <v>195.09136250000003</v>
      </c>
      <c r="AF36" s="32">
        <f t="shared" si="11"/>
        <v>195.09136250000003</v>
      </c>
      <c r="AG36" s="32">
        <v>34</v>
      </c>
      <c r="AI36" s="32"/>
      <c r="AJ36" s="32">
        <f t="shared" si="12"/>
        <v>821.7181375</v>
      </c>
      <c r="AK36" s="14">
        <f t="shared" si="13"/>
        <v>821.7181375</v>
      </c>
      <c r="AL36" s="14">
        <v>144</v>
      </c>
      <c r="AN36" s="32"/>
      <c r="AO36" s="32">
        <f t="shared" si="14"/>
        <v>350.04728750000004</v>
      </c>
      <c r="AP36" s="14">
        <f t="shared" si="15"/>
        <v>350.04728750000004</v>
      </c>
      <c r="AQ36" s="14">
        <v>61</v>
      </c>
      <c r="AS36" s="42"/>
      <c r="AT36" s="42">
        <f t="shared" si="16"/>
        <v>112.18987499999999</v>
      </c>
      <c r="AU36" s="3">
        <f t="shared" si="17"/>
        <v>112.18987499999999</v>
      </c>
      <c r="AV36" s="3">
        <v>20</v>
      </c>
      <c r="AW36" s="32"/>
      <c r="AX36" s="32"/>
      <c r="AY36" s="32">
        <f t="shared" si="18"/>
        <v>34.6172375</v>
      </c>
      <c r="AZ36" s="14">
        <f t="shared" si="19"/>
        <v>34.6172375</v>
      </c>
      <c r="BA36" s="14">
        <v>6</v>
      </c>
      <c r="BB36" s="32"/>
      <c r="BC36" s="32"/>
      <c r="BD36" s="32">
        <f t="shared" si="20"/>
        <v>740.3043999999999</v>
      </c>
      <c r="BE36" s="14">
        <f t="shared" si="21"/>
        <v>740.3043999999999</v>
      </c>
      <c r="BF36" s="14">
        <v>129</v>
      </c>
      <c r="BG36" s="32"/>
      <c r="BH36" s="32"/>
      <c r="BI36" s="32">
        <f t="shared" si="22"/>
        <v>12.923137499999998</v>
      </c>
      <c r="BJ36" s="14">
        <f t="shared" si="23"/>
        <v>12.923137499999998</v>
      </c>
      <c r="BK36" s="14">
        <v>2</v>
      </c>
      <c r="BL36" s="32"/>
      <c r="BM36" s="32"/>
      <c r="BN36" s="32">
        <f t="shared" si="24"/>
        <v>2871.6415249999995</v>
      </c>
      <c r="BO36" s="14">
        <f t="shared" si="25"/>
        <v>2871.6415249999995</v>
      </c>
      <c r="BP36" s="14">
        <v>502</v>
      </c>
      <c r="BQ36" s="32"/>
      <c r="BR36" s="32"/>
      <c r="BS36" s="32">
        <f t="shared" si="26"/>
        <v>102.05965</v>
      </c>
      <c r="BT36" s="14">
        <f t="shared" si="27"/>
        <v>102.05965</v>
      </c>
      <c r="BU36" s="14">
        <v>18</v>
      </c>
      <c r="BV36" s="32"/>
      <c r="BW36" s="32"/>
      <c r="BX36" s="32">
        <f t="shared" si="28"/>
        <v>3048.9745625000005</v>
      </c>
      <c r="BY36" s="14">
        <f t="shared" si="29"/>
        <v>3048.9745625000005</v>
      </c>
      <c r="BZ36" s="14">
        <v>533</v>
      </c>
      <c r="CA36" s="32"/>
      <c r="CB36" s="32"/>
      <c r="CC36" s="32">
        <f t="shared" si="30"/>
        <v>911.2401125000001</v>
      </c>
      <c r="CD36" s="14">
        <f t="shared" si="31"/>
        <v>911.2401125000001</v>
      </c>
      <c r="CE36" s="14">
        <v>159</v>
      </c>
      <c r="CF36" s="32"/>
      <c r="CG36" s="32"/>
      <c r="CH36" s="32">
        <f t="shared" si="32"/>
        <v>80.79835</v>
      </c>
      <c r="CI36" s="14">
        <f t="shared" si="33"/>
        <v>80.79835</v>
      </c>
      <c r="CJ36" s="14">
        <v>14</v>
      </c>
      <c r="CK36" s="32"/>
      <c r="CL36" s="32"/>
      <c r="CM36" s="32">
        <f t="shared" si="34"/>
        <v>25.007725</v>
      </c>
      <c r="CN36" s="14">
        <f t="shared" si="35"/>
        <v>25.007725</v>
      </c>
      <c r="CO36" s="14">
        <v>4</v>
      </c>
      <c r="CP36" s="32"/>
      <c r="CQ36" s="32"/>
      <c r="CR36" s="32">
        <f t="shared" si="36"/>
        <v>90.8339</v>
      </c>
      <c r="CS36" s="14">
        <f t="shared" si="37"/>
        <v>90.8339</v>
      </c>
      <c r="CT36" s="14">
        <v>16</v>
      </c>
      <c r="CU36" s="32"/>
      <c r="CV36" s="32"/>
      <c r="CW36" s="32">
        <f t="shared" si="38"/>
        <v>176.17664999999997</v>
      </c>
      <c r="CX36" s="14">
        <f t="shared" si="39"/>
        <v>176.17664999999997</v>
      </c>
      <c r="CY36" s="14">
        <v>31</v>
      </c>
      <c r="CZ36" s="32"/>
      <c r="DA36" s="32"/>
      <c r="DB36" s="32">
        <f t="shared" si="40"/>
        <v>12079.819937500002</v>
      </c>
      <c r="DC36" s="14">
        <f t="shared" si="41"/>
        <v>12079.819937500002</v>
      </c>
      <c r="DD36" s="14">
        <v>2112</v>
      </c>
      <c r="DE36" s="32"/>
      <c r="DF36" s="14"/>
      <c r="DG36" s="14"/>
      <c r="DH36" s="14">
        <f t="shared" si="42"/>
        <v>0</v>
      </c>
      <c r="DI36" s="14"/>
    </row>
    <row r="37" spans="1:113" s="34" customFormat="1" ht="12.75">
      <c r="A37" s="33">
        <v>45383</v>
      </c>
      <c r="C37" s="21">
        <v>2705000</v>
      </c>
      <c r="D37" s="21">
        <v>67625</v>
      </c>
      <c r="E37" s="15">
        <f t="shared" si="0"/>
        <v>2772625</v>
      </c>
      <c r="F37" s="15">
        <f t="shared" si="1"/>
        <v>11824</v>
      </c>
      <c r="G37" s="15">
        <f t="shared" si="2"/>
        <v>0</v>
      </c>
      <c r="H37" s="32"/>
      <c r="I37" s="21"/>
      <c r="J37" s="21"/>
      <c r="K37" s="15"/>
      <c r="L37" s="15"/>
      <c r="M37" s="15"/>
      <c r="N37" s="32"/>
      <c r="O37" s="21">
        <v>2705000</v>
      </c>
      <c r="P37" s="21">
        <v>67625</v>
      </c>
      <c r="Q37" s="15">
        <f t="shared" si="4"/>
        <v>2772625</v>
      </c>
      <c r="R37" s="15">
        <f t="shared" si="5"/>
        <v>11824</v>
      </c>
      <c r="S37" s="32"/>
      <c r="T37" s="32">
        <v>1838862</v>
      </c>
      <c r="U37" s="32">
        <v>45972</v>
      </c>
      <c r="V37" s="32">
        <f t="shared" si="6"/>
        <v>1884834</v>
      </c>
      <c r="W37" s="32">
        <v>8027</v>
      </c>
      <c r="X37" s="32"/>
      <c r="Y37" s="14">
        <f t="shared" si="43"/>
        <v>866137.7540000001</v>
      </c>
      <c r="Z37" s="21">
        <f t="shared" si="7"/>
        <v>21653.44385</v>
      </c>
      <c r="AA37" s="14">
        <f t="shared" si="8"/>
        <v>887791.1978500001</v>
      </c>
      <c r="AB37" s="14">
        <f t="shared" si="9"/>
        <v>3797</v>
      </c>
      <c r="AC37" s="32"/>
      <c r="AD37" s="32">
        <f t="shared" si="44"/>
        <v>7803.654500000001</v>
      </c>
      <c r="AE37" s="21">
        <f t="shared" si="10"/>
        <v>195.09136250000003</v>
      </c>
      <c r="AF37" s="32">
        <f t="shared" si="11"/>
        <v>7998.745862500001</v>
      </c>
      <c r="AG37" s="32">
        <v>37</v>
      </c>
      <c r="AI37" s="32">
        <f t="shared" si="45"/>
        <v>32868.7255</v>
      </c>
      <c r="AJ37" s="32">
        <f t="shared" si="12"/>
        <v>821.7181375</v>
      </c>
      <c r="AK37" s="14">
        <f t="shared" si="13"/>
        <v>33690.4436375</v>
      </c>
      <c r="AL37" s="14">
        <v>133</v>
      </c>
      <c r="AN37" s="32">
        <f t="shared" si="46"/>
        <v>14001.891500000002</v>
      </c>
      <c r="AO37" s="32">
        <f t="shared" si="14"/>
        <v>350.04728750000004</v>
      </c>
      <c r="AP37" s="14">
        <f t="shared" si="15"/>
        <v>14351.938787500001</v>
      </c>
      <c r="AQ37" s="14">
        <v>67</v>
      </c>
      <c r="AS37" s="42">
        <f t="shared" si="47"/>
        <v>4487.595</v>
      </c>
      <c r="AT37" s="42">
        <f t="shared" si="16"/>
        <v>112.18987499999999</v>
      </c>
      <c r="AU37" s="3">
        <f t="shared" si="17"/>
        <v>4599.784875</v>
      </c>
      <c r="AV37" s="3">
        <v>8</v>
      </c>
      <c r="AW37" s="32"/>
      <c r="AX37" s="32">
        <f t="shared" si="48"/>
        <v>1384.6895000000002</v>
      </c>
      <c r="AY37" s="32">
        <f t="shared" si="18"/>
        <v>34.6172375</v>
      </c>
      <c r="AZ37" s="14">
        <f t="shared" si="19"/>
        <v>1419.3067375000003</v>
      </c>
      <c r="BA37" s="14">
        <v>8</v>
      </c>
      <c r="BB37" s="32"/>
      <c r="BC37" s="32">
        <f t="shared" si="49"/>
        <v>29612.175999999996</v>
      </c>
      <c r="BD37" s="32">
        <f t="shared" si="20"/>
        <v>740.3043999999999</v>
      </c>
      <c r="BE37" s="14">
        <f t="shared" si="21"/>
        <v>30352.480399999997</v>
      </c>
      <c r="BF37" s="14">
        <v>142</v>
      </c>
      <c r="BG37" s="32"/>
      <c r="BH37" s="32">
        <f t="shared" si="50"/>
        <v>516.9254999999999</v>
      </c>
      <c r="BI37" s="32">
        <f t="shared" si="22"/>
        <v>12.923137499999998</v>
      </c>
      <c r="BJ37" s="14">
        <f t="shared" si="23"/>
        <v>529.8486375</v>
      </c>
      <c r="BK37" s="14">
        <v>10</v>
      </c>
      <c r="BL37" s="32"/>
      <c r="BM37" s="32">
        <f t="shared" si="51"/>
        <v>114865.661</v>
      </c>
      <c r="BN37" s="32">
        <f t="shared" si="24"/>
        <v>2871.6415249999995</v>
      </c>
      <c r="BO37" s="14">
        <f t="shared" si="25"/>
        <v>117737.30252499999</v>
      </c>
      <c r="BP37" s="14">
        <v>502</v>
      </c>
      <c r="BQ37" s="32"/>
      <c r="BR37" s="32">
        <f t="shared" si="52"/>
        <v>4082.386</v>
      </c>
      <c r="BS37" s="32">
        <f t="shared" si="26"/>
        <v>102.05965</v>
      </c>
      <c r="BT37" s="14">
        <f t="shared" si="27"/>
        <v>4184.44565</v>
      </c>
      <c r="BU37" s="14">
        <v>13</v>
      </c>
      <c r="BV37" s="32"/>
      <c r="BW37" s="32">
        <f t="shared" si="53"/>
        <v>121958.9825</v>
      </c>
      <c r="BX37" s="32">
        <f t="shared" si="28"/>
        <v>3048.9745625000005</v>
      </c>
      <c r="BY37" s="14">
        <f t="shared" si="29"/>
        <v>125007.9570625</v>
      </c>
      <c r="BZ37" s="14">
        <v>533</v>
      </c>
      <c r="CA37" s="32"/>
      <c r="CB37" s="32">
        <f t="shared" si="54"/>
        <v>36449.6045</v>
      </c>
      <c r="CC37" s="32">
        <f t="shared" si="30"/>
        <v>911.2401125000001</v>
      </c>
      <c r="CD37" s="14">
        <f t="shared" si="31"/>
        <v>37360.844612500005</v>
      </c>
      <c r="CE37" s="14">
        <v>169</v>
      </c>
      <c r="CF37" s="32"/>
      <c r="CG37" s="32">
        <f t="shared" si="55"/>
        <v>3231.934</v>
      </c>
      <c r="CH37" s="32">
        <f t="shared" si="32"/>
        <v>80.79835</v>
      </c>
      <c r="CI37" s="14">
        <f t="shared" si="33"/>
        <v>3312.73235</v>
      </c>
      <c r="CJ37" s="14">
        <v>18</v>
      </c>
      <c r="CK37" s="32"/>
      <c r="CL37" s="32">
        <f t="shared" si="56"/>
        <v>1000.309</v>
      </c>
      <c r="CM37" s="32">
        <f t="shared" si="34"/>
        <v>25.007725</v>
      </c>
      <c r="CN37" s="14">
        <f t="shared" si="35"/>
        <v>1025.316725</v>
      </c>
      <c r="CO37" s="14">
        <v>16</v>
      </c>
      <c r="CP37" s="32"/>
      <c r="CQ37" s="32">
        <f t="shared" si="57"/>
        <v>3633.3559999999998</v>
      </c>
      <c r="CR37" s="32">
        <f t="shared" si="36"/>
        <v>90.8339</v>
      </c>
      <c r="CS37" s="14">
        <f t="shared" si="37"/>
        <v>3724.1899</v>
      </c>
      <c r="CT37" s="14">
        <v>12</v>
      </c>
      <c r="CU37" s="32"/>
      <c r="CV37" s="32">
        <f t="shared" si="58"/>
        <v>7047.066</v>
      </c>
      <c r="CW37" s="32">
        <f t="shared" si="38"/>
        <v>176.17664999999997</v>
      </c>
      <c r="CX37" s="14">
        <f t="shared" si="39"/>
        <v>7223.24265</v>
      </c>
      <c r="CY37" s="14">
        <v>25</v>
      </c>
      <c r="CZ37" s="32"/>
      <c r="DA37" s="32">
        <f t="shared" si="59"/>
        <v>483192.7975000001</v>
      </c>
      <c r="DB37" s="32">
        <f t="shared" si="40"/>
        <v>12079.819937500002</v>
      </c>
      <c r="DC37" s="14">
        <f t="shared" si="41"/>
        <v>495272.6174375001</v>
      </c>
      <c r="DD37" s="14">
        <v>2104</v>
      </c>
      <c r="DE37" s="32"/>
      <c r="DF37" s="14"/>
      <c r="DG37" s="14"/>
      <c r="DH37" s="14">
        <f t="shared" si="42"/>
        <v>0</v>
      </c>
      <c r="DI37" s="14"/>
    </row>
    <row r="38" spans="3:113" ht="12.75">
      <c r="C38" s="21"/>
      <c r="D38" s="21"/>
      <c r="E38" s="21"/>
      <c r="F38" s="21"/>
      <c r="G38" s="21"/>
      <c r="I38" s="21"/>
      <c r="J38" s="21"/>
      <c r="K38" s="21"/>
      <c r="L38" s="21"/>
      <c r="M38" s="21"/>
      <c r="O38" s="21"/>
      <c r="P38" s="21"/>
      <c r="Q38" s="21"/>
      <c r="R38" s="21"/>
      <c r="U38" s="32"/>
      <c r="AI38" s="14"/>
      <c r="AJ38" s="14"/>
      <c r="AN38" s="14"/>
      <c r="AO38" s="14"/>
      <c r="AP38" s="14"/>
      <c r="AQ38" s="14"/>
      <c r="AS38" s="3"/>
      <c r="AT38" s="3"/>
      <c r="AU38" s="3"/>
      <c r="AV38" s="3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</row>
    <row r="39" spans="1:113" ht="13.5" thickBot="1">
      <c r="A39" s="12" t="s">
        <v>0</v>
      </c>
      <c r="C39" s="31">
        <f>SUM(C8:C38)</f>
        <v>30470000</v>
      </c>
      <c r="D39" s="31">
        <f>SUM(D8:D38)</f>
        <v>13338628</v>
      </c>
      <c r="E39" s="31">
        <f>SUM(E8:E38)</f>
        <v>43808628</v>
      </c>
      <c r="F39" s="31">
        <f>SUM(F8:F38)</f>
        <v>366023</v>
      </c>
      <c r="G39" s="31">
        <f>SUM(G8:G38)</f>
        <v>195032</v>
      </c>
      <c r="I39" s="31">
        <f>SUM(I8:I38)</f>
        <v>890000</v>
      </c>
      <c r="J39" s="31">
        <f>SUM(J8:J38)</f>
        <v>326252</v>
      </c>
      <c r="K39" s="31">
        <f>SUM(K8:K38)</f>
        <v>1216252</v>
      </c>
      <c r="L39" s="31">
        <f>SUM(L8:L38)</f>
        <v>11368</v>
      </c>
      <c r="M39" s="31">
        <f>SUM(M8:M38)</f>
        <v>195032</v>
      </c>
      <c r="O39" s="31">
        <f>SUM(O8:O38)</f>
        <v>29580000</v>
      </c>
      <c r="P39" s="31">
        <f>SUM(P8:P38)</f>
        <v>13012376</v>
      </c>
      <c r="Q39" s="31">
        <f>SUM(Q8:Q38)</f>
        <v>42592376</v>
      </c>
      <c r="R39" s="31">
        <f>SUM(R8:R38)</f>
        <v>354655</v>
      </c>
      <c r="T39" s="31">
        <f>SUM(T8:T38)</f>
        <v>20108520</v>
      </c>
      <c r="U39" s="31">
        <f>SUM(U8:U38)</f>
        <v>8845832</v>
      </c>
      <c r="V39" s="31">
        <f>SUM(V8:V38)</f>
        <v>28954352</v>
      </c>
      <c r="W39" s="31">
        <f>SUM(W8:W38)</f>
        <v>241093</v>
      </c>
      <c r="Y39" s="31">
        <f>SUM(Y8:Y38)</f>
        <v>9471480.504</v>
      </c>
      <c r="Z39" s="31">
        <f>SUM(Z8:Z38)</f>
        <v>4166547.1803487986</v>
      </c>
      <c r="AA39" s="31">
        <f>SUM(AA8:AA38)</f>
        <v>13638027.684348797</v>
      </c>
      <c r="AB39" s="31">
        <f>SUM(AB8:AB38)</f>
        <v>113562</v>
      </c>
      <c r="AD39" s="31">
        <f>SUM(AD8:AD38)</f>
        <v>85335.34200000002</v>
      </c>
      <c r="AE39" s="31">
        <f>SUM(AE8:AE38)</f>
        <v>37539.4035224</v>
      </c>
      <c r="AF39" s="31">
        <f>SUM(AF8:AF38)</f>
        <v>122874.74552240002</v>
      </c>
      <c r="AG39" s="31">
        <f>SUM(AG8:AG38)</f>
        <v>1023</v>
      </c>
      <c r="AI39" s="31">
        <f>SUM(AI8:AI38)</f>
        <v>359429.538</v>
      </c>
      <c r="AJ39" s="31">
        <f>SUM(AJ8:AJ38)</f>
        <v>158114.68201359993</v>
      </c>
      <c r="AK39" s="31">
        <f>SUM(AK8:AK38)</f>
        <v>517544.2200136</v>
      </c>
      <c r="AL39" s="31">
        <f>SUM(AL8:AL38)</f>
        <v>4309</v>
      </c>
      <c r="AN39" s="31">
        <f>SUM(AN8:AN38)</f>
        <v>153114.954</v>
      </c>
      <c r="AO39" s="31">
        <f>SUM(AO8:AO38)</f>
        <v>67355.9618888</v>
      </c>
      <c r="AP39" s="31">
        <f>SUM(AP8:AP38)</f>
        <v>220470.91588880002</v>
      </c>
      <c r="AQ39" s="31">
        <f>SUM(AQ8:AQ38)</f>
        <v>1836</v>
      </c>
      <c r="AS39" s="31">
        <f>SUM(AS8:AS38)</f>
        <v>49073.22000000001</v>
      </c>
      <c r="AT39" s="31">
        <f>SUM(AT8:AT38)</f>
        <v>21587.531784</v>
      </c>
      <c r="AU39" s="31">
        <f>SUM(AU8:AU38)</f>
        <v>70660.751784</v>
      </c>
      <c r="AV39" s="31">
        <f>SUM(AV8:AV38)</f>
        <v>588</v>
      </c>
      <c r="AW39" s="14"/>
      <c r="AX39" s="31">
        <f>SUM(AX8:AX38)</f>
        <v>15142.002000000002</v>
      </c>
      <c r="AY39" s="31">
        <f>SUM(AY8:AY38)</f>
        <v>6661.035274399998</v>
      </c>
      <c r="AZ39" s="31">
        <f>SUM(AZ8:AZ38)</f>
        <v>21803.037274399994</v>
      </c>
      <c r="BA39" s="31">
        <f>SUM(BA8:BA38)</f>
        <v>182</v>
      </c>
      <c r="BB39" s="14"/>
      <c r="BC39" s="31">
        <f>SUM(BC8:BC38)</f>
        <v>323818.176</v>
      </c>
      <c r="BD39" s="31">
        <f>SUM(BD8:BD38)</f>
        <v>142449.08254719997</v>
      </c>
      <c r="BE39" s="31">
        <f>SUM(BE8:BE38)</f>
        <v>466267.25854720006</v>
      </c>
      <c r="BF39" s="31">
        <f>SUM(BF8:BF38)</f>
        <v>3883</v>
      </c>
      <c r="BG39" s="14"/>
      <c r="BH39" s="31">
        <f>SUM(BH8:BH38)</f>
        <v>5652.737999999999</v>
      </c>
      <c r="BI39" s="31">
        <f>SUM(BI8:BI38)</f>
        <v>2486.6650535999993</v>
      </c>
      <c r="BJ39" s="31">
        <f>SUM(BJ8:BJ38)</f>
        <v>8139.4030536</v>
      </c>
      <c r="BK39" s="31">
        <f>SUM(BK8:BK38)</f>
        <v>68</v>
      </c>
      <c r="BL39" s="14"/>
      <c r="BM39" s="31">
        <f>SUM(BM8:BM38)</f>
        <v>1256091.036</v>
      </c>
      <c r="BN39" s="31">
        <f>SUM(BN8:BN38)</f>
        <v>552560.1369391999</v>
      </c>
      <c r="BO39" s="31">
        <f>SUM(BO8:BO38)</f>
        <v>1808651.1729392002</v>
      </c>
      <c r="BP39" s="31">
        <f>SUM(BP8:BP38)</f>
        <v>15060</v>
      </c>
      <c r="BQ39" s="14"/>
      <c r="BR39" s="31">
        <f>SUM(BR8:BR38)</f>
        <v>44642.136000000006</v>
      </c>
      <c r="BS39" s="31">
        <f>SUM(BS8:BS38)</f>
        <v>19638.277859200003</v>
      </c>
      <c r="BT39" s="31">
        <f>SUM(BT8:BT38)</f>
        <v>64280.413859200016</v>
      </c>
      <c r="BU39" s="31">
        <f>SUM(BU8:BU38)</f>
        <v>535</v>
      </c>
      <c r="BV39" s="14"/>
      <c r="BW39" s="31">
        <f>SUM(BW8:BW38)</f>
        <v>1333658.67</v>
      </c>
      <c r="BX39" s="31">
        <f>SUM(BX8:BX38)</f>
        <v>586682.4905239997</v>
      </c>
      <c r="BY39" s="31">
        <f>SUM(BY8:BY38)</f>
        <v>1920341.1605240002</v>
      </c>
      <c r="BZ39" s="31">
        <f>SUM(BZ8:BZ38)</f>
        <v>15990</v>
      </c>
      <c r="CA39" s="14"/>
      <c r="CB39" s="31">
        <f>SUM(CB8:CB38)</f>
        <v>398587.5420000001</v>
      </c>
      <c r="CC39" s="31">
        <f>SUM(CC8:CC38)</f>
        <v>175340.4653624</v>
      </c>
      <c r="CD39" s="31">
        <f>SUM(CD8:CD38)</f>
        <v>573928.0073624002</v>
      </c>
      <c r="CE39" s="31">
        <f>SUM(CE8:CE38)</f>
        <v>4780</v>
      </c>
      <c r="CF39" s="14"/>
      <c r="CG39" s="31">
        <f>SUM(CG8:CG38)</f>
        <v>35342.184</v>
      </c>
      <c r="CH39" s="31">
        <f>SUM(CH8:CH38)</f>
        <v>15547.186844799995</v>
      </c>
      <c r="CI39" s="31">
        <f>SUM(CI8:CI38)</f>
        <v>50889.370844799996</v>
      </c>
      <c r="CJ39" s="31">
        <f>SUM(CJ8:CJ38)</f>
        <v>424</v>
      </c>
      <c r="CK39" s="14"/>
      <c r="CL39" s="31">
        <f>SUM(CL8:CL38)</f>
        <v>10938.684</v>
      </c>
      <c r="CM39" s="31">
        <f>SUM(CM8:CM38)</f>
        <v>4811.976644800001</v>
      </c>
      <c r="CN39" s="31">
        <f>SUM(CN8:CN38)</f>
        <v>15750.660644799998</v>
      </c>
      <c r="CO39" s="31">
        <f>SUM(CO8:CO38)</f>
        <v>132</v>
      </c>
      <c r="CP39" s="14"/>
      <c r="CQ39" s="31">
        <f>SUM(CQ8:CQ38)</f>
        <v>39731.85599999999</v>
      </c>
      <c r="CR39" s="31">
        <f>SUM(CR8:CR38)</f>
        <v>17478.223443200008</v>
      </c>
      <c r="CS39" s="31">
        <f>SUM(CS8:CS38)</f>
        <v>57210.07944319999</v>
      </c>
      <c r="CT39" s="31">
        <f>SUM(CT8:CT38)</f>
        <v>476</v>
      </c>
      <c r="CU39" s="14"/>
      <c r="CV39" s="31">
        <f>SUM(CV8:CV38)</f>
        <v>77061.816</v>
      </c>
      <c r="CW39" s="31">
        <f>SUM(CW8:CW38)</f>
        <v>33899.841955200005</v>
      </c>
      <c r="CX39" s="31">
        <f>SUM(CX8:CX38)</f>
        <v>110961.65795519999</v>
      </c>
      <c r="CY39" s="31">
        <f>SUM(CY8:CY38)</f>
        <v>924</v>
      </c>
      <c r="CZ39" s="14"/>
      <c r="DA39" s="31">
        <f>SUM(DA8:DA38)</f>
        <v>5283860.610000001</v>
      </c>
      <c r="DB39" s="31">
        <f>SUM(DB8:DB38)</f>
        <v>2324394.218692001</v>
      </c>
      <c r="DC39" s="31">
        <f>SUM(DC8:DC38)</f>
        <v>7608254.828691999</v>
      </c>
      <c r="DD39" s="31">
        <f>SUM(DD8:DD38)</f>
        <v>63352</v>
      </c>
      <c r="DE39" s="14"/>
      <c r="DF39" s="31">
        <f>SUM(DF8:DF38)</f>
        <v>0</v>
      </c>
      <c r="DG39" s="31">
        <f>SUM(DG8:DG38)</f>
        <v>0</v>
      </c>
      <c r="DH39" s="31">
        <f>SUM(DH8:DH38)</f>
        <v>0</v>
      </c>
      <c r="DI39" s="21"/>
    </row>
    <row r="40" spans="40:48" ht="13.5" thickTop="1">
      <c r="AN40" s="14"/>
      <c r="AO40" s="14"/>
      <c r="AP40" s="14"/>
      <c r="AQ40" s="14"/>
      <c r="AS40" s="3"/>
      <c r="AT40" s="3"/>
      <c r="AU40" s="3"/>
      <c r="AV40" s="3"/>
    </row>
    <row r="41" spans="26:48" ht="12.75">
      <c r="Z41" s="14"/>
      <c r="AN41" s="14"/>
      <c r="AO41" s="14"/>
      <c r="AP41" s="14"/>
      <c r="AQ41" s="14"/>
      <c r="AS41" s="3"/>
      <c r="AT41" s="3"/>
      <c r="AU41" s="3"/>
      <c r="AV41" s="3"/>
    </row>
    <row r="42" spans="20:48" ht="12.75">
      <c r="T42" s="14">
        <f>'Academic Project'!P39+'Academic Project'!U39+'Academic Project'!Z39+'Academic Project'!AE39+'Academic Project'!AJ39+'Academic Project'!AO39+'Academic Project'!AT39+'Academic Project'!AY39+'Academic Project'!BD39+'Academic Project'!BI39+'Academic Project'!BN39+'Academic Project'!BS39+'Academic Project'!BX39+'Academic Project'!CC39+'Academic Project'!CH39+'Academic Project'!CM39+'Academic Project'!CR39+'Academic Project'!CW39+'Academic Project'!DB39+'Academic Project'!DG39+'Academic Project'!DL39+'Academic Project'!DQ39+'Academic Project'!DV39+'Academic Project'!EA39+'Academic Project'!EF39+'Academic Project'!EK39+'Academic Project'!EP39+'Academic Project'!EU39</f>
        <v>20108519.496000003</v>
      </c>
      <c r="U42" s="14">
        <f>'Academic Project'!Q39+'Academic Project'!V39+'Academic Project'!AA39+'Academic Project'!AF39+'Academic Project'!AK39+'Academic Project'!AP39+'Academic Project'!AU39+'Academic Project'!AZ39+'Academic Project'!BE39+'Academic Project'!BJ39+'Academic Project'!BO39+'Academic Project'!BT39+'Academic Project'!BY39+'Academic Project'!CD39+'Academic Project'!CI39+'Academic Project'!CN39+'Academic Project'!CS39+'Academic Project'!CX39+'Academic Project'!DC39+'Academic Project'!DH39+'Academic Project'!DM39+'Academic Project'!DR39+'Academic Project'!DW39+'Academic Project'!EB39+'Academic Project'!EG39+'Academic Project'!EL39+'Academic Project'!EQ39+'Academic Project'!EV39</f>
        <v>8845828.8196512</v>
      </c>
      <c r="V42" s="14">
        <f>'Academic Project'!R39+'Academic Project'!W39+'Academic Project'!AB39+'Academic Project'!AG39+'Academic Project'!AL39+'Academic Project'!AQ39+'Academic Project'!AV39+'Academic Project'!BA39+'Academic Project'!BF39+'Academic Project'!BK39+'Academic Project'!BP39+'Academic Project'!BU39+'Academic Project'!BZ39+'Academic Project'!CE39+'Academic Project'!CJ39+'Academic Project'!CO39+'Academic Project'!CT39+'Academic Project'!CY39+'Academic Project'!DD39+'Academic Project'!DI39+'Academic Project'!DN39+'Academic Project'!DS39+'Academic Project'!DX39+'Academic Project'!EC39+'Academic Project'!EH39+'Academic Project'!EM39+'Academic Project'!ER39+'Academic Project'!EW39</f>
        <v>28954348.315651204</v>
      </c>
      <c r="W42" s="14">
        <f>'Academic Project'!S39+'Academic Project'!X39+'Academic Project'!AC39+'Academic Project'!AH39+'Academic Project'!AM39+'Academic Project'!AR39+'Academic Project'!AW39+'Academic Project'!BB39+'Academic Project'!BG39+'Academic Project'!BL39+'Academic Project'!BQ39+'Academic Project'!BV39+'Academic Project'!CA39+'Academic Project'!CF39+'Academic Project'!CK39+'Academic Project'!CP39+'Academic Project'!CU39+'Academic Project'!CZ39+'Academic Project'!DE39+'Academic Project'!DJ39+'Academic Project'!DO39+'Academic Project'!DT39+'Academic Project'!DY39+'Academic Project'!ED39+'Academic Project'!EI39+'Academic Project'!EN39+'Academic Project'!ES39+'Academic Project'!EX39</f>
        <v>241093</v>
      </c>
      <c r="AN42" s="14"/>
      <c r="AO42" s="14"/>
      <c r="AP42" s="14"/>
      <c r="AQ42" s="14"/>
      <c r="AS42" s="3"/>
      <c r="AT42" s="3"/>
      <c r="AU42" s="3"/>
      <c r="AV42" s="3"/>
    </row>
    <row r="43" spans="40:48" ht="12.75">
      <c r="AN43" s="14"/>
      <c r="AO43" s="14"/>
      <c r="AP43" s="14"/>
      <c r="AQ43" s="14"/>
      <c r="AS43" s="3"/>
      <c r="AT43" s="3"/>
      <c r="AU43" s="3"/>
      <c r="AV43" s="3"/>
    </row>
    <row r="44" spans="40:48" ht="12.75">
      <c r="AN44" s="14"/>
      <c r="AO44" s="14"/>
      <c r="AP44" s="14"/>
      <c r="AQ44" s="14"/>
      <c r="AS44" s="3"/>
      <c r="AT44" s="3"/>
      <c r="AU44" s="3"/>
      <c r="AV44" s="3"/>
    </row>
    <row r="45" spans="40:48" ht="12.75">
      <c r="AN45" s="14"/>
      <c r="AO45" s="14"/>
      <c r="AP45" s="14"/>
      <c r="AQ45" s="14"/>
      <c r="AS45" s="3"/>
      <c r="AT45" s="3"/>
      <c r="AU45" s="3"/>
      <c r="AV45" s="3"/>
    </row>
    <row r="46" spans="40:48" ht="12.75">
      <c r="AN46" s="14"/>
      <c r="AO46" s="14"/>
      <c r="AP46" s="14"/>
      <c r="AQ46" s="14"/>
      <c r="AS46" s="3"/>
      <c r="AT46" s="3"/>
      <c r="AU46" s="3"/>
      <c r="AV46" s="3"/>
    </row>
    <row r="47" spans="40:48" ht="12.75">
      <c r="AN47" s="14"/>
      <c r="AO47" s="14"/>
      <c r="AP47" s="14"/>
      <c r="AQ47" s="14"/>
      <c r="AS47" s="3"/>
      <c r="AT47" s="3"/>
      <c r="AU47" s="3"/>
      <c r="AV47" s="3"/>
    </row>
    <row r="48" spans="40:48" ht="12.75">
      <c r="AN48" s="14"/>
      <c r="AO48" s="14"/>
      <c r="AP48" s="14"/>
      <c r="AQ48" s="14"/>
      <c r="AS48" s="3"/>
      <c r="AT48" s="3"/>
      <c r="AU48" s="3"/>
      <c r="AV48" s="3"/>
    </row>
    <row r="49" spans="40:48" ht="12.75">
      <c r="AN49" s="14"/>
      <c r="AO49" s="14"/>
      <c r="AP49" s="14"/>
      <c r="AQ49" s="14"/>
      <c r="AS49" s="3"/>
      <c r="AT49" s="3"/>
      <c r="AU49" s="3"/>
      <c r="AV49" s="3"/>
    </row>
    <row r="50" spans="40:48" ht="12.75">
      <c r="AN50" s="14"/>
      <c r="AO50" s="14"/>
      <c r="AP50" s="14"/>
      <c r="AQ50" s="14"/>
      <c r="AS50" s="3"/>
      <c r="AT50" s="3"/>
      <c r="AU50" s="3"/>
      <c r="AV50" s="3"/>
    </row>
    <row r="51" spans="40:48" ht="12.75">
      <c r="AN51" s="14"/>
      <c r="AO51" s="14"/>
      <c r="AP51" s="14"/>
      <c r="AQ51" s="14"/>
      <c r="AS51" s="3"/>
      <c r="AT51" s="3"/>
      <c r="AU51" s="3"/>
      <c r="AV51" s="3"/>
    </row>
    <row r="52" spans="40:48" ht="12.75">
      <c r="AN52" s="14"/>
      <c r="AO52" s="14"/>
      <c r="AP52" s="14"/>
      <c r="AQ52" s="14"/>
      <c r="AS52" s="3"/>
      <c r="AT52" s="3"/>
      <c r="AU52" s="3"/>
      <c r="AV52" s="3"/>
    </row>
    <row r="53" spans="1:48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AC53"/>
      <c r="AN53" s="14"/>
      <c r="AO53" s="14"/>
      <c r="AP53" s="14"/>
      <c r="AQ53" s="14"/>
      <c r="AS53" s="3"/>
      <c r="AT53" s="3"/>
      <c r="AU53" s="3"/>
      <c r="AV53" s="3"/>
    </row>
    <row r="54" spans="1:48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AC54"/>
      <c r="AN54" s="14"/>
      <c r="AO54" s="14"/>
      <c r="AP54" s="14"/>
      <c r="AQ54" s="14"/>
      <c r="AS54" s="3"/>
      <c r="AT54" s="3"/>
      <c r="AU54" s="3"/>
      <c r="AV54" s="3"/>
    </row>
    <row r="55" spans="1:48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AC55"/>
      <c r="AN55" s="14"/>
      <c r="AO55" s="14"/>
      <c r="AP55" s="14"/>
      <c r="AQ55" s="14"/>
      <c r="AS55" s="3"/>
      <c r="AT55" s="3"/>
      <c r="AU55" s="3"/>
      <c r="AV55" s="3"/>
    </row>
    <row r="56" spans="1:48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AC56"/>
      <c r="AN56" s="14"/>
      <c r="AO56" s="14"/>
      <c r="AP56" s="14"/>
      <c r="AQ56" s="14"/>
      <c r="AS56" s="3"/>
      <c r="AT56" s="3"/>
      <c r="AU56" s="3"/>
      <c r="AV56" s="3"/>
    </row>
    <row r="57" spans="1:48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AC57"/>
      <c r="AN57" s="14"/>
      <c r="AO57" s="14"/>
      <c r="AP57" s="14"/>
      <c r="AQ57" s="14"/>
      <c r="AS57" s="3"/>
      <c r="AT57" s="3"/>
      <c r="AU57" s="3"/>
      <c r="AV57" s="3"/>
    </row>
    <row r="58" spans="1:48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AC58"/>
      <c r="AN58" s="14"/>
      <c r="AO58" s="14"/>
      <c r="AP58" s="14"/>
      <c r="AQ58" s="14"/>
      <c r="AS58" s="3"/>
      <c r="AT58" s="3"/>
      <c r="AU58" s="3"/>
      <c r="AV58" s="3"/>
    </row>
    <row r="59" spans="1:48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AC59"/>
      <c r="AN59" s="14"/>
      <c r="AO59" s="14"/>
      <c r="AP59" s="14"/>
      <c r="AQ59" s="14"/>
      <c r="AS59" s="3"/>
      <c r="AT59" s="3"/>
      <c r="AU59" s="3"/>
      <c r="AV59" s="3"/>
    </row>
    <row r="60" spans="1:48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AC60"/>
      <c r="AN60" s="14"/>
      <c r="AO60" s="14"/>
      <c r="AP60" s="14"/>
      <c r="AQ60" s="14"/>
      <c r="AS60" s="3"/>
      <c r="AT60" s="3"/>
      <c r="AU60" s="3"/>
      <c r="AV60" s="3"/>
    </row>
    <row r="61" spans="1:48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AC61"/>
      <c r="AN61" s="14"/>
      <c r="AO61" s="14"/>
      <c r="AP61" s="14"/>
      <c r="AQ61" s="14"/>
      <c r="AS61" s="3"/>
      <c r="AT61" s="3"/>
      <c r="AU61" s="3"/>
      <c r="AV61" s="3"/>
    </row>
    <row r="62" spans="1:48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AC62"/>
      <c r="AN62" s="14"/>
      <c r="AO62" s="14"/>
      <c r="AP62" s="14"/>
      <c r="AQ62" s="14"/>
      <c r="AS62" s="3"/>
      <c r="AT62" s="3"/>
      <c r="AU62" s="3"/>
      <c r="AV62" s="3"/>
    </row>
    <row r="63" spans="1:48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AC63"/>
      <c r="AN63" s="14"/>
      <c r="AO63" s="14"/>
      <c r="AP63" s="14"/>
      <c r="AQ63" s="14"/>
      <c r="AS63" s="3"/>
      <c r="AT63" s="3"/>
      <c r="AU63" s="3"/>
      <c r="AV63" s="3"/>
    </row>
    <row r="64" spans="1:48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AC64"/>
      <c r="AN64" s="14"/>
      <c r="AO64" s="14"/>
      <c r="AP64" s="14"/>
      <c r="AQ64" s="14"/>
      <c r="AS64" s="3"/>
      <c r="AT64" s="3"/>
      <c r="AU64" s="3"/>
      <c r="AV64" s="3"/>
    </row>
    <row r="65" spans="1:48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AC65"/>
      <c r="AN65" s="14"/>
      <c r="AO65" s="14"/>
      <c r="AP65" s="14"/>
      <c r="AQ65" s="14"/>
      <c r="AS65" s="3"/>
      <c r="AT65" s="3"/>
      <c r="AU65" s="3"/>
      <c r="AV65" s="3"/>
    </row>
    <row r="66" spans="1:48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AC66"/>
      <c r="AN66" s="14"/>
      <c r="AO66" s="14"/>
      <c r="AP66" s="14"/>
      <c r="AQ66" s="14"/>
      <c r="AS66" s="3"/>
      <c r="AT66" s="3"/>
      <c r="AU66" s="3"/>
      <c r="AV66" s="3"/>
    </row>
    <row r="67" spans="1:43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AC67"/>
      <c r="AN67" s="14"/>
      <c r="AO67" s="14"/>
      <c r="AP67" s="14"/>
      <c r="AQ67" s="14"/>
    </row>
    <row r="68" spans="1:43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AC68"/>
      <c r="AN68" s="14"/>
      <c r="AO68" s="14"/>
      <c r="AP68" s="14"/>
      <c r="AQ68" s="14"/>
    </row>
    <row r="69" spans="1:43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AC69"/>
      <c r="AN69" s="14"/>
      <c r="AO69" s="14"/>
      <c r="AP69" s="14"/>
      <c r="AQ69" s="14"/>
    </row>
    <row r="70" spans="1:43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AC70"/>
      <c r="AN70" s="14"/>
      <c r="AO70" s="14"/>
      <c r="AP70" s="14"/>
      <c r="AQ70" s="14"/>
    </row>
    <row r="71" spans="1:43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AC71"/>
      <c r="AN71" s="14"/>
      <c r="AO71" s="14"/>
      <c r="AP71" s="14"/>
      <c r="AQ71" s="14"/>
    </row>
    <row r="72" spans="1:43" ht="12.75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AC72"/>
      <c r="AN72" s="14"/>
      <c r="AO72" s="14"/>
      <c r="AP72" s="14"/>
      <c r="AQ72" s="14"/>
    </row>
    <row r="73" spans="1:43" ht="12.75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AC73"/>
      <c r="AN73" s="14"/>
      <c r="AO73" s="14"/>
      <c r="AP73" s="14"/>
      <c r="AQ73" s="14"/>
    </row>
    <row r="74" spans="1:43" ht="12.75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AC74"/>
      <c r="AN74" s="14"/>
      <c r="AO74" s="14"/>
      <c r="AP74" s="14"/>
      <c r="AQ74" s="14"/>
    </row>
    <row r="75" spans="1:43" ht="12.75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AC75"/>
      <c r="AN75" s="14"/>
      <c r="AO75" s="14"/>
      <c r="AP75" s="14"/>
      <c r="AQ75" s="14"/>
    </row>
    <row r="76" spans="1:43" ht="12.75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AC76"/>
      <c r="AN76" s="14"/>
      <c r="AO76" s="14"/>
      <c r="AP76" s="14"/>
      <c r="AQ76" s="14"/>
    </row>
    <row r="77" spans="1:43" ht="12.75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AC77"/>
      <c r="AN77" s="14"/>
      <c r="AO77" s="14"/>
      <c r="AP77" s="14"/>
      <c r="AQ77" s="14"/>
    </row>
    <row r="78" spans="1:43" ht="12.75">
      <c r="A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AC78"/>
      <c r="AN78" s="14"/>
      <c r="AO78" s="14"/>
      <c r="AP78" s="14"/>
      <c r="AQ78" s="14"/>
    </row>
    <row r="79" spans="1:43" ht="12.75">
      <c r="A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AC79"/>
      <c r="AN79" s="14"/>
      <c r="AO79" s="14"/>
      <c r="AP79" s="14"/>
      <c r="AQ79" s="14"/>
    </row>
  </sheetData>
  <sheetProtection/>
  <printOptions/>
  <pageMargins left="0.5" right="0" top="0.35" bottom="0.25" header="0" footer="0"/>
  <pageSetup horizontalDpi="600" verticalDpi="600" orientation="landscape" scale="88" r:id="rId1"/>
  <headerFooter alignWithMargins="0">
    <oddFooter>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79"/>
  <sheetViews>
    <sheetView zoomScalePageLayoutView="0" workbookViewId="0" topLeftCell="A1">
      <pane xSplit="1" ySplit="7" topLeftCell="EP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V31" sqref="EV31"/>
    </sheetView>
  </sheetViews>
  <sheetFormatPr defaultColWidth="9.140625" defaultRowHeight="12.75"/>
  <cols>
    <col min="1" max="1" width="9.7109375" style="2" customWidth="1"/>
    <col min="2" max="2" width="3.7109375" style="0" customWidth="1"/>
    <col min="3" max="5" width="13.7109375" style="15" hidden="1" customWidth="1"/>
    <col min="6" max="6" width="3.7109375" style="14" hidden="1" customWidth="1"/>
    <col min="7" max="9" width="13.7109375" style="14" hidden="1" customWidth="1"/>
    <col min="10" max="10" width="3.7109375" style="14" hidden="1" customWidth="1"/>
    <col min="11" max="14" width="13.7109375" style="14" hidden="1" customWidth="1"/>
    <col min="15" max="15" width="3.7109375" style="14" hidden="1" customWidth="1"/>
    <col min="16" max="19" width="13.7109375" style="14" customWidth="1"/>
    <col min="20" max="20" width="3.7109375" style="14" customWidth="1"/>
    <col min="21" max="24" width="13.7109375" style="14" customWidth="1"/>
    <col min="25" max="25" width="3.7109375" style="14" customWidth="1"/>
    <col min="26" max="29" width="13.7109375" style="14" customWidth="1"/>
    <col min="30" max="30" width="3.7109375" style="14" customWidth="1"/>
    <col min="31" max="34" width="13.7109375" style="14" customWidth="1"/>
    <col min="35" max="35" width="3.7109375" style="14" customWidth="1"/>
    <col min="36" max="39" width="13.7109375" style="14" customWidth="1"/>
    <col min="40" max="40" width="3.7109375" style="14" customWidth="1"/>
    <col min="41" max="44" width="13.7109375" style="14" customWidth="1"/>
    <col min="45" max="45" width="3.7109375" style="14" customWidth="1"/>
    <col min="46" max="49" width="13.7109375" style="14" customWidth="1"/>
    <col min="50" max="50" width="3.7109375" style="14" customWidth="1"/>
    <col min="51" max="54" width="13.7109375" style="14" customWidth="1"/>
    <col min="55" max="55" width="3.7109375" style="14" customWidth="1"/>
    <col min="56" max="59" width="13.7109375" style="14" customWidth="1"/>
    <col min="60" max="60" width="3.7109375" style="14" customWidth="1"/>
    <col min="61" max="64" width="13.7109375" style="14" customWidth="1"/>
    <col min="65" max="65" width="3.7109375" style="14" customWidth="1"/>
    <col min="66" max="69" width="13.7109375" style="14" customWidth="1"/>
    <col min="70" max="70" width="3.7109375" style="14" customWidth="1"/>
    <col min="71" max="74" width="13.7109375" style="14" customWidth="1"/>
    <col min="75" max="75" width="3.7109375" style="14" customWidth="1"/>
    <col min="76" max="79" width="13.7109375" style="14" customWidth="1"/>
    <col min="80" max="80" width="3.7109375" style="14" customWidth="1"/>
    <col min="81" max="84" width="13.7109375" style="14" customWidth="1"/>
    <col min="85" max="85" width="3.7109375" style="14" customWidth="1"/>
    <col min="86" max="89" width="13.7109375" style="14" customWidth="1"/>
    <col min="90" max="90" width="3.7109375" style="14" customWidth="1"/>
    <col min="91" max="94" width="13.7109375" style="14" customWidth="1"/>
    <col min="95" max="95" width="3.7109375" style="14" customWidth="1"/>
    <col min="96" max="99" width="13.7109375" style="14" customWidth="1"/>
    <col min="100" max="100" width="3.7109375" style="14" customWidth="1"/>
    <col min="101" max="104" width="13.7109375" style="14" customWidth="1"/>
    <col min="105" max="105" width="3.7109375" style="14" customWidth="1"/>
    <col min="106" max="109" width="13.7109375" style="14" customWidth="1"/>
    <col min="110" max="110" width="3.7109375" style="14" customWidth="1"/>
    <col min="111" max="114" width="13.7109375" style="14" customWidth="1"/>
    <col min="115" max="115" width="3.7109375" style="14" customWidth="1"/>
    <col min="116" max="119" width="13.7109375" style="14" customWidth="1"/>
    <col min="120" max="120" width="3.7109375" style="14" customWidth="1"/>
    <col min="121" max="124" width="13.7109375" style="14" customWidth="1"/>
    <col min="125" max="125" width="3.7109375" style="14" customWidth="1"/>
    <col min="126" max="129" width="13.7109375" style="14" customWidth="1"/>
    <col min="130" max="130" width="3.7109375" style="14" customWidth="1"/>
    <col min="131" max="134" width="13.7109375" style="14" customWidth="1"/>
    <col min="135" max="135" width="3.7109375" style="14" customWidth="1"/>
    <col min="136" max="139" width="13.7109375" style="14" customWidth="1"/>
    <col min="140" max="140" width="3.7109375" style="14" customWidth="1"/>
    <col min="141" max="144" width="13.7109375" style="14" customWidth="1"/>
    <col min="145" max="145" width="3.7109375" style="14" customWidth="1"/>
    <col min="146" max="149" width="13.7109375" style="14" customWidth="1"/>
    <col min="150" max="150" width="3.7109375" style="14" customWidth="1"/>
    <col min="151" max="154" width="13.7109375" style="14" customWidth="1"/>
    <col min="155" max="155" width="3.7109375" style="14" customWidth="1"/>
  </cols>
  <sheetData>
    <row r="1" spans="1:151" ht="12.75">
      <c r="A1" s="23"/>
      <c r="B1" s="11"/>
      <c r="C1" s="22"/>
      <c r="D1" s="24"/>
      <c r="G1" s="24" t="s">
        <v>6</v>
      </c>
      <c r="K1" s="24"/>
      <c r="P1" s="24" t="s">
        <v>6</v>
      </c>
      <c r="U1" s="24"/>
      <c r="AE1" s="24" t="s">
        <v>6</v>
      </c>
      <c r="AJ1" s="24"/>
      <c r="AT1" s="24" t="s">
        <v>6</v>
      </c>
      <c r="AY1" s="24"/>
      <c r="BI1" s="24" t="s">
        <v>6</v>
      </c>
      <c r="BN1" s="24"/>
      <c r="BX1" s="24" t="s">
        <v>6</v>
      </c>
      <c r="CC1" s="24"/>
      <c r="CM1" s="24" t="s">
        <v>6</v>
      </c>
      <c r="CR1" s="24"/>
      <c r="DB1" s="24" t="s">
        <v>6</v>
      </c>
      <c r="DG1" s="24"/>
      <c r="DQ1" s="24" t="s">
        <v>6</v>
      </c>
      <c r="DV1" s="24"/>
      <c r="EF1" s="24" t="s">
        <v>6</v>
      </c>
      <c r="EK1" s="24"/>
      <c r="EU1" s="24" t="s">
        <v>6</v>
      </c>
    </row>
    <row r="2" spans="1:151" ht="12.75">
      <c r="A2" s="23"/>
      <c r="B2" s="11"/>
      <c r="C2" s="22"/>
      <c r="D2" s="24"/>
      <c r="G2" s="24" t="s">
        <v>5</v>
      </c>
      <c r="K2" s="24"/>
      <c r="P2" s="24" t="s">
        <v>5</v>
      </c>
      <c r="U2" s="24"/>
      <c r="AE2" s="24" t="s">
        <v>5</v>
      </c>
      <c r="AJ2" s="24"/>
      <c r="AT2" s="24" t="s">
        <v>5</v>
      </c>
      <c r="AY2" s="24"/>
      <c r="BI2" s="24" t="s">
        <v>5</v>
      </c>
      <c r="BN2" s="24"/>
      <c r="BX2" s="24" t="s">
        <v>5</v>
      </c>
      <c r="CC2" s="24"/>
      <c r="CM2" s="24" t="s">
        <v>5</v>
      </c>
      <c r="CR2" s="24"/>
      <c r="DB2" s="24" t="s">
        <v>5</v>
      </c>
      <c r="DG2" s="24"/>
      <c r="DQ2" s="24" t="s">
        <v>5</v>
      </c>
      <c r="DV2" s="24"/>
      <c r="EF2" s="24" t="s">
        <v>5</v>
      </c>
      <c r="EK2" s="24"/>
      <c r="EU2" s="24" t="s">
        <v>5</v>
      </c>
    </row>
    <row r="3" spans="1:151" ht="12.75">
      <c r="A3" s="23"/>
      <c r="B3" s="11"/>
      <c r="C3" s="22"/>
      <c r="D3" s="22"/>
      <c r="G3" s="24" t="s">
        <v>33</v>
      </c>
      <c r="K3" s="24"/>
      <c r="P3" s="24" t="s">
        <v>33</v>
      </c>
      <c r="U3" s="24"/>
      <c r="AE3" s="24" t="s">
        <v>33</v>
      </c>
      <c r="AJ3" s="24"/>
      <c r="AT3" s="24" t="s">
        <v>33</v>
      </c>
      <c r="AY3" s="24"/>
      <c r="BI3" s="24" t="s">
        <v>33</v>
      </c>
      <c r="BN3" s="24"/>
      <c r="BX3" s="24" t="s">
        <v>33</v>
      </c>
      <c r="CC3" s="24"/>
      <c r="CM3" s="24" t="s">
        <v>33</v>
      </c>
      <c r="CR3" s="24"/>
      <c r="DB3" s="24" t="s">
        <v>33</v>
      </c>
      <c r="DG3" s="24"/>
      <c r="DQ3" s="24" t="s">
        <v>33</v>
      </c>
      <c r="DV3" s="24"/>
      <c r="EF3" s="24" t="s">
        <v>33</v>
      </c>
      <c r="EK3" s="24"/>
      <c r="EU3" s="24" t="s">
        <v>33</v>
      </c>
    </row>
    <row r="4" spans="1:4" ht="12.75">
      <c r="A4" s="23"/>
      <c r="B4" s="11"/>
      <c r="C4" s="22"/>
      <c r="D4" s="24"/>
    </row>
    <row r="5" spans="1:154" ht="12.75">
      <c r="A5" s="4" t="s">
        <v>1</v>
      </c>
      <c r="C5" s="28" t="s">
        <v>30</v>
      </c>
      <c r="D5" s="29"/>
      <c r="E5" s="30"/>
      <c r="G5" s="16" t="s">
        <v>32</v>
      </c>
      <c r="H5" s="17"/>
      <c r="I5" s="18"/>
      <c r="K5" s="16" t="s">
        <v>31</v>
      </c>
      <c r="L5" s="17"/>
      <c r="M5" s="18"/>
      <c r="N5" s="20"/>
      <c r="P5" s="16" t="s">
        <v>8</v>
      </c>
      <c r="Q5" s="17"/>
      <c r="R5" s="18"/>
      <c r="S5" s="20"/>
      <c r="U5" s="16" t="s">
        <v>28</v>
      </c>
      <c r="V5" s="17"/>
      <c r="W5" s="18"/>
      <c r="X5" s="20"/>
      <c r="Z5" s="38" t="s">
        <v>9</v>
      </c>
      <c r="AA5" s="17"/>
      <c r="AB5" s="18"/>
      <c r="AC5" s="20"/>
      <c r="AE5" s="38" t="s">
        <v>26</v>
      </c>
      <c r="AF5" s="17"/>
      <c r="AG5" s="18"/>
      <c r="AH5" s="20"/>
      <c r="AJ5" s="16" t="s">
        <v>10</v>
      </c>
      <c r="AK5" s="17"/>
      <c r="AL5" s="18"/>
      <c r="AM5" s="20"/>
      <c r="AN5" s="39"/>
      <c r="AO5" s="16" t="s">
        <v>11</v>
      </c>
      <c r="AP5" s="17"/>
      <c r="AQ5" s="18"/>
      <c r="AR5" s="20"/>
      <c r="AT5" s="16" t="s">
        <v>35</v>
      </c>
      <c r="AU5" s="17"/>
      <c r="AV5" s="18"/>
      <c r="AW5" s="20"/>
      <c r="AY5" s="16" t="s">
        <v>36</v>
      </c>
      <c r="AZ5" s="17"/>
      <c r="BA5" s="18"/>
      <c r="BB5" s="20"/>
      <c r="BD5" s="16" t="s">
        <v>37</v>
      </c>
      <c r="BE5" s="17"/>
      <c r="BF5" s="18"/>
      <c r="BG5" s="20"/>
      <c r="BI5" s="16" t="s">
        <v>12</v>
      </c>
      <c r="BJ5" s="17"/>
      <c r="BK5" s="18"/>
      <c r="BL5" s="20"/>
      <c r="BN5" s="16" t="s">
        <v>13</v>
      </c>
      <c r="BO5" s="17"/>
      <c r="BP5" s="18"/>
      <c r="BQ5" s="20"/>
      <c r="BR5" s="39"/>
      <c r="BS5" s="16" t="s">
        <v>14</v>
      </c>
      <c r="BT5" s="17"/>
      <c r="BU5" s="18"/>
      <c r="BV5" s="20"/>
      <c r="BX5" s="16" t="s">
        <v>15</v>
      </c>
      <c r="BY5" s="17"/>
      <c r="BZ5" s="18"/>
      <c r="CA5" s="20"/>
      <c r="CC5" s="16" t="s">
        <v>38</v>
      </c>
      <c r="CD5" s="17"/>
      <c r="CE5" s="18"/>
      <c r="CF5" s="20"/>
      <c r="CH5" s="16" t="s">
        <v>16</v>
      </c>
      <c r="CI5" s="17"/>
      <c r="CJ5" s="18"/>
      <c r="CK5" s="20"/>
      <c r="CM5" s="16" t="s">
        <v>39</v>
      </c>
      <c r="CN5" s="17"/>
      <c r="CO5" s="18"/>
      <c r="CP5" s="20"/>
      <c r="CR5" s="16" t="s">
        <v>41</v>
      </c>
      <c r="CS5" s="17"/>
      <c r="CT5" s="18"/>
      <c r="CU5" s="20"/>
      <c r="CW5" s="16" t="s">
        <v>42</v>
      </c>
      <c r="CX5" s="17"/>
      <c r="CY5" s="18"/>
      <c r="CZ5" s="20"/>
      <c r="DB5" s="16" t="s">
        <v>43</v>
      </c>
      <c r="DC5" s="17"/>
      <c r="DD5" s="18"/>
      <c r="DE5" s="20"/>
      <c r="DG5" s="16" t="s">
        <v>44</v>
      </c>
      <c r="DH5" s="17"/>
      <c r="DI5" s="18"/>
      <c r="DJ5" s="20"/>
      <c r="DL5" s="16" t="s">
        <v>45</v>
      </c>
      <c r="DM5" s="17"/>
      <c r="DN5" s="18"/>
      <c r="DO5" s="20"/>
      <c r="DQ5" s="16" t="s">
        <v>46</v>
      </c>
      <c r="DR5" s="17"/>
      <c r="DS5" s="18"/>
      <c r="DT5" s="20"/>
      <c r="DV5" s="16" t="s">
        <v>47</v>
      </c>
      <c r="DW5" s="17"/>
      <c r="DX5" s="18"/>
      <c r="DY5" s="20"/>
      <c r="EA5" s="16" t="s">
        <v>17</v>
      </c>
      <c r="EB5" s="17"/>
      <c r="EC5" s="18"/>
      <c r="ED5" s="20"/>
      <c r="EF5" s="16" t="s">
        <v>48</v>
      </c>
      <c r="EG5" s="17"/>
      <c r="EH5" s="18"/>
      <c r="EI5" s="20"/>
      <c r="EK5" s="16" t="s">
        <v>49</v>
      </c>
      <c r="EL5" s="17"/>
      <c r="EM5" s="18"/>
      <c r="EN5" s="20"/>
      <c r="EP5" s="16" t="s">
        <v>18</v>
      </c>
      <c r="EQ5" s="17"/>
      <c r="ER5" s="18"/>
      <c r="ES5" s="20"/>
      <c r="EU5" s="38" t="s">
        <v>50</v>
      </c>
      <c r="EV5" s="17"/>
      <c r="EW5" s="18"/>
      <c r="EX5" s="20"/>
    </row>
    <row r="6" spans="1:155" s="1" customFormat="1" ht="12.75">
      <c r="A6" s="25" t="s">
        <v>2</v>
      </c>
      <c r="C6" s="19"/>
      <c r="D6" s="17"/>
      <c r="E6" s="18"/>
      <c r="F6" s="14"/>
      <c r="G6" s="19"/>
      <c r="H6" s="17"/>
      <c r="I6" s="18"/>
      <c r="J6" s="14"/>
      <c r="K6" s="19"/>
      <c r="L6" s="37"/>
      <c r="M6" s="18"/>
      <c r="N6" s="20" t="s">
        <v>58</v>
      </c>
      <c r="O6" s="14"/>
      <c r="P6" s="19"/>
      <c r="Q6" s="35">
        <v>0.0796069</v>
      </c>
      <c r="R6" s="18"/>
      <c r="S6" s="20" t="s">
        <v>58</v>
      </c>
      <c r="T6" s="14"/>
      <c r="U6" s="19"/>
      <c r="V6" s="35">
        <v>0.0886163</v>
      </c>
      <c r="W6" s="18"/>
      <c r="X6" s="20" t="s">
        <v>58</v>
      </c>
      <c r="Y6" s="14"/>
      <c r="Z6" s="19"/>
      <c r="AA6" s="35">
        <v>0.0327229</v>
      </c>
      <c r="AB6" s="18"/>
      <c r="AC6" s="20" t="s">
        <v>58</v>
      </c>
      <c r="AD6" s="14"/>
      <c r="AE6" s="19"/>
      <c r="AF6" s="35">
        <v>0.0244463</v>
      </c>
      <c r="AG6" s="18"/>
      <c r="AH6" s="20" t="s">
        <v>58</v>
      </c>
      <c r="AI6" s="14"/>
      <c r="AJ6" s="19"/>
      <c r="AK6" s="35">
        <v>0.0325486</v>
      </c>
      <c r="AL6" s="18"/>
      <c r="AM6" s="20" t="s">
        <v>58</v>
      </c>
      <c r="AN6" s="39"/>
      <c r="AO6" s="19"/>
      <c r="AP6" s="35">
        <v>0.2378111</v>
      </c>
      <c r="AQ6" s="18"/>
      <c r="AR6" s="20" t="s">
        <v>58</v>
      </c>
      <c r="AS6" s="14"/>
      <c r="AT6" s="19"/>
      <c r="AU6" s="35">
        <v>4E-06</v>
      </c>
      <c r="AV6" s="18"/>
      <c r="AW6" s="20" t="s">
        <v>58</v>
      </c>
      <c r="AX6" s="14"/>
      <c r="AY6" s="19"/>
      <c r="AZ6" s="35">
        <v>0.0024261</v>
      </c>
      <c r="BA6" s="18"/>
      <c r="BB6" s="20" t="s">
        <v>58</v>
      </c>
      <c r="BC6" s="14"/>
      <c r="BD6" s="19"/>
      <c r="BE6" s="35">
        <v>0.0013664</v>
      </c>
      <c r="BF6" s="18"/>
      <c r="BG6" s="20" t="s">
        <v>58</v>
      </c>
      <c r="BH6" s="14"/>
      <c r="BI6" s="19"/>
      <c r="BJ6" s="35">
        <v>0.0087875</v>
      </c>
      <c r="BK6" s="18"/>
      <c r="BL6" s="20" t="s">
        <v>58</v>
      </c>
      <c r="BM6" s="14"/>
      <c r="BN6" s="19"/>
      <c r="BO6" s="35">
        <v>0.0056757</v>
      </c>
      <c r="BP6" s="18"/>
      <c r="BQ6" s="20" t="s">
        <v>58</v>
      </c>
      <c r="BR6" s="39"/>
      <c r="BS6" s="19"/>
      <c r="BT6" s="35">
        <v>0.0218514</v>
      </c>
      <c r="BU6" s="18"/>
      <c r="BV6" s="20" t="s">
        <v>58</v>
      </c>
      <c r="BW6" s="14"/>
      <c r="BX6" s="19"/>
      <c r="BY6" s="35">
        <v>0.0013916</v>
      </c>
      <c r="BZ6" s="18"/>
      <c r="CA6" s="20" t="s">
        <v>58</v>
      </c>
      <c r="CB6" s="14"/>
      <c r="CC6" s="19"/>
      <c r="CD6" s="35">
        <v>0.0037665</v>
      </c>
      <c r="CE6" s="18"/>
      <c r="CF6" s="20" t="s">
        <v>58</v>
      </c>
      <c r="CG6" s="14"/>
      <c r="CH6" s="19"/>
      <c r="CI6" s="35">
        <v>0.0158627</v>
      </c>
      <c r="CJ6" s="18"/>
      <c r="CK6" s="20" t="s">
        <v>58</v>
      </c>
      <c r="CL6" s="14"/>
      <c r="CM6" s="19"/>
      <c r="CN6" s="35">
        <v>0.0007178</v>
      </c>
      <c r="CO6" s="18"/>
      <c r="CP6" s="20" t="s">
        <v>58</v>
      </c>
      <c r="CQ6" s="14"/>
      <c r="CR6" s="19"/>
      <c r="CS6" s="35">
        <v>0.0101431</v>
      </c>
      <c r="CT6" s="18"/>
      <c r="CU6" s="20" t="s">
        <v>58</v>
      </c>
      <c r="CV6" s="14"/>
      <c r="CW6" s="19"/>
      <c r="CX6" s="35">
        <v>0.0048536</v>
      </c>
      <c r="CY6" s="18"/>
      <c r="CZ6" s="20" t="s">
        <v>58</v>
      </c>
      <c r="DA6" s="14"/>
      <c r="DB6" s="19"/>
      <c r="DC6" s="35">
        <v>0.0080603</v>
      </c>
      <c r="DD6" s="18"/>
      <c r="DE6" s="20" t="s">
        <v>58</v>
      </c>
      <c r="DF6" s="14"/>
      <c r="DG6" s="19"/>
      <c r="DH6" s="35">
        <v>0.0245163</v>
      </c>
      <c r="DI6" s="18"/>
      <c r="DJ6" s="20" t="s">
        <v>58</v>
      </c>
      <c r="DK6" s="14"/>
      <c r="DL6" s="19"/>
      <c r="DM6" s="35">
        <v>0.0025443</v>
      </c>
      <c r="DN6" s="18"/>
      <c r="DO6" s="20" t="s">
        <v>58</v>
      </c>
      <c r="DP6" s="14"/>
      <c r="DQ6" s="19"/>
      <c r="DR6" s="35">
        <v>0.0012856</v>
      </c>
      <c r="DS6" s="18"/>
      <c r="DT6" s="20" t="s">
        <v>58</v>
      </c>
      <c r="DU6" s="14"/>
      <c r="DV6" s="19"/>
      <c r="DW6" s="35">
        <v>0.0003415</v>
      </c>
      <c r="DX6" s="18"/>
      <c r="DY6" s="20" t="s">
        <v>58</v>
      </c>
      <c r="DZ6" s="14"/>
      <c r="EA6" s="19"/>
      <c r="EB6" s="35">
        <v>0.0111619</v>
      </c>
      <c r="EC6" s="18"/>
      <c r="ED6" s="20" t="s">
        <v>58</v>
      </c>
      <c r="EE6" s="14"/>
      <c r="EF6" s="19"/>
      <c r="EG6" s="35">
        <v>0.0455599</v>
      </c>
      <c r="EH6" s="18"/>
      <c r="EI6" s="20" t="s">
        <v>58</v>
      </c>
      <c r="EJ6" s="14"/>
      <c r="EK6" s="19"/>
      <c r="EL6" s="35">
        <v>0.0007571</v>
      </c>
      <c r="EM6" s="18"/>
      <c r="EN6" s="20" t="s">
        <v>58</v>
      </c>
      <c r="EO6" s="14"/>
      <c r="EP6" s="19"/>
      <c r="EQ6" s="35">
        <v>0.0091696</v>
      </c>
      <c r="ER6" s="18"/>
      <c r="ES6" s="20" t="s">
        <v>58</v>
      </c>
      <c r="ET6" s="14"/>
      <c r="EU6" s="19"/>
      <c r="EV6" s="35">
        <v>0.0038062</v>
      </c>
      <c r="EW6" s="18"/>
      <c r="EX6" s="20" t="s">
        <v>58</v>
      </c>
      <c r="EY6" s="14"/>
    </row>
    <row r="7" spans="1:154" ht="12.75">
      <c r="A7" s="8"/>
      <c r="C7" s="20" t="s">
        <v>3</v>
      </c>
      <c r="D7" s="20" t="s">
        <v>4</v>
      </c>
      <c r="E7" s="20" t="s">
        <v>0</v>
      </c>
      <c r="G7" s="20" t="s">
        <v>3</v>
      </c>
      <c r="H7" s="20" t="s">
        <v>4</v>
      </c>
      <c r="I7" s="20" t="s">
        <v>0</v>
      </c>
      <c r="K7" s="20" t="s">
        <v>3</v>
      </c>
      <c r="L7" s="20" t="s">
        <v>4</v>
      </c>
      <c r="M7" s="20" t="s">
        <v>0</v>
      </c>
      <c r="N7" s="20" t="s">
        <v>59</v>
      </c>
      <c r="P7" s="20" t="s">
        <v>3</v>
      </c>
      <c r="Q7" s="20" t="s">
        <v>4</v>
      </c>
      <c r="R7" s="20" t="s">
        <v>0</v>
      </c>
      <c r="S7" s="20" t="s">
        <v>59</v>
      </c>
      <c r="U7" s="20" t="s">
        <v>3</v>
      </c>
      <c r="V7" s="20" t="s">
        <v>4</v>
      </c>
      <c r="W7" s="20" t="s">
        <v>0</v>
      </c>
      <c r="X7" s="20" t="s">
        <v>59</v>
      </c>
      <c r="Z7" s="20" t="s">
        <v>3</v>
      </c>
      <c r="AA7" s="20" t="s">
        <v>4</v>
      </c>
      <c r="AB7" s="20" t="s">
        <v>0</v>
      </c>
      <c r="AC7" s="20" t="s">
        <v>59</v>
      </c>
      <c r="AE7" s="20" t="s">
        <v>3</v>
      </c>
      <c r="AF7" s="20" t="s">
        <v>4</v>
      </c>
      <c r="AG7" s="20" t="s">
        <v>0</v>
      </c>
      <c r="AH7" s="20" t="s">
        <v>59</v>
      </c>
      <c r="AJ7" s="20" t="s">
        <v>3</v>
      </c>
      <c r="AK7" s="20" t="s">
        <v>4</v>
      </c>
      <c r="AL7" s="20" t="s">
        <v>0</v>
      </c>
      <c r="AM7" s="20" t="s">
        <v>59</v>
      </c>
      <c r="AN7" s="40"/>
      <c r="AO7" s="20" t="s">
        <v>3</v>
      </c>
      <c r="AP7" s="20" t="s">
        <v>4</v>
      </c>
      <c r="AQ7" s="20" t="s">
        <v>0</v>
      </c>
      <c r="AR7" s="20" t="s">
        <v>59</v>
      </c>
      <c r="AT7" s="20" t="s">
        <v>3</v>
      </c>
      <c r="AU7" s="20" t="s">
        <v>4</v>
      </c>
      <c r="AV7" s="20" t="s">
        <v>0</v>
      </c>
      <c r="AW7" s="20" t="s">
        <v>59</v>
      </c>
      <c r="AY7" s="20" t="s">
        <v>3</v>
      </c>
      <c r="AZ7" s="20" t="s">
        <v>4</v>
      </c>
      <c r="BA7" s="20" t="s">
        <v>0</v>
      </c>
      <c r="BB7" s="20" t="s">
        <v>59</v>
      </c>
      <c r="BD7" s="20" t="s">
        <v>3</v>
      </c>
      <c r="BE7" s="20" t="s">
        <v>4</v>
      </c>
      <c r="BF7" s="20" t="s">
        <v>0</v>
      </c>
      <c r="BG7" s="20" t="s">
        <v>59</v>
      </c>
      <c r="BI7" s="20" t="s">
        <v>3</v>
      </c>
      <c r="BJ7" s="20" t="s">
        <v>4</v>
      </c>
      <c r="BK7" s="20" t="s">
        <v>0</v>
      </c>
      <c r="BL7" s="20" t="s">
        <v>59</v>
      </c>
      <c r="BN7" s="20" t="s">
        <v>3</v>
      </c>
      <c r="BO7" s="20" t="s">
        <v>4</v>
      </c>
      <c r="BP7" s="20" t="s">
        <v>0</v>
      </c>
      <c r="BQ7" s="20" t="s">
        <v>59</v>
      </c>
      <c r="BR7" s="40"/>
      <c r="BS7" s="20" t="s">
        <v>3</v>
      </c>
      <c r="BT7" s="20" t="s">
        <v>4</v>
      </c>
      <c r="BU7" s="20" t="s">
        <v>0</v>
      </c>
      <c r="BV7" s="20" t="s">
        <v>59</v>
      </c>
      <c r="BX7" s="20" t="s">
        <v>3</v>
      </c>
      <c r="BY7" s="20" t="s">
        <v>4</v>
      </c>
      <c r="BZ7" s="20" t="s">
        <v>0</v>
      </c>
      <c r="CA7" s="20" t="s">
        <v>59</v>
      </c>
      <c r="CC7" s="20" t="s">
        <v>3</v>
      </c>
      <c r="CD7" s="20" t="s">
        <v>4</v>
      </c>
      <c r="CE7" s="20" t="s">
        <v>0</v>
      </c>
      <c r="CF7" s="20" t="s">
        <v>59</v>
      </c>
      <c r="CH7" s="20" t="s">
        <v>3</v>
      </c>
      <c r="CI7" s="20" t="s">
        <v>4</v>
      </c>
      <c r="CJ7" s="20" t="s">
        <v>0</v>
      </c>
      <c r="CK7" s="20" t="s">
        <v>59</v>
      </c>
      <c r="CM7" s="20" t="s">
        <v>3</v>
      </c>
      <c r="CN7" s="20" t="s">
        <v>4</v>
      </c>
      <c r="CO7" s="20" t="s">
        <v>0</v>
      </c>
      <c r="CP7" s="20" t="s">
        <v>59</v>
      </c>
      <c r="CR7" s="20" t="s">
        <v>3</v>
      </c>
      <c r="CS7" s="20" t="s">
        <v>4</v>
      </c>
      <c r="CT7" s="20" t="s">
        <v>0</v>
      </c>
      <c r="CU7" s="20" t="s">
        <v>59</v>
      </c>
      <c r="CW7" s="20" t="s">
        <v>3</v>
      </c>
      <c r="CX7" s="20" t="s">
        <v>4</v>
      </c>
      <c r="CY7" s="20" t="s">
        <v>0</v>
      </c>
      <c r="CZ7" s="20" t="s">
        <v>59</v>
      </c>
      <c r="DB7" s="20" t="s">
        <v>3</v>
      </c>
      <c r="DC7" s="20" t="s">
        <v>4</v>
      </c>
      <c r="DD7" s="20" t="s">
        <v>0</v>
      </c>
      <c r="DE7" s="20" t="s">
        <v>59</v>
      </c>
      <c r="DG7" s="20" t="s">
        <v>3</v>
      </c>
      <c r="DH7" s="20" t="s">
        <v>4</v>
      </c>
      <c r="DI7" s="20" t="s">
        <v>0</v>
      </c>
      <c r="DJ7" s="20" t="s">
        <v>59</v>
      </c>
      <c r="DL7" s="20" t="s">
        <v>3</v>
      </c>
      <c r="DM7" s="20" t="s">
        <v>4</v>
      </c>
      <c r="DN7" s="20" t="s">
        <v>0</v>
      </c>
      <c r="DO7" s="20" t="s">
        <v>59</v>
      </c>
      <c r="DQ7" s="20" t="s">
        <v>3</v>
      </c>
      <c r="DR7" s="20" t="s">
        <v>4</v>
      </c>
      <c r="DS7" s="20" t="s">
        <v>0</v>
      </c>
      <c r="DT7" s="20" t="s">
        <v>59</v>
      </c>
      <c r="DV7" s="20" t="s">
        <v>3</v>
      </c>
      <c r="DW7" s="20" t="s">
        <v>4</v>
      </c>
      <c r="DX7" s="20" t="s">
        <v>0</v>
      </c>
      <c r="DY7" s="20" t="s">
        <v>59</v>
      </c>
      <c r="EA7" s="20" t="s">
        <v>3</v>
      </c>
      <c r="EB7" s="20" t="s">
        <v>4</v>
      </c>
      <c r="EC7" s="20" t="s">
        <v>0</v>
      </c>
      <c r="ED7" s="20" t="s">
        <v>59</v>
      </c>
      <c r="EF7" s="20" t="s">
        <v>3</v>
      </c>
      <c r="EG7" s="20" t="s">
        <v>4</v>
      </c>
      <c r="EH7" s="20" t="s">
        <v>0</v>
      </c>
      <c r="EI7" s="20" t="s">
        <v>59</v>
      </c>
      <c r="EK7" s="20" t="s">
        <v>3</v>
      </c>
      <c r="EL7" s="20" t="s">
        <v>4</v>
      </c>
      <c r="EM7" s="20" t="s">
        <v>0</v>
      </c>
      <c r="EN7" s="20" t="s">
        <v>59</v>
      </c>
      <c r="EP7" s="20" t="s">
        <v>3</v>
      </c>
      <c r="EQ7" s="20" t="s">
        <v>4</v>
      </c>
      <c r="ER7" s="20" t="s">
        <v>0</v>
      </c>
      <c r="ES7" s="20" t="s">
        <v>59</v>
      </c>
      <c r="EU7" s="20" t="s">
        <v>3</v>
      </c>
      <c r="EV7" s="20" t="s">
        <v>4</v>
      </c>
      <c r="EW7" s="20" t="s">
        <v>0</v>
      </c>
      <c r="EX7" s="20" t="s">
        <v>59</v>
      </c>
    </row>
    <row r="8" spans="1:154" ht="12.75">
      <c r="A8" s="2">
        <v>40087</v>
      </c>
      <c r="D8" s="15">
        <v>740000</v>
      </c>
      <c r="E8" s="15">
        <f aca="true" t="shared" si="0" ref="E8:E37">C8+D8</f>
        <v>740000</v>
      </c>
      <c r="G8" s="15"/>
      <c r="H8" s="15">
        <v>21375</v>
      </c>
      <c r="I8" s="15">
        <f aca="true" t="shared" si="1" ref="I8:I35">G8+H8</f>
        <v>21375</v>
      </c>
      <c r="K8" s="15"/>
      <c r="L8" s="15">
        <v>718625</v>
      </c>
      <c r="M8" s="15">
        <f aca="true" t="shared" si="2" ref="M8:M37">K8+L8</f>
        <v>718625</v>
      </c>
      <c r="N8" s="15"/>
      <c r="Q8" s="14">
        <f aca="true" t="shared" si="3" ref="Q8:Q37">L8*7.96069/100</f>
        <v>57207.5085125</v>
      </c>
      <c r="R8" s="32">
        <f aca="true" t="shared" si="4" ref="R8:R37">P8+Q8</f>
        <v>57207.5085125</v>
      </c>
      <c r="S8" s="32">
        <v>941</v>
      </c>
      <c r="V8" s="14">
        <f aca="true" t="shared" si="5" ref="V8:V37">L8*8.86163/100</f>
        <v>63681.8885875</v>
      </c>
      <c r="W8" s="14">
        <f aca="true" t="shared" si="6" ref="W8:W37">U8+V8</f>
        <v>63681.8885875</v>
      </c>
      <c r="X8" s="14">
        <v>1048</v>
      </c>
      <c r="Z8" s="32"/>
      <c r="AA8" s="14">
        <f aca="true" t="shared" si="7" ref="AA8:AA37">L8*3.27229/100</f>
        <v>23515.4940125</v>
      </c>
      <c r="AB8" s="14">
        <f aca="true" t="shared" si="8" ref="AB8:AB37">Z8+AA8</f>
        <v>23515.4940125</v>
      </c>
      <c r="AC8" s="14">
        <v>387</v>
      </c>
      <c r="AF8" s="14">
        <f aca="true" t="shared" si="9" ref="AF8:AF37">L8*2.44463/100</f>
        <v>17567.722337500003</v>
      </c>
      <c r="AG8" s="14">
        <f aca="true" t="shared" si="10" ref="AG8:AG37">AE8+AF8</f>
        <v>17567.722337500003</v>
      </c>
      <c r="AH8" s="14">
        <v>289</v>
      </c>
      <c r="AK8" s="14">
        <f aca="true" t="shared" si="11" ref="AK8:AK37">L8*3.25486/100</f>
        <v>23390.237675</v>
      </c>
      <c r="AL8" s="14">
        <f aca="true" t="shared" si="12" ref="AL8:AL37">AJ8+AK8</f>
        <v>23390.237675</v>
      </c>
      <c r="AM8" s="14">
        <v>385</v>
      </c>
      <c r="AP8" s="14">
        <f aca="true" t="shared" si="13" ref="AP8:AP37">L8*23.78111/100</f>
        <v>170897.00173750002</v>
      </c>
      <c r="AQ8" s="14">
        <f aca="true" t="shared" si="14" ref="AQ8:AQ37">AO8+AP8</f>
        <v>170897.00173750002</v>
      </c>
      <c r="AR8" s="14">
        <v>2811</v>
      </c>
      <c r="AU8" s="14">
        <f aca="true" t="shared" si="15" ref="AU8:AU37">L8*0.0004/100</f>
        <v>2.8745</v>
      </c>
      <c r="AV8" s="14">
        <f aca="true" t="shared" si="16" ref="AV8:AV37">AT8+AU8</f>
        <v>2.8745</v>
      </c>
      <c r="AZ8" s="14">
        <f aca="true" t="shared" si="17" ref="AZ8:AZ37">L8*0.24261/100</f>
        <v>1743.4561124999998</v>
      </c>
      <c r="BA8" s="14">
        <f aca="true" t="shared" si="18" ref="BA8:BA37">AY8+AZ8</f>
        <v>1743.4561124999998</v>
      </c>
      <c r="BB8" s="14">
        <v>29</v>
      </c>
      <c r="BE8" s="14">
        <f aca="true" t="shared" si="19" ref="BE8:BE37">L8*0.13664/100</f>
        <v>981.9292000000002</v>
      </c>
      <c r="BF8" s="14">
        <f aca="true" t="shared" si="20" ref="BF8:BF37">BD8+BE8</f>
        <v>981.9292000000002</v>
      </c>
      <c r="BG8" s="14">
        <v>16</v>
      </c>
      <c r="BJ8" s="14">
        <f aca="true" t="shared" si="21" ref="BJ8:BJ37">L8*0.87875/100</f>
        <v>6314.9171875</v>
      </c>
      <c r="BK8" s="14">
        <f aca="true" t="shared" si="22" ref="BK8:BK37">BI8+BJ8</f>
        <v>6314.9171875</v>
      </c>
      <c r="BL8" s="14">
        <v>104</v>
      </c>
      <c r="BO8" s="14">
        <f aca="true" t="shared" si="23" ref="BO8:BO37">L8*0.56757/100</f>
        <v>4078.6999125</v>
      </c>
      <c r="BP8" s="14">
        <f aca="true" t="shared" si="24" ref="BP8:BP37">BN8+BO8</f>
        <v>4078.6999125</v>
      </c>
      <c r="BQ8" s="14">
        <v>67</v>
      </c>
      <c r="BT8" s="14">
        <f aca="true" t="shared" si="25" ref="BT8:BT37">L8*2.18514/100</f>
        <v>15702.962325000002</v>
      </c>
      <c r="BU8" s="14">
        <f aca="true" t="shared" si="26" ref="BU8:BU37">BS8+BT8</f>
        <v>15702.962325000002</v>
      </c>
      <c r="BV8" s="14">
        <v>258</v>
      </c>
      <c r="BY8" s="14">
        <f aca="true" t="shared" si="27" ref="BY8:BY37">L8*0.13916/100</f>
        <v>1000.0385500000001</v>
      </c>
      <c r="BZ8" s="14">
        <f aca="true" t="shared" si="28" ref="BZ8:BZ37">BX8+BY8</f>
        <v>1000.0385500000001</v>
      </c>
      <c r="CA8" s="14">
        <v>16</v>
      </c>
      <c r="CD8" s="14">
        <f aca="true" t="shared" si="29" ref="CD8:CD37">L8*0.37665/100</f>
        <v>2706.7010625000003</v>
      </c>
      <c r="CE8" s="14">
        <f aca="true" t="shared" si="30" ref="CE8:CE37">CC8+CD8</f>
        <v>2706.7010625000003</v>
      </c>
      <c r="CF8" s="14">
        <v>45</v>
      </c>
      <c r="CI8" s="14">
        <f aca="true" t="shared" si="31" ref="CI8:CI37">L8*1.58627/100</f>
        <v>11399.332787500001</v>
      </c>
      <c r="CJ8" s="14">
        <f aca="true" t="shared" si="32" ref="CJ8:CJ37">CH8+CI8</f>
        <v>11399.332787500001</v>
      </c>
      <c r="CK8" s="14">
        <v>188</v>
      </c>
      <c r="CN8" s="14">
        <f aca="true" t="shared" si="33" ref="CN8:CN37">L8*0.07178/100</f>
        <v>515.829025</v>
      </c>
      <c r="CO8" s="14">
        <f aca="true" t="shared" si="34" ref="CO8:CO37">CM8+CN8</f>
        <v>515.829025</v>
      </c>
      <c r="CP8" s="14">
        <v>9</v>
      </c>
      <c r="CS8" s="14">
        <f aca="true" t="shared" si="35" ref="CS8:CS37">L8*1.01431/100</f>
        <v>7289.0852375</v>
      </c>
      <c r="CT8" s="14">
        <f aca="true" t="shared" si="36" ref="CT8:CT37">CR8+CS8</f>
        <v>7289.0852375</v>
      </c>
      <c r="CU8" s="14">
        <v>120</v>
      </c>
      <c r="CX8" s="32">
        <f aca="true" t="shared" si="37" ref="CX8:CX37">L8*0.48536/100</f>
        <v>3487.9183000000003</v>
      </c>
      <c r="CY8" s="14">
        <f aca="true" t="shared" si="38" ref="CY8:CY37">CW8+CX8</f>
        <v>3487.9183000000003</v>
      </c>
      <c r="CZ8" s="14">
        <v>57</v>
      </c>
      <c r="DC8" s="14">
        <f aca="true" t="shared" si="39" ref="DC8:DC37">L8*0.80603/100</f>
        <v>5792.333087499999</v>
      </c>
      <c r="DD8" s="14">
        <f aca="true" t="shared" si="40" ref="DD8:DD37">DB8+DC8</f>
        <v>5792.333087499999</v>
      </c>
      <c r="DE8" s="14">
        <v>95</v>
      </c>
      <c r="DH8" s="14">
        <f aca="true" t="shared" si="41" ref="DH8:DH37">L8*2.45163/100</f>
        <v>17618.026087500002</v>
      </c>
      <c r="DI8" s="14">
        <f aca="true" t="shared" si="42" ref="DI8:DI37">DG8+DH8</f>
        <v>17618.026087500002</v>
      </c>
      <c r="DJ8" s="14">
        <v>290</v>
      </c>
      <c r="DM8" s="14">
        <f aca="true" t="shared" si="43" ref="DM8:DM37">L8*0.25443/100</f>
        <v>1828.3975874999999</v>
      </c>
      <c r="DN8" s="14">
        <f aca="true" t="shared" si="44" ref="DN8:DN37">DL8+DM8</f>
        <v>1828.3975874999999</v>
      </c>
      <c r="DO8" s="14">
        <v>30</v>
      </c>
      <c r="DR8" s="14">
        <f aca="true" t="shared" si="45" ref="DR8:DR37">L8*0.12856/100</f>
        <v>923.8643000000001</v>
      </c>
      <c r="DS8" s="14">
        <f aca="true" t="shared" si="46" ref="DS8:DS37">DQ8+DR8</f>
        <v>923.8643000000001</v>
      </c>
      <c r="DT8" s="14">
        <v>15</v>
      </c>
      <c r="DW8" s="14">
        <f aca="true" t="shared" si="47" ref="DW8:DW37">L8*0.03415/100</f>
        <v>245.4104375</v>
      </c>
      <c r="DX8" s="14">
        <f aca="true" t="shared" si="48" ref="DX8:DX37">DV8+DW8</f>
        <v>245.4104375</v>
      </c>
      <c r="DY8" s="14">
        <v>4</v>
      </c>
      <c r="EB8" s="14">
        <f aca="true" t="shared" si="49" ref="EB8:EB37">L8*1.11619/100</f>
        <v>8021.2203875000005</v>
      </c>
      <c r="EC8" s="14">
        <f aca="true" t="shared" si="50" ref="EC8:EC37">EA8+EB8</f>
        <v>8021.2203875000005</v>
      </c>
      <c r="ED8" s="14">
        <v>132</v>
      </c>
      <c r="EG8" s="14">
        <f aca="true" t="shared" si="51" ref="EG8:EG37">L8*4.55599/100</f>
        <v>32740.483137500003</v>
      </c>
      <c r="EH8" s="14">
        <f aca="true" t="shared" si="52" ref="EH8:EH37">EF8+EG8</f>
        <v>32740.483137500003</v>
      </c>
      <c r="EI8" s="14">
        <v>539</v>
      </c>
      <c r="EL8" s="14">
        <f aca="true" t="shared" si="53" ref="EL8:EL37">L8*0.07571/100</f>
        <v>544.0709875</v>
      </c>
      <c r="EM8" s="14">
        <f aca="true" t="shared" si="54" ref="EM8:EM37">EK8+EL8</f>
        <v>544.0709875</v>
      </c>
      <c r="EN8" s="14">
        <v>9</v>
      </c>
      <c r="EQ8" s="14">
        <f aca="true" t="shared" si="55" ref="EQ8:EQ37">L8*0.91696/100</f>
        <v>6589.5038</v>
      </c>
      <c r="ER8" s="14">
        <f aca="true" t="shared" si="56" ref="ER8:ER37">EP8+EQ8</f>
        <v>6589.5038</v>
      </c>
      <c r="ES8" s="14">
        <v>108</v>
      </c>
      <c r="EV8" s="14">
        <f aca="true" t="shared" si="57" ref="EV8:EV37">L8*0.38062/100</f>
        <v>2735.230475</v>
      </c>
      <c r="EW8" s="14">
        <f aca="true" t="shared" si="58" ref="EW8:EW37">EU8+EV8</f>
        <v>2735.230475</v>
      </c>
      <c r="EX8" s="14">
        <v>45</v>
      </c>
    </row>
    <row r="9" spans="1:154" ht="12.75">
      <c r="A9" s="2">
        <v>40269</v>
      </c>
      <c r="C9" s="15">
        <v>1460000</v>
      </c>
      <c r="D9" s="15">
        <v>740000</v>
      </c>
      <c r="E9" s="15">
        <f t="shared" si="0"/>
        <v>2200000</v>
      </c>
      <c r="G9" s="15">
        <v>60000</v>
      </c>
      <c r="H9" s="15">
        <v>21375</v>
      </c>
      <c r="I9" s="15">
        <f t="shared" si="1"/>
        <v>81375</v>
      </c>
      <c r="K9" s="15">
        <v>1400000</v>
      </c>
      <c r="L9" s="15">
        <v>718625</v>
      </c>
      <c r="M9" s="15">
        <f t="shared" si="2"/>
        <v>2118625</v>
      </c>
      <c r="N9" s="15"/>
      <c r="P9" s="14">
        <f aca="true" t="shared" si="59" ref="P9:P37">K9*7.96069/100</f>
        <v>111449.66</v>
      </c>
      <c r="Q9" s="14">
        <f t="shared" si="3"/>
        <v>57207.5085125</v>
      </c>
      <c r="R9" s="32">
        <f t="shared" si="4"/>
        <v>168657.1685125</v>
      </c>
      <c r="S9" s="32">
        <v>941</v>
      </c>
      <c r="U9" s="14">
        <f aca="true" t="shared" si="60" ref="U9:U37">K9*8.86163/100</f>
        <v>124062.82</v>
      </c>
      <c r="V9" s="14">
        <f t="shared" si="5"/>
        <v>63681.8885875</v>
      </c>
      <c r="W9" s="14">
        <f t="shared" si="6"/>
        <v>187744.7085875</v>
      </c>
      <c r="X9" s="14">
        <v>1048</v>
      </c>
      <c r="Z9" s="32">
        <f aca="true" t="shared" si="61" ref="Z9:Z37">K9*3.27229/100</f>
        <v>45812.06</v>
      </c>
      <c r="AA9" s="14">
        <f t="shared" si="7"/>
        <v>23515.4940125</v>
      </c>
      <c r="AB9" s="14">
        <f t="shared" si="8"/>
        <v>69327.5540125</v>
      </c>
      <c r="AC9" s="14">
        <v>387</v>
      </c>
      <c r="AE9" s="14">
        <f aca="true" t="shared" si="62" ref="AE9:AE37">K9*2.44463/100</f>
        <v>34224.82</v>
      </c>
      <c r="AF9" s="14">
        <f t="shared" si="9"/>
        <v>17567.722337500003</v>
      </c>
      <c r="AG9" s="14">
        <f t="shared" si="10"/>
        <v>51792.5423375</v>
      </c>
      <c r="AH9" s="14">
        <v>289</v>
      </c>
      <c r="AJ9" s="14">
        <f aca="true" t="shared" si="63" ref="AJ9:AJ37">K9*3.25486/100</f>
        <v>45568.04</v>
      </c>
      <c r="AK9" s="14">
        <f t="shared" si="11"/>
        <v>23390.237675</v>
      </c>
      <c r="AL9" s="14">
        <f t="shared" si="12"/>
        <v>68958.277675</v>
      </c>
      <c r="AM9" s="14">
        <v>385</v>
      </c>
      <c r="AO9" s="14">
        <f aca="true" t="shared" si="64" ref="AO9:AO37">K9*23.78111/100</f>
        <v>332935.54000000004</v>
      </c>
      <c r="AP9" s="14">
        <f t="shared" si="13"/>
        <v>170897.00173750002</v>
      </c>
      <c r="AQ9" s="14">
        <f t="shared" si="14"/>
        <v>503832.54173750005</v>
      </c>
      <c r="AR9" s="14">
        <v>2811</v>
      </c>
      <c r="AT9" s="14">
        <f aca="true" t="shared" si="65" ref="AT9:AT37">K9*0.0004/100</f>
        <v>5.6</v>
      </c>
      <c r="AU9" s="14">
        <f t="shared" si="15"/>
        <v>2.8745</v>
      </c>
      <c r="AV9" s="14">
        <f t="shared" si="16"/>
        <v>8.474499999999999</v>
      </c>
      <c r="AY9" s="14">
        <f aca="true" t="shared" si="66" ref="AY9:AY37">K9*0.24261/100</f>
        <v>3396.54</v>
      </c>
      <c r="AZ9" s="14">
        <f t="shared" si="17"/>
        <v>1743.4561124999998</v>
      </c>
      <c r="BA9" s="14">
        <f t="shared" si="18"/>
        <v>5139.9961125</v>
      </c>
      <c r="BB9" s="14">
        <v>29</v>
      </c>
      <c r="BD9" s="14">
        <f aca="true" t="shared" si="67" ref="BD9:BD37">K9*0.13664/100</f>
        <v>1912.9600000000003</v>
      </c>
      <c r="BE9" s="14">
        <f t="shared" si="19"/>
        <v>981.9292000000002</v>
      </c>
      <c r="BF9" s="14">
        <f t="shared" si="20"/>
        <v>2894.8892000000005</v>
      </c>
      <c r="BG9" s="14">
        <v>16</v>
      </c>
      <c r="BI9" s="14">
        <f aca="true" t="shared" si="68" ref="BI9:BI37">K9*0.87875/100</f>
        <v>12302.5</v>
      </c>
      <c r="BJ9" s="14">
        <f t="shared" si="21"/>
        <v>6314.9171875</v>
      </c>
      <c r="BK9" s="14">
        <f t="shared" si="22"/>
        <v>18617.4171875</v>
      </c>
      <c r="BL9" s="14">
        <v>104</v>
      </c>
      <c r="BN9" s="14">
        <f aca="true" t="shared" si="69" ref="BN9:BN37">K9*0.56757/100</f>
        <v>7945.98</v>
      </c>
      <c r="BO9" s="14">
        <f t="shared" si="23"/>
        <v>4078.6999125</v>
      </c>
      <c r="BP9" s="14">
        <f t="shared" si="24"/>
        <v>12024.6799125</v>
      </c>
      <c r="BQ9" s="14">
        <v>67</v>
      </c>
      <c r="BS9" s="14">
        <f aca="true" t="shared" si="70" ref="BS9:BS37">K9*2.18514/100</f>
        <v>30591.96</v>
      </c>
      <c r="BT9" s="14">
        <f t="shared" si="25"/>
        <v>15702.962325000002</v>
      </c>
      <c r="BU9" s="14">
        <f t="shared" si="26"/>
        <v>46294.922325</v>
      </c>
      <c r="BV9" s="14">
        <v>258</v>
      </c>
      <c r="BX9" s="14">
        <f aca="true" t="shared" si="71" ref="BX9:BX37">K9*0.13916/100</f>
        <v>1948.24</v>
      </c>
      <c r="BY9" s="14">
        <f t="shared" si="27"/>
        <v>1000.0385500000001</v>
      </c>
      <c r="BZ9" s="14">
        <f t="shared" si="28"/>
        <v>2948.27855</v>
      </c>
      <c r="CA9" s="14">
        <v>16</v>
      </c>
      <c r="CC9" s="14">
        <f aca="true" t="shared" si="72" ref="CC9:CC37">K9*0.37665/100</f>
        <v>5273.1</v>
      </c>
      <c r="CD9" s="14">
        <f t="shared" si="29"/>
        <v>2706.7010625000003</v>
      </c>
      <c r="CE9" s="14">
        <f t="shared" si="30"/>
        <v>7979.801062500001</v>
      </c>
      <c r="CF9" s="14">
        <v>45</v>
      </c>
      <c r="CH9" s="14">
        <f aca="true" t="shared" si="73" ref="CH9:CH37">K9*1.58627/100</f>
        <v>22207.78</v>
      </c>
      <c r="CI9" s="14">
        <f t="shared" si="31"/>
        <v>11399.332787500001</v>
      </c>
      <c r="CJ9" s="14">
        <f t="shared" si="32"/>
        <v>33607.1127875</v>
      </c>
      <c r="CK9" s="14">
        <v>188</v>
      </c>
      <c r="CM9" s="14">
        <f aca="true" t="shared" si="74" ref="CM9:CM37">K9*0.07178/100</f>
        <v>1004.92</v>
      </c>
      <c r="CN9" s="14">
        <f t="shared" si="33"/>
        <v>515.829025</v>
      </c>
      <c r="CO9" s="14">
        <f t="shared" si="34"/>
        <v>1520.749025</v>
      </c>
      <c r="CP9" s="14">
        <v>9</v>
      </c>
      <c r="CR9" s="14">
        <f aca="true" t="shared" si="75" ref="CR9:CR37">K9*1.01431/100</f>
        <v>14200.34</v>
      </c>
      <c r="CS9" s="14">
        <f t="shared" si="35"/>
        <v>7289.0852375</v>
      </c>
      <c r="CT9" s="14">
        <f t="shared" si="36"/>
        <v>21489.4252375</v>
      </c>
      <c r="CU9" s="14">
        <v>120</v>
      </c>
      <c r="CW9" s="14">
        <f aca="true" t="shared" si="76" ref="CW9:CW37">K9*0.48536/100</f>
        <v>6795.04</v>
      </c>
      <c r="CX9" s="32">
        <f t="shared" si="37"/>
        <v>3487.9183000000003</v>
      </c>
      <c r="CY9" s="14">
        <f t="shared" si="38"/>
        <v>10282.9583</v>
      </c>
      <c r="CZ9" s="14">
        <v>57</v>
      </c>
      <c r="DB9" s="14">
        <f aca="true" t="shared" si="77" ref="DB9:DB37">K9*0.80603/100</f>
        <v>11284.42</v>
      </c>
      <c r="DC9" s="14">
        <f t="shared" si="39"/>
        <v>5792.333087499999</v>
      </c>
      <c r="DD9" s="14">
        <f t="shared" si="40"/>
        <v>17076.7530875</v>
      </c>
      <c r="DE9" s="14">
        <v>95</v>
      </c>
      <c r="DG9" s="14">
        <f aca="true" t="shared" si="78" ref="DG9:DG37">K9*2.45163/100</f>
        <v>34322.82000000001</v>
      </c>
      <c r="DH9" s="14">
        <f t="shared" si="41"/>
        <v>17618.026087500002</v>
      </c>
      <c r="DI9" s="14">
        <f t="shared" si="42"/>
        <v>51940.84608750001</v>
      </c>
      <c r="DJ9" s="14">
        <v>290</v>
      </c>
      <c r="DL9" s="14">
        <f aca="true" t="shared" si="79" ref="DL9:DL37">K9*0.25443/100</f>
        <v>3562.02</v>
      </c>
      <c r="DM9" s="14">
        <f t="shared" si="43"/>
        <v>1828.3975874999999</v>
      </c>
      <c r="DN9" s="14">
        <f t="shared" si="44"/>
        <v>5390.4175875</v>
      </c>
      <c r="DO9" s="14">
        <v>30</v>
      </c>
      <c r="DQ9" s="14">
        <f aca="true" t="shared" si="80" ref="DQ9:DQ37">K9*0.12856/100</f>
        <v>1799.84</v>
      </c>
      <c r="DR9" s="14">
        <f t="shared" si="45"/>
        <v>923.8643000000001</v>
      </c>
      <c r="DS9" s="14">
        <f t="shared" si="46"/>
        <v>2723.7043</v>
      </c>
      <c r="DT9" s="14">
        <v>15</v>
      </c>
      <c r="DV9" s="14">
        <f aca="true" t="shared" si="81" ref="DV9:DV37">K9*0.03415/100</f>
        <v>478.1</v>
      </c>
      <c r="DW9" s="14">
        <f t="shared" si="47"/>
        <v>245.4104375</v>
      </c>
      <c r="DX9" s="14">
        <f t="shared" si="48"/>
        <v>723.5104375000001</v>
      </c>
      <c r="DY9" s="14">
        <v>4</v>
      </c>
      <c r="EA9" s="14">
        <f aca="true" t="shared" si="82" ref="EA9:EA37">K9*1.11619/100</f>
        <v>15626.66</v>
      </c>
      <c r="EB9" s="14">
        <f t="shared" si="49"/>
        <v>8021.2203875000005</v>
      </c>
      <c r="EC9" s="14">
        <f t="shared" si="50"/>
        <v>23647.8803875</v>
      </c>
      <c r="ED9" s="14">
        <v>132</v>
      </c>
      <c r="EF9" s="14">
        <f aca="true" t="shared" si="83" ref="EF9:EF37">K9*4.55599/100</f>
        <v>63783.86000000001</v>
      </c>
      <c r="EG9" s="14">
        <f t="shared" si="51"/>
        <v>32740.483137500003</v>
      </c>
      <c r="EH9" s="14">
        <f t="shared" si="52"/>
        <v>96524.34313750001</v>
      </c>
      <c r="EI9" s="14">
        <v>539</v>
      </c>
      <c r="EK9" s="14">
        <f aca="true" t="shared" si="84" ref="EK9:EK37">K9*0.07571/100</f>
        <v>1059.94</v>
      </c>
      <c r="EL9" s="14">
        <f t="shared" si="53"/>
        <v>544.0709875</v>
      </c>
      <c r="EM9" s="14">
        <f t="shared" si="54"/>
        <v>1604.0109875</v>
      </c>
      <c r="EN9" s="14">
        <v>9</v>
      </c>
      <c r="EP9" s="14">
        <f aca="true" t="shared" si="85" ref="EP9:EP37">K9*0.91696/100</f>
        <v>12837.44</v>
      </c>
      <c r="EQ9" s="14">
        <f t="shared" si="55"/>
        <v>6589.5038</v>
      </c>
      <c r="ER9" s="14">
        <f t="shared" si="56"/>
        <v>19426.9438</v>
      </c>
      <c r="ES9" s="14">
        <v>108</v>
      </c>
      <c r="EU9" s="14">
        <f aca="true" t="shared" si="86" ref="EU9:EU37">K9*0.38062/100</f>
        <v>5328.68</v>
      </c>
      <c r="EV9" s="14">
        <f t="shared" si="57"/>
        <v>2735.230475</v>
      </c>
      <c r="EW9" s="14">
        <f t="shared" si="58"/>
        <v>8063.910475000001</v>
      </c>
      <c r="EX9" s="14">
        <v>45</v>
      </c>
    </row>
    <row r="10" spans="1:154" ht="12.75">
      <c r="A10" s="2">
        <v>40452</v>
      </c>
      <c r="D10" s="15">
        <v>708975</v>
      </c>
      <c r="E10" s="15">
        <f t="shared" si="0"/>
        <v>708975</v>
      </c>
      <c r="G10" s="15"/>
      <c r="H10" s="15">
        <v>20100</v>
      </c>
      <c r="I10" s="15">
        <f t="shared" si="1"/>
        <v>20100</v>
      </c>
      <c r="K10" s="15"/>
      <c r="L10" s="15">
        <v>688875</v>
      </c>
      <c r="M10" s="15">
        <f t="shared" si="2"/>
        <v>688875</v>
      </c>
      <c r="N10" s="15"/>
      <c r="Q10" s="14">
        <f t="shared" si="3"/>
        <v>54839.2032375</v>
      </c>
      <c r="R10" s="32">
        <f t="shared" si="4"/>
        <v>54839.2032375</v>
      </c>
      <c r="S10" s="32">
        <v>941</v>
      </c>
      <c r="V10" s="14">
        <f t="shared" si="5"/>
        <v>61045.5536625</v>
      </c>
      <c r="W10" s="14">
        <f t="shared" si="6"/>
        <v>61045.5536625</v>
      </c>
      <c r="X10" s="14">
        <v>1048</v>
      </c>
      <c r="Z10" s="32"/>
      <c r="AA10" s="14">
        <f t="shared" si="7"/>
        <v>22541.987737500003</v>
      </c>
      <c r="AB10" s="14">
        <f t="shared" si="8"/>
        <v>22541.987737500003</v>
      </c>
      <c r="AC10" s="14">
        <v>387</v>
      </c>
      <c r="AF10" s="14">
        <f t="shared" si="9"/>
        <v>16840.4449125</v>
      </c>
      <c r="AG10" s="14">
        <f t="shared" si="10"/>
        <v>16840.4449125</v>
      </c>
      <c r="AH10" s="14">
        <v>289</v>
      </c>
      <c r="AK10" s="14">
        <f t="shared" si="11"/>
        <v>22421.916825</v>
      </c>
      <c r="AL10" s="14">
        <f t="shared" si="12"/>
        <v>22421.916825</v>
      </c>
      <c r="AM10" s="14">
        <v>385</v>
      </c>
      <c r="AP10" s="14">
        <f t="shared" si="13"/>
        <v>163822.12151250002</v>
      </c>
      <c r="AQ10" s="14">
        <f t="shared" si="14"/>
        <v>163822.12151250002</v>
      </c>
      <c r="AR10" s="14">
        <v>2811</v>
      </c>
      <c r="AU10" s="14">
        <f t="shared" si="15"/>
        <v>2.7555</v>
      </c>
      <c r="AV10" s="14">
        <f t="shared" si="16"/>
        <v>2.7555</v>
      </c>
      <c r="AZ10" s="14">
        <f t="shared" si="17"/>
        <v>1671.2796375</v>
      </c>
      <c r="BA10" s="14">
        <f t="shared" si="18"/>
        <v>1671.2796375</v>
      </c>
      <c r="BB10" s="14">
        <v>29</v>
      </c>
      <c r="BE10" s="14">
        <f t="shared" si="19"/>
        <v>941.2788</v>
      </c>
      <c r="BF10" s="14">
        <f t="shared" si="20"/>
        <v>941.2788</v>
      </c>
      <c r="BG10" s="14">
        <v>16</v>
      </c>
      <c r="BJ10" s="14">
        <f t="shared" si="21"/>
        <v>6053.4890625</v>
      </c>
      <c r="BK10" s="14">
        <f t="shared" si="22"/>
        <v>6053.4890625</v>
      </c>
      <c r="BL10" s="14">
        <v>104</v>
      </c>
      <c r="BO10" s="14">
        <f t="shared" si="23"/>
        <v>3909.8478375</v>
      </c>
      <c r="BP10" s="14">
        <f t="shared" si="24"/>
        <v>3909.8478375</v>
      </c>
      <c r="BQ10" s="14">
        <v>67</v>
      </c>
      <c r="BT10" s="14">
        <f t="shared" si="25"/>
        <v>15052.883175</v>
      </c>
      <c r="BU10" s="14">
        <f t="shared" si="26"/>
        <v>15052.883175</v>
      </c>
      <c r="BV10" s="14">
        <v>258</v>
      </c>
      <c r="BY10" s="14">
        <f t="shared" si="27"/>
        <v>958.63845</v>
      </c>
      <c r="BZ10" s="14">
        <f t="shared" si="28"/>
        <v>958.63845</v>
      </c>
      <c r="CA10" s="14">
        <v>16</v>
      </c>
      <c r="CD10" s="14">
        <f t="shared" si="29"/>
        <v>2594.6476875</v>
      </c>
      <c r="CE10" s="14">
        <f t="shared" si="30"/>
        <v>2594.6476875</v>
      </c>
      <c r="CF10" s="14">
        <v>45</v>
      </c>
      <c r="CI10" s="14">
        <f t="shared" si="31"/>
        <v>10927.417462500001</v>
      </c>
      <c r="CJ10" s="14">
        <f t="shared" si="32"/>
        <v>10927.417462500001</v>
      </c>
      <c r="CK10" s="14">
        <v>188</v>
      </c>
      <c r="CN10" s="14">
        <f t="shared" si="33"/>
        <v>494.4744749999999</v>
      </c>
      <c r="CO10" s="14">
        <f t="shared" si="34"/>
        <v>494.4744749999999</v>
      </c>
      <c r="CP10" s="14">
        <v>9</v>
      </c>
      <c r="CS10" s="14">
        <f t="shared" si="35"/>
        <v>6987.3280125</v>
      </c>
      <c r="CT10" s="14">
        <f t="shared" si="36"/>
        <v>6987.3280125</v>
      </c>
      <c r="CU10" s="14">
        <v>120</v>
      </c>
      <c r="CX10" s="32">
        <f t="shared" si="37"/>
        <v>3343.5236999999997</v>
      </c>
      <c r="CY10" s="14">
        <f t="shared" si="38"/>
        <v>3343.5236999999997</v>
      </c>
      <c r="CZ10" s="14">
        <v>57</v>
      </c>
      <c r="DC10" s="14">
        <f t="shared" si="39"/>
        <v>5552.5391625</v>
      </c>
      <c r="DD10" s="14">
        <f t="shared" si="40"/>
        <v>5552.5391625</v>
      </c>
      <c r="DE10" s="14">
        <v>95</v>
      </c>
      <c r="DH10" s="14">
        <f t="shared" si="41"/>
        <v>16888.6661625</v>
      </c>
      <c r="DI10" s="14">
        <f t="shared" si="42"/>
        <v>16888.6661625</v>
      </c>
      <c r="DJ10" s="14">
        <v>290</v>
      </c>
      <c r="DM10" s="14">
        <f t="shared" si="43"/>
        <v>1752.7046625</v>
      </c>
      <c r="DN10" s="14">
        <f t="shared" si="44"/>
        <v>1752.7046625</v>
      </c>
      <c r="DO10" s="14">
        <v>30</v>
      </c>
      <c r="DR10" s="14">
        <f t="shared" si="45"/>
        <v>885.6177</v>
      </c>
      <c r="DS10" s="14">
        <f t="shared" si="46"/>
        <v>885.6177</v>
      </c>
      <c r="DT10" s="14">
        <v>15</v>
      </c>
      <c r="DW10" s="14">
        <f t="shared" si="47"/>
        <v>235.2508125</v>
      </c>
      <c r="DX10" s="14">
        <f t="shared" si="48"/>
        <v>235.2508125</v>
      </c>
      <c r="DY10" s="14">
        <v>4</v>
      </c>
      <c r="EB10" s="14">
        <f t="shared" si="49"/>
        <v>7689.153862499999</v>
      </c>
      <c r="EC10" s="14">
        <f t="shared" si="50"/>
        <v>7689.153862499999</v>
      </c>
      <c r="ED10" s="14">
        <v>132</v>
      </c>
      <c r="EG10" s="14">
        <f t="shared" si="51"/>
        <v>31385.0761125</v>
      </c>
      <c r="EH10" s="14">
        <f t="shared" si="52"/>
        <v>31385.0761125</v>
      </c>
      <c r="EI10" s="14">
        <v>539</v>
      </c>
      <c r="EL10" s="14">
        <f t="shared" si="53"/>
        <v>521.5472625</v>
      </c>
      <c r="EM10" s="14">
        <f t="shared" si="54"/>
        <v>521.5472625</v>
      </c>
      <c r="EN10" s="14">
        <v>9</v>
      </c>
      <c r="EQ10" s="14">
        <f t="shared" si="55"/>
        <v>6316.708199999999</v>
      </c>
      <c r="ER10" s="14">
        <f t="shared" si="56"/>
        <v>6316.708199999999</v>
      </c>
      <c r="ES10" s="14">
        <v>108</v>
      </c>
      <c r="EV10" s="14">
        <f t="shared" si="57"/>
        <v>2621.9960250000004</v>
      </c>
      <c r="EW10" s="14">
        <f t="shared" si="58"/>
        <v>2621.9960250000004</v>
      </c>
      <c r="EX10" s="14">
        <v>45</v>
      </c>
    </row>
    <row r="11" spans="1:154" ht="12.75">
      <c r="A11" s="2">
        <v>40634</v>
      </c>
      <c r="C11" s="15">
        <v>1525000</v>
      </c>
      <c r="D11" s="15">
        <v>708975</v>
      </c>
      <c r="E11" s="15">
        <f t="shared" si="0"/>
        <v>2233975</v>
      </c>
      <c r="G11" s="15">
        <v>65000</v>
      </c>
      <c r="H11" s="15">
        <v>20100</v>
      </c>
      <c r="I11" s="15">
        <f t="shared" si="1"/>
        <v>85100</v>
      </c>
      <c r="K11" s="15">
        <v>1460000</v>
      </c>
      <c r="L11" s="15">
        <v>688875</v>
      </c>
      <c r="M11" s="15">
        <f t="shared" si="2"/>
        <v>2148875</v>
      </c>
      <c r="N11" s="15"/>
      <c r="P11" s="14">
        <f t="shared" si="59"/>
        <v>116226.07399999998</v>
      </c>
      <c r="Q11" s="14">
        <f t="shared" si="3"/>
        <v>54839.2032375</v>
      </c>
      <c r="R11" s="32">
        <f t="shared" si="4"/>
        <v>171065.27723749998</v>
      </c>
      <c r="S11" s="32">
        <v>941</v>
      </c>
      <c r="U11" s="14">
        <f t="shared" si="60"/>
        <v>129379.79800000001</v>
      </c>
      <c r="V11" s="14">
        <f t="shared" si="5"/>
        <v>61045.5536625</v>
      </c>
      <c r="W11" s="14">
        <f t="shared" si="6"/>
        <v>190425.3516625</v>
      </c>
      <c r="X11" s="14">
        <v>1048</v>
      </c>
      <c r="Z11" s="32">
        <f t="shared" si="61"/>
        <v>47775.433999999994</v>
      </c>
      <c r="AA11" s="14">
        <f t="shared" si="7"/>
        <v>22541.987737500003</v>
      </c>
      <c r="AB11" s="14">
        <f t="shared" si="8"/>
        <v>70317.4217375</v>
      </c>
      <c r="AC11" s="14">
        <v>387</v>
      </c>
      <c r="AE11" s="14">
        <f t="shared" si="62"/>
        <v>35691.598000000005</v>
      </c>
      <c r="AF11" s="14">
        <f t="shared" si="9"/>
        <v>16840.4449125</v>
      </c>
      <c r="AG11" s="14">
        <f t="shared" si="10"/>
        <v>52532.04291250001</v>
      </c>
      <c r="AH11" s="14">
        <v>289</v>
      </c>
      <c r="AJ11" s="14">
        <f t="shared" si="63"/>
        <v>47520.956</v>
      </c>
      <c r="AK11" s="14">
        <f t="shared" si="11"/>
        <v>22421.916825</v>
      </c>
      <c r="AL11" s="14">
        <f t="shared" si="12"/>
        <v>69942.872825</v>
      </c>
      <c r="AM11" s="14">
        <v>385</v>
      </c>
      <c r="AO11" s="14">
        <f t="shared" si="64"/>
        <v>347204.206</v>
      </c>
      <c r="AP11" s="14">
        <f t="shared" si="13"/>
        <v>163822.12151250002</v>
      </c>
      <c r="AQ11" s="14">
        <f t="shared" si="14"/>
        <v>511026.3275125</v>
      </c>
      <c r="AR11" s="14">
        <v>2811</v>
      </c>
      <c r="AT11" s="14">
        <f t="shared" si="65"/>
        <v>5.84</v>
      </c>
      <c r="AU11" s="14">
        <f t="shared" si="15"/>
        <v>2.7555</v>
      </c>
      <c r="AV11" s="14">
        <f t="shared" si="16"/>
        <v>8.5955</v>
      </c>
      <c r="AY11" s="14">
        <f t="shared" si="66"/>
        <v>3542.1059999999998</v>
      </c>
      <c r="AZ11" s="14">
        <f t="shared" si="17"/>
        <v>1671.2796375</v>
      </c>
      <c r="BA11" s="14">
        <f t="shared" si="18"/>
        <v>5213.3856375</v>
      </c>
      <c r="BB11" s="14">
        <v>29</v>
      </c>
      <c r="BD11" s="14">
        <f t="shared" si="67"/>
        <v>1994.9440000000002</v>
      </c>
      <c r="BE11" s="14">
        <f t="shared" si="19"/>
        <v>941.2788</v>
      </c>
      <c r="BF11" s="14">
        <f t="shared" si="20"/>
        <v>2936.2228000000005</v>
      </c>
      <c r="BG11" s="14">
        <v>16</v>
      </c>
      <c r="BI11" s="14">
        <f t="shared" si="68"/>
        <v>12829.75</v>
      </c>
      <c r="BJ11" s="14">
        <f t="shared" si="21"/>
        <v>6053.4890625</v>
      </c>
      <c r="BK11" s="14">
        <f t="shared" si="22"/>
        <v>18883.2390625</v>
      </c>
      <c r="BL11" s="14">
        <v>104</v>
      </c>
      <c r="BN11" s="14">
        <f t="shared" si="69"/>
        <v>8286.522</v>
      </c>
      <c r="BO11" s="14">
        <f t="shared" si="23"/>
        <v>3909.8478375</v>
      </c>
      <c r="BP11" s="14">
        <f t="shared" si="24"/>
        <v>12196.3698375</v>
      </c>
      <c r="BQ11" s="14">
        <v>67</v>
      </c>
      <c r="BS11" s="14">
        <f t="shared" si="70"/>
        <v>31903.043999999998</v>
      </c>
      <c r="BT11" s="14">
        <f t="shared" si="25"/>
        <v>15052.883175</v>
      </c>
      <c r="BU11" s="14">
        <f t="shared" si="26"/>
        <v>46955.927175</v>
      </c>
      <c r="BV11" s="14">
        <v>258</v>
      </c>
      <c r="BX11" s="14">
        <f t="shared" si="71"/>
        <v>2031.736</v>
      </c>
      <c r="BY11" s="14">
        <f t="shared" si="27"/>
        <v>958.63845</v>
      </c>
      <c r="BZ11" s="14">
        <f t="shared" si="28"/>
        <v>2990.3744500000003</v>
      </c>
      <c r="CA11" s="14">
        <v>16</v>
      </c>
      <c r="CC11" s="14">
        <f t="shared" si="72"/>
        <v>5499.09</v>
      </c>
      <c r="CD11" s="14">
        <f t="shared" si="29"/>
        <v>2594.6476875</v>
      </c>
      <c r="CE11" s="14">
        <f t="shared" si="30"/>
        <v>8093.7376875</v>
      </c>
      <c r="CF11" s="14">
        <v>45</v>
      </c>
      <c r="CH11" s="14">
        <f t="shared" si="73"/>
        <v>23159.542</v>
      </c>
      <c r="CI11" s="14">
        <f t="shared" si="31"/>
        <v>10927.417462500001</v>
      </c>
      <c r="CJ11" s="14">
        <f t="shared" si="32"/>
        <v>34086.9594625</v>
      </c>
      <c r="CK11" s="14">
        <v>188</v>
      </c>
      <c r="CM11" s="14">
        <f t="shared" si="74"/>
        <v>1047.9879999999998</v>
      </c>
      <c r="CN11" s="14">
        <f t="shared" si="33"/>
        <v>494.4744749999999</v>
      </c>
      <c r="CO11" s="14">
        <f t="shared" si="34"/>
        <v>1542.4624749999998</v>
      </c>
      <c r="CP11" s="14">
        <v>9</v>
      </c>
      <c r="CR11" s="14">
        <f t="shared" si="75"/>
        <v>14808.926000000001</v>
      </c>
      <c r="CS11" s="14">
        <f t="shared" si="35"/>
        <v>6987.3280125</v>
      </c>
      <c r="CT11" s="14">
        <f t="shared" si="36"/>
        <v>21796.2540125</v>
      </c>
      <c r="CU11" s="14">
        <v>120</v>
      </c>
      <c r="CW11" s="14">
        <f t="shared" si="76"/>
        <v>7086.255999999999</v>
      </c>
      <c r="CX11" s="32">
        <f t="shared" si="37"/>
        <v>3343.5236999999997</v>
      </c>
      <c r="CY11" s="14">
        <f t="shared" si="38"/>
        <v>10429.7797</v>
      </c>
      <c r="CZ11" s="14">
        <v>57</v>
      </c>
      <c r="DB11" s="14">
        <f t="shared" si="77"/>
        <v>11768.038</v>
      </c>
      <c r="DC11" s="14">
        <f t="shared" si="39"/>
        <v>5552.5391625</v>
      </c>
      <c r="DD11" s="14">
        <f t="shared" si="40"/>
        <v>17320.5771625</v>
      </c>
      <c r="DE11" s="14">
        <v>95</v>
      </c>
      <c r="DG11" s="14">
        <f t="shared" si="78"/>
        <v>35793.798</v>
      </c>
      <c r="DH11" s="14">
        <f t="shared" si="41"/>
        <v>16888.6661625</v>
      </c>
      <c r="DI11" s="14">
        <f t="shared" si="42"/>
        <v>52682.46416250001</v>
      </c>
      <c r="DJ11" s="14">
        <v>290</v>
      </c>
      <c r="DL11" s="14">
        <f t="shared" si="79"/>
        <v>3714.678</v>
      </c>
      <c r="DM11" s="14">
        <f t="shared" si="43"/>
        <v>1752.7046625</v>
      </c>
      <c r="DN11" s="14">
        <f t="shared" si="44"/>
        <v>5467.3826625</v>
      </c>
      <c r="DO11" s="14">
        <v>30</v>
      </c>
      <c r="DQ11" s="14">
        <f t="shared" si="80"/>
        <v>1876.976</v>
      </c>
      <c r="DR11" s="14">
        <f t="shared" si="45"/>
        <v>885.6177</v>
      </c>
      <c r="DS11" s="14">
        <f t="shared" si="46"/>
        <v>2762.5937000000004</v>
      </c>
      <c r="DT11" s="14">
        <v>15</v>
      </c>
      <c r="DV11" s="14">
        <f t="shared" si="81"/>
        <v>498.59</v>
      </c>
      <c r="DW11" s="14">
        <f t="shared" si="47"/>
        <v>235.2508125</v>
      </c>
      <c r="DX11" s="14">
        <f t="shared" si="48"/>
        <v>733.8408125</v>
      </c>
      <c r="DY11" s="14">
        <v>4</v>
      </c>
      <c r="EA11" s="14">
        <f t="shared" si="82"/>
        <v>16296.374</v>
      </c>
      <c r="EB11" s="14">
        <f t="shared" si="49"/>
        <v>7689.153862499999</v>
      </c>
      <c r="EC11" s="14">
        <f t="shared" si="50"/>
        <v>23985.5278625</v>
      </c>
      <c r="ED11" s="14">
        <v>132</v>
      </c>
      <c r="EF11" s="14">
        <f t="shared" si="83"/>
        <v>66517.454</v>
      </c>
      <c r="EG11" s="14">
        <f t="shared" si="51"/>
        <v>31385.0761125</v>
      </c>
      <c r="EH11" s="14">
        <f t="shared" si="52"/>
        <v>97902.5301125</v>
      </c>
      <c r="EI11" s="14">
        <v>539</v>
      </c>
      <c r="EK11" s="14">
        <f t="shared" si="84"/>
        <v>1105.366</v>
      </c>
      <c r="EL11" s="14">
        <f t="shared" si="53"/>
        <v>521.5472625</v>
      </c>
      <c r="EM11" s="14">
        <f t="shared" si="54"/>
        <v>1626.9132625</v>
      </c>
      <c r="EN11" s="14">
        <v>9</v>
      </c>
      <c r="EP11" s="14">
        <f t="shared" si="85"/>
        <v>13387.616000000002</v>
      </c>
      <c r="EQ11" s="14">
        <f t="shared" si="55"/>
        <v>6316.708199999999</v>
      </c>
      <c r="ER11" s="14">
        <f t="shared" si="56"/>
        <v>19704.324200000003</v>
      </c>
      <c r="ES11" s="14">
        <v>108</v>
      </c>
      <c r="EU11" s="14">
        <f t="shared" si="86"/>
        <v>5557.052000000001</v>
      </c>
      <c r="EV11" s="14">
        <f t="shared" si="57"/>
        <v>2621.9960250000004</v>
      </c>
      <c r="EW11" s="14">
        <f t="shared" si="58"/>
        <v>8179.048025000001</v>
      </c>
      <c r="EX11" s="14">
        <v>45</v>
      </c>
    </row>
    <row r="12" spans="1:154" ht="12.75">
      <c r="A12" s="2">
        <v>40817</v>
      </c>
      <c r="D12" s="15">
        <v>674663</v>
      </c>
      <c r="E12" s="15">
        <f t="shared" si="0"/>
        <v>674663</v>
      </c>
      <c r="G12" s="15"/>
      <c r="H12" s="15">
        <v>18638</v>
      </c>
      <c r="I12" s="15">
        <f t="shared" si="1"/>
        <v>18638</v>
      </c>
      <c r="K12" s="15"/>
      <c r="L12" s="15">
        <v>656025</v>
      </c>
      <c r="M12" s="15">
        <f t="shared" si="2"/>
        <v>656025</v>
      </c>
      <c r="N12" s="15"/>
      <c r="Q12" s="14">
        <f t="shared" si="3"/>
        <v>52224.1165725</v>
      </c>
      <c r="R12" s="32">
        <f t="shared" si="4"/>
        <v>52224.1165725</v>
      </c>
      <c r="S12" s="32">
        <v>941</v>
      </c>
      <c r="V12" s="14">
        <f t="shared" si="5"/>
        <v>58134.5082075</v>
      </c>
      <c r="W12" s="14">
        <f t="shared" si="6"/>
        <v>58134.5082075</v>
      </c>
      <c r="X12" s="14">
        <v>1048</v>
      </c>
      <c r="Z12" s="32"/>
      <c r="AA12" s="14">
        <f t="shared" si="7"/>
        <v>21467.040472499997</v>
      </c>
      <c r="AB12" s="14">
        <f t="shared" si="8"/>
        <v>21467.040472499997</v>
      </c>
      <c r="AC12" s="14">
        <v>387</v>
      </c>
      <c r="AF12" s="14">
        <f t="shared" si="9"/>
        <v>16037.383957500002</v>
      </c>
      <c r="AG12" s="14">
        <f t="shared" si="10"/>
        <v>16037.383957500002</v>
      </c>
      <c r="AH12" s="14">
        <v>289</v>
      </c>
      <c r="AK12" s="14">
        <f t="shared" si="11"/>
        <v>21352.695315</v>
      </c>
      <c r="AL12" s="14">
        <f t="shared" si="12"/>
        <v>21352.695315</v>
      </c>
      <c r="AM12" s="14">
        <v>385</v>
      </c>
      <c r="AP12" s="14">
        <f t="shared" si="13"/>
        <v>156010.0268775</v>
      </c>
      <c r="AQ12" s="14">
        <f t="shared" si="14"/>
        <v>156010.0268775</v>
      </c>
      <c r="AR12" s="14">
        <v>2811</v>
      </c>
      <c r="AU12" s="14">
        <f t="shared" si="15"/>
        <v>2.6241000000000003</v>
      </c>
      <c r="AV12" s="14">
        <f t="shared" si="16"/>
        <v>2.6241000000000003</v>
      </c>
      <c r="AZ12" s="14">
        <f t="shared" si="17"/>
        <v>1591.5822524999999</v>
      </c>
      <c r="BA12" s="14">
        <f t="shared" si="18"/>
        <v>1591.5822524999999</v>
      </c>
      <c r="BB12" s="14">
        <v>29</v>
      </c>
      <c r="BE12" s="14">
        <f t="shared" si="19"/>
        <v>896.3925600000001</v>
      </c>
      <c r="BF12" s="14">
        <f t="shared" si="20"/>
        <v>896.3925600000001</v>
      </c>
      <c r="BG12" s="14">
        <v>16</v>
      </c>
      <c r="BJ12" s="14">
        <f t="shared" si="21"/>
        <v>5764.8196875</v>
      </c>
      <c r="BK12" s="14">
        <f t="shared" si="22"/>
        <v>5764.8196875</v>
      </c>
      <c r="BL12" s="14">
        <v>104</v>
      </c>
      <c r="BO12" s="14">
        <f t="shared" si="23"/>
        <v>3723.4010925000002</v>
      </c>
      <c r="BP12" s="14">
        <f t="shared" si="24"/>
        <v>3723.4010925000002</v>
      </c>
      <c r="BQ12" s="14">
        <v>67</v>
      </c>
      <c r="BT12" s="14">
        <f t="shared" si="25"/>
        <v>14335.064685</v>
      </c>
      <c r="BU12" s="14">
        <f t="shared" si="26"/>
        <v>14335.064685</v>
      </c>
      <c r="BV12" s="14">
        <v>258</v>
      </c>
      <c r="BY12" s="14">
        <f t="shared" si="27"/>
        <v>912.92439</v>
      </c>
      <c r="BZ12" s="14">
        <f t="shared" si="28"/>
        <v>912.92439</v>
      </c>
      <c r="CA12" s="14">
        <v>16</v>
      </c>
      <c r="CD12" s="14">
        <f t="shared" si="29"/>
        <v>2470.9181625</v>
      </c>
      <c r="CE12" s="14">
        <f t="shared" si="30"/>
        <v>2470.9181625</v>
      </c>
      <c r="CF12" s="14">
        <v>45</v>
      </c>
      <c r="CI12" s="14">
        <f t="shared" si="31"/>
        <v>10406.3277675</v>
      </c>
      <c r="CJ12" s="14">
        <f t="shared" si="32"/>
        <v>10406.3277675</v>
      </c>
      <c r="CK12" s="14">
        <v>188</v>
      </c>
      <c r="CN12" s="14">
        <f t="shared" si="33"/>
        <v>470.89474499999994</v>
      </c>
      <c r="CO12" s="14">
        <f t="shared" si="34"/>
        <v>470.89474499999994</v>
      </c>
      <c r="CP12" s="14">
        <v>9</v>
      </c>
      <c r="CS12" s="14">
        <f t="shared" si="35"/>
        <v>6654.1271775000005</v>
      </c>
      <c r="CT12" s="14">
        <f t="shared" si="36"/>
        <v>6654.1271775000005</v>
      </c>
      <c r="CU12" s="14">
        <v>120</v>
      </c>
      <c r="CX12" s="32">
        <f t="shared" si="37"/>
        <v>3184.08294</v>
      </c>
      <c r="CY12" s="14">
        <f t="shared" si="38"/>
        <v>3184.08294</v>
      </c>
      <c r="CZ12" s="14">
        <v>57</v>
      </c>
      <c r="DC12" s="14">
        <f t="shared" si="39"/>
        <v>5287.758307499999</v>
      </c>
      <c r="DD12" s="14">
        <f t="shared" si="40"/>
        <v>5287.758307499999</v>
      </c>
      <c r="DE12" s="14">
        <v>95</v>
      </c>
      <c r="DH12" s="14">
        <f t="shared" si="41"/>
        <v>16083.305707500002</v>
      </c>
      <c r="DI12" s="14">
        <f t="shared" si="42"/>
        <v>16083.305707500002</v>
      </c>
      <c r="DJ12" s="14">
        <v>290</v>
      </c>
      <c r="DM12" s="14">
        <f t="shared" si="43"/>
        <v>1669.1244074999997</v>
      </c>
      <c r="DN12" s="14">
        <f t="shared" si="44"/>
        <v>1669.1244074999997</v>
      </c>
      <c r="DO12" s="14">
        <v>30</v>
      </c>
      <c r="DR12" s="14">
        <f t="shared" si="45"/>
        <v>843.38574</v>
      </c>
      <c r="DS12" s="14">
        <f t="shared" si="46"/>
        <v>843.38574</v>
      </c>
      <c r="DT12" s="14">
        <v>15</v>
      </c>
      <c r="DW12" s="14">
        <f t="shared" si="47"/>
        <v>224.0325375</v>
      </c>
      <c r="DX12" s="14">
        <f t="shared" si="48"/>
        <v>224.0325375</v>
      </c>
      <c r="DY12" s="14">
        <v>4</v>
      </c>
      <c r="EB12" s="14">
        <f t="shared" si="49"/>
        <v>7322.4854475</v>
      </c>
      <c r="EC12" s="14">
        <f t="shared" si="50"/>
        <v>7322.4854475</v>
      </c>
      <c r="ED12" s="14">
        <v>132</v>
      </c>
      <c r="EG12" s="14">
        <f t="shared" si="51"/>
        <v>29888.433397500005</v>
      </c>
      <c r="EH12" s="14">
        <f t="shared" si="52"/>
        <v>29888.433397500005</v>
      </c>
      <c r="EI12" s="14">
        <v>539</v>
      </c>
      <c r="EL12" s="14">
        <f t="shared" si="53"/>
        <v>496.6765275</v>
      </c>
      <c r="EM12" s="14">
        <f t="shared" si="54"/>
        <v>496.6765275</v>
      </c>
      <c r="EN12" s="14">
        <v>9</v>
      </c>
      <c r="EQ12" s="14">
        <f t="shared" si="55"/>
        <v>6015.4868400000005</v>
      </c>
      <c r="ER12" s="14">
        <f t="shared" si="56"/>
        <v>6015.4868400000005</v>
      </c>
      <c r="ES12" s="14">
        <v>108</v>
      </c>
      <c r="EV12" s="14">
        <f t="shared" si="57"/>
        <v>2496.962355</v>
      </c>
      <c r="EW12" s="14">
        <f t="shared" si="58"/>
        <v>2496.962355</v>
      </c>
      <c r="EX12" s="14">
        <v>45</v>
      </c>
    </row>
    <row r="13" spans="1:154" ht="12.75">
      <c r="A13" s="2">
        <v>41000</v>
      </c>
      <c r="C13" s="15">
        <v>1590000</v>
      </c>
      <c r="D13" s="15">
        <v>674663</v>
      </c>
      <c r="E13" s="15">
        <f t="shared" si="0"/>
        <v>2264663</v>
      </c>
      <c r="G13" s="15">
        <v>65000</v>
      </c>
      <c r="H13" s="15">
        <v>18638</v>
      </c>
      <c r="I13" s="15">
        <f t="shared" si="1"/>
        <v>83638</v>
      </c>
      <c r="K13" s="15">
        <v>1525000</v>
      </c>
      <c r="L13" s="15">
        <v>656025</v>
      </c>
      <c r="M13" s="15">
        <f t="shared" si="2"/>
        <v>2181025</v>
      </c>
      <c r="N13" s="15"/>
      <c r="P13" s="14">
        <f t="shared" si="59"/>
        <v>121400.5225</v>
      </c>
      <c r="Q13" s="14">
        <f t="shared" si="3"/>
        <v>52224.1165725</v>
      </c>
      <c r="R13" s="32">
        <f t="shared" si="4"/>
        <v>173624.6390725</v>
      </c>
      <c r="S13" s="32">
        <v>941</v>
      </c>
      <c r="U13" s="14">
        <f t="shared" si="60"/>
        <v>135139.8575</v>
      </c>
      <c r="V13" s="14">
        <f t="shared" si="5"/>
        <v>58134.5082075</v>
      </c>
      <c r="W13" s="14">
        <f t="shared" si="6"/>
        <v>193274.36570750002</v>
      </c>
      <c r="X13" s="14">
        <v>1048</v>
      </c>
      <c r="Z13" s="32">
        <f t="shared" si="61"/>
        <v>49902.4225</v>
      </c>
      <c r="AA13" s="14">
        <f t="shared" si="7"/>
        <v>21467.040472499997</v>
      </c>
      <c r="AB13" s="14">
        <f t="shared" si="8"/>
        <v>71369.4629725</v>
      </c>
      <c r="AC13" s="14">
        <v>387</v>
      </c>
      <c r="AE13" s="14">
        <f t="shared" si="62"/>
        <v>37280.6075</v>
      </c>
      <c r="AF13" s="14">
        <f t="shared" si="9"/>
        <v>16037.383957500002</v>
      </c>
      <c r="AG13" s="14">
        <f t="shared" si="10"/>
        <v>53317.9914575</v>
      </c>
      <c r="AH13" s="14">
        <v>289</v>
      </c>
      <c r="AJ13" s="14">
        <f t="shared" si="63"/>
        <v>49636.615</v>
      </c>
      <c r="AK13" s="14">
        <f t="shared" si="11"/>
        <v>21352.695315</v>
      </c>
      <c r="AL13" s="14">
        <f t="shared" si="12"/>
        <v>70989.310315</v>
      </c>
      <c r="AM13" s="14">
        <v>385</v>
      </c>
      <c r="AO13" s="14">
        <f t="shared" si="64"/>
        <v>362661.9275</v>
      </c>
      <c r="AP13" s="14">
        <f t="shared" si="13"/>
        <v>156010.0268775</v>
      </c>
      <c r="AQ13" s="14">
        <f t="shared" si="14"/>
        <v>518671.9543775</v>
      </c>
      <c r="AR13" s="14">
        <v>2811</v>
      </c>
      <c r="AT13" s="14">
        <f t="shared" si="65"/>
        <v>6.1</v>
      </c>
      <c r="AU13" s="14">
        <f t="shared" si="15"/>
        <v>2.6241000000000003</v>
      </c>
      <c r="AV13" s="14">
        <f t="shared" si="16"/>
        <v>8.7241</v>
      </c>
      <c r="AY13" s="14">
        <f t="shared" si="66"/>
        <v>3699.8025</v>
      </c>
      <c r="AZ13" s="14">
        <f t="shared" si="17"/>
        <v>1591.5822524999999</v>
      </c>
      <c r="BA13" s="14">
        <f t="shared" si="18"/>
        <v>5291.3847525</v>
      </c>
      <c r="BB13" s="14">
        <v>29</v>
      </c>
      <c r="BD13" s="14">
        <f t="shared" si="67"/>
        <v>2083.76</v>
      </c>
      <c r="BE13" s="14">
        <f t="shared" si="19"/>
        <v>896.3925600000001</v>
      </c>
      <c r="BF13" s="14">
        <f t="shared" si="20"/>
        <v>2980.1525600000004</v>
      </c>
      <c r="BG13" s="14">
        <v>16</v>
      </c>
      <c r="BI13" s="14">
        <f t="shared" si="68"/>
        <v>13400.9375</v>
      </c>
      <c r="BJ13" s="14">
        <f t="shared" si="21"/>
        <v>5764.8196875</v>
      </c>
      <c r="BK13" s="14">
        <f t="shared" si="22"/>
        <v>19165.7571875</v>
      </c>
      <c r="BL13" s="14">
        <v>104</v>
      </c>
      <c r="BN13" s="14">
        <f t="shared" si="69"/>
        <v>8655.4425</v>
      </c>
      <c r="BO13" s="14">
        <f t="shared" si="23"/>
        <v>3723.4010925000002</v>
      </c>
      <c r="BP13" s="14">
        <f t="shared" si="24"/>
        <v>12378.8435925</v>
      </c>
      <c r="BQ13" s="14">
        <v>67</v>
      </c>
      <c r="BS13" s="14">
        <f t="shared" si="70"/>
        <v>33323.385</v>
      </c>
      <c r="BT13" s="14">
        <f t="shared" si="25"/>
        <v>14335.064685</v>
      </c>
      <c r="BU13" s="14">
        <f t="shared" si="26"/>
        <v>47658.449685</v>
      </c>
      <c r="BV13" s="14">
        <v>258</v>
      </c>
      <c r="BX13" s="14">
        <f t="shared" si="71"/>
        <v>2122.19</v>
      </c>
      <c r="BY13" s="14">
        <f t="shared" si="27"/>
        <v>912.92439</v>
      </c>
      <c r="BZ13" s="14">
        <f t="shared" si="28"/>
        <v>3035.11439</v>
      </c>
      <c r="CA13" s="14">
        <v>16</v>
      </c>
      <c r="CC13" s="14">
        <f t="shared" si="72"/>
        <v>5743.9125</v>
      </c>
      <c r="CD13" s="14">
        <f t="shared" si="29"/>
        <v>2470.9181625</v>
      </c>
      <c r="CE13" s="14">
        <f t="shared" si="30"/>
        <v>8214.8306625</v>
      </c>
      <c r="CF13" s="14">
        <v>45</v>
      </c>
      <c r="CH13" s="14">
        <f t="shared" si="73"/>
        <v>24190.6175</v>
      </c>
      <c r="CI13" s="14">
        <f t="shared" si="31"/>
        <v>10406.3277675</v>
      </c>
      <c r="CJ13" s="14">
        <f t="shared" si="32"/>
        <v>34596.9452675</v>
      </c>
      <c r="CK13" s="14">
        <v>188</v>
      </c>
      <c r="CM13" s="14">
        <f t="shared" si="74"/>
        <v>1094.645</v>
      </c>
      <c r="CN13" s="14">
        <f t="shared" si="33"/>
        <v>470.89474499999994</v>
      </c>
      <c r="CO13" s="14">
        <f t="shared" si="34"/>
        <v>1565.539745</v>
      </c>
      <c r="CP13" s="14">
        <v>9</v>
      </c>
      <c r="CR13" s="14">
        <f t="shared" si="75"/>
        <v>15468.2275</v>
      </c>
      <c r="CS13" s="14">
        <f t="shared" si="35"/>
        <v>6654.1271775000005</v>
      </c>
      <c r="CT13" s="14">
        <f t="shared" si="36"/>
        <v>22122.3546775</v>
      </c>
      <c r="CU13" s="14">
        <v>120</v>
      </c>
      <c r="CW13" s="14">
        <f t="shared" si="76"/>
        <v>7401.74</v>
      </c>
      <c r="CX13" s="32">
        <f t="shared" si="37"/>
        <v>3184.08294</v>
      </c>
      <c r="CY13" s="14">
        <f t="shared" si="38"/>
        <v>10585.82294</v>
      </c>
      <c r="CZ13" s="14">
        <v>57</v>
      </c>
      <c r="DB13" s="14">
        <f t="shared" si="77"/>
        <v>12291.9575</v>
      </c>
      <c r="DC13" s="14">
        <f t="shared" si="39"/>
        <v>5287.758307499999</v>
      </c>
      <c r="DD13" s="14">
        <f t="shared" si="40"/>
        <v>17579.7158075</v>
      </c>
      <c r="DE13" s="14">
        <v>95</v>
      </c>
      <c r="DG13" s="14">
        <f t="shared" si="78"/>
        <v>37387.357500000006</v>
      </c>
      <c r="DH13" s="14">
        <f t="shared" si="41"/>
        <v>16083.305707500002</v>
      </c>
      <c r="DI13" s="14">
        <f t="shared" si="42"/>
        <v>53470.66320750001</v>
      </c>
      <c r="DJ13" s="14">
        <v>290</v>
      </c>
      <c r="DL13" s="14">
        <f t="shared" si="79"/>
        <v>3880.0575</v>
      </c>
      <c r="DM13" s="14">
        <f t="shared" si="43"/>
        <v>1669.1244074999997</v>
      </c>
      <c r="DN13" s="14">
        <f t="shared" si="44"/>
        <v>5549.181907499999</v>
      </c>
      <c r="DO13" s="14">
        <v>30</v>
      </c>
      <c r="DQ13" s="14">
        <f t="shared" si="80"/>
        <v>1960.54</v>
      </c>
      <c r="DR13" s="14">
        <f t="shared" si="45"/>
        <v>843.38574</v>
      </c>
      <c r="DS13" s="14">
        <f t="shared" si="46"/>
        <v>2803.92574</v>
      </c>
      <c r="DT13" s="14">
        <v>15</v>
      </c>
      <c r="DV13" s="14">
        <f t="shared" si="81"/>
        <v>520.7875</v>
      </c>
      <c r="DW13" s="14">
        <f t="shared" si="47"/>
        <v>224.0325375</v>
      </c>
      <c r="DX13" s="14">
        <f t="shared" si="48"/>
        <v>744.8200375</v>
      </c>
      <c r="DY13" s="14">
        <v>4</v>
      </c>
      <c r="EA13" s="14">
        <f t="shared" si="82"/>
        <v>17021.8975</v>
      </c>
      <c r="EB13" s="14">
        <f t="shared" si="49"/>
        <v>7322.4854475</v>
      </c>
      <c r="EC13" s="14">
        <f t="shared" si="50"/>
        <v>24344.3829475</v>
      </c>
      <c r="ED13" s="14">
        <v>132</v>
      </c>
      <c r="EF13" s="14">
        <f t="shared" si="83"/>
        <v>69478.8475</v>
      </c>
      <c r="EG13" s="14">
        <f t="shared" si="51"/>
        <v>29888.433397500005</v>
      </c>
      <c r="EH13" s="14">
        <f t="shared" si="52"/>
        <v>99367.28089750001</v>
      </c>
      <c r="EI13" s="14">
        <v>539</v>
      </c>
      <c r="EK13" s="14">
        <f t="shared" si="84"/>
        <v>1154.5775</v>
      </c>
      <c r="EL13" s="14">
        <f t="shared" si="53"/>
        <v>496.6765275</v>
      </c>
      <c r="EM13" s="14">
        <f t="shared" si="54"/>
        <v>1651.2540275000001</v>
      </c>
      <c r="EN13" s="14">
        <v>9</v>
      </c>
      <c r="EP13" s="14">
        <f t="shared" si="85"/>
        <v>13983.64</v>
      </c>
      <c r="EQ13" s="14">
        <f t="shared" si="55"/>
        <v>6015.4868400000005</v>
      </c>
      <c r="ER13" s="14">
        <f t="shared" si="56"/>
        <v>19999.12684</v>
      </c>
      <c r="ES13" s="14">
        <v>108</v>
      </c>
      <c r="EU13" s="14">
        <f t="shared" si="86"/>
        <v>5804.455</v>
      </c>
      <c r="EV13" s="14">
        <f t="shared" si="57"/>
        <v>2496.962355</v>
      </c>
      <c r="EW13" s="14">
        <f t="shared" si="58"/>
        <v>8301.417355</v>
      </c>
      <c r="EX13" s="14">
        <v>45</v>
      </c>
    </row>
    <row r="14" spans="1:154" ht="12.75">
      <c r="A14" s="2">
        <v>41183</v>
      </c>
      <c r="D14" s="15">
        <v>638888</v>
      </c>
      <c r="E14" s="15">
        <f t="shared" si="0"/>
        <v>638888</v>
      </c>
      <c r="G14" s="15"/>
      <c r="H14" s="15">
        <v>17175</v>
      </c>
      <c r="I14" s="15">
        <f t="shared" si="1"/>
        <v>17175</v>
      </c>
      <c r="K14" s="15"/>
      <c r="L14" s="15">
        <v>621713</v>
      </c>
      <c r="M14" s="15">
        <f t="shared" si="2"/>
        <v>621713</v>
      </c>
      <c r="N14" s="15"/>
      <c r="Q14" s="14">
        <f t="shared" si="3"/>
        <v>49492.6446197</v>
      </c>
      <c r="R14" s="32">
        <f t="shared" si="4"/>
        <v>49492.6446197</v>
      </c>
      <c r="S14" s="32">
        <v>941</v>
      </c>
      <c r="V14" s="14">
        <f t="shared" si="5"/>
        <v>55093.905721899995</v>
      </c>
      <c r="W14" s="14">
        <f t="shared" si="6"/>
        <v>55093.905721899995</v>
      </c>
      <c r="X14" s="14">
        <v>1048</v>
      </c>
      <c r="Z14" s="32"/>
      <c r="AA14" s="14">
        <f t="shared" si="7"/>
        <v>20344.2523277</v>
      </c>
      <c r="AB14" s="14">
        <f t="shared" si="8"/>
        <v>20344.2523277</v>
      </c>
      <c r="AC14" s="14">
        <v>387</v>
      </c>
      <c r="AF14" s="14">
        <f t="shared" si="9"/>
        <v>15198.5825119</v>
      </c>
      <c r="AG14" s="14">
        <f t="shared" si="10"/>
        <v>15198.5825119</v>
      </c>
      <c r="AH14" s="14">
        <v>289</v>
      </c>
      <c r="AK14" s="14">
        <f t="shared" si="11"/>
        <v>20235.887751799997</v>
      </c>
      <c r="AL14" s="14">
        <f t="shared" si="12"/>
        <v>20235.887751799997</v>
      </c>
      <c r="AM14" s="14">
        <v>385</v>
      </c>
      <c r="AP14" s="14">
        <f t="shared" si="13"/>
        <v>147850.25241430002</v>
      </c>
      <c r="AQ14" s="14">
        <f t="shared" si="14"/>
        <v>147850.25241430002</v>
      </c>
      <c r="AR14" s="14">
        <v>2811</v>
      </c>
      <c r="AU14" s="14">
        <f t="shared" si="15"/>
        <v>2.4868520000000003</v>
      </c>
      <c r="AV14" s="14">
        <f t="shared" si="16"/>
        <v>2.4868520000000003</v>
      </c>
      <c r="AZ14" s="14">
        <f t="shared" si="17"/>
        <v>1508.3379092999999</v>
      </c>
      <c r="BA14" s="14">
        <f t="shared" si="18"/>
        <v>1508.3379092999999</v>
      </c>
      <c r="BB14" s="14">
        <v>29</v>
      </c>
      <c r="BE14" s="14">
        <f t="shared" si="19"/>
        <v>849.5086432</v>
      </c>
      <c r="BF14" s="14">
        <f t="shared" si="20"/>
        <v>849.5086432</v>
      </c>
      <c r="BG14" s="14">
        <v>16</v>
      </c>
      <c r="BJ14" s="14">
        <f t="shared" si="21"/>
        <v>5463.302987500001</v>
      </c>
      <c r="BK14" s="14">
        <f t="shared" si="22"/>
        <v>5463.302987500001</v>
      </c>
      <c r="BL14" s="14">
        <v>104</v>
      </c>
      <c r="BO14" s="14">
        <f t="shared" si="23"/>
        <v>3528.6564741</v>
      </c>
      <c r="BP14" s="14">
        <f t="shared" si="24"/>
        <v>3528.6564741</v>
      </c>
      <c r="BQ14" s="14">
        <v>67</v>
      </c>
      <c r="BT14" s="14">
        <f t="shared" si="25"/>
        <v>13585.299448200001</v>
      </c>
      <c r="BU14" s="14">
        <f t="shared" si="26"/>
        <v>13585.299448200001</v>
      </c>
      <c r="BV14" s="14">
        <v>258</v>
      </c>
      <c r="BY14" s="14">
        <f t="shared" si="27"/>
        <v>865.1758108</v>
      </c>
      <c r="BZ14" s="14">
        <f t="shared" si="28"/>
        <v>865.1758108</v>
      </c>
      <c r="CA14" s="14">
        <v>16</v>
      </c>
      <c r="CD14" s="14">
        <f t="shared" si="29"/>
        <v>2341.6820145</v>
      </c>
      <c r="CE14" s="14">
        <f t="shared" si="30"/>
        <v>2341.6820145</v>
      </c>
      <c r="CF14" s="14">
        <v>45</v>
      </c>
      <c r="CI14" s="14">
        <f t="shared" si="31"/>
        <v>9862.0468051</v>
      </c>
      <c r="CJ14" s="14">
        <f t="shared" si="32"/>
        <v>9862.0468051</v>
      </c>
      <c r="CK14" s="14">
        <v>188</v>
      </c>
      <c r="CN14" s="14">
        <f t="shared" si="33"/>
        <v>446.26559139999995</v>
      </c>
      <c r="CO14" s="14">
        <f t="shared" si="34"/>
        <v>446.26559139999995</v>
      </c>
      <c r="CP14" s="14">
        <v>9</v>
      </c>
      <c r="CS14" s="14">
        <f t="shared" si="35"/>
        <v>6306.0971303</v>
      </c>
      <c r="CT14" s="14">
        <f t="shared" si="36"/>
        <v>6306.0971303</v>
      </c>
      <c r="CU14" s="14">
        <v>120</v>
      </c>
      <c r="CX14" s="32">
        <f t="shared" si="37"/>
        <v>3017.5462168</v>
      </c>
      <c r="CY14" s="14">
        <f t="shared" si="38"/>
        <v>3017.5462168</v>
      </c>
      <c r="CZ14" s="14">
        <v>57</v>
      </c>
      <c r="DC14" s="14">
        <f t="shared" si="39"/>
        <v>5011.1932939</v>
      </c>
      <c r="DD14" s="14">
        <f t="shared" si="40"/>
        <v>5011.1932939</v>
      </c>
      <c r="DE14" s="14">
        <v>95</v>
      </c>
      <c r="DH14" s="14">
        <f t="shared" si="41"/>
        <v>15242.102421900001</v>
      </c>
      <c r="DI14" s="14">
        <f t="shared" si="42"/>
        <v>15242.102421900001</v>
      </c>
      <c r="DJ14" s="14">
        <v>290</v>
      </c>
      <c r="DM14" s="14">
        <f t="shared" si="43"/>
        <v>1581.8243859000002</v>
      </c>
      <c r="DN14" s="14">
        <f t="shared" si="44"/>
        <v>1581.8243859000002</v>
      </c>
      <c r="DO14" s="14">
        <v>30</v>
      </c>
      <c r="DR14" s="14">
        <f t="shared" si="45"/>
        <v>799.2742328</v>
      </c>
      <c r="DS14" s="14">
        <f t="shared" si="46"/>
        <v>799.2742328</v>
      </c>
      <c r="DT14" s="14">
        <v>15</v>
      </c>
      <c r="DW14" s="14">
        <f t="shared" si="47"/>
        <v>212.31498950000002</v>
      </c>
      <c r="DX14" s="14">
        <f t="shared" si="48"/>
        <v>212.31498950000002</v>
      </c>
      <c r="DY14" s="14">
        <v>4</v>
      </c>
      <c r="EB14" s="14">
        <f t="shared" si="49"/>
        <v>6939.4983347</v>
      </c>
      <c r="EC14" s="14">
        <f t="shared" si="50"/>
        <v>6939.4983347</v>
      </c>
      <c r="ED14" s="14">
        <v>132</v>
      </c>
      <c r="EG14" s="14">
        <f t="shared" si="51"/>
        <v>28325.1821087</v>
      </c>
      <c r="EH14" s="14">
        <f t="shared" si="52"/>
        <v>28325.1821087</v>
      </c>
      <c r="EI14" s="14">
        <v>539</v>
      </c>
      <c r="EL14" s="14">
        <f t="shared" si="53"/>
        <v>470.6989123</v>
      </c>
      <c r="EM14" s="14">
        <f t="shared" si="54"/>
        <v>470.6989123</v>
      </c>
      <c r="EN14" s="14">
        <v>9</v>
      </c>
      <c r="EQ14" s="14">
        <f t="shared" si="55"/>
        <v>5700.8595248</v>
      </c>
      <c r="ER14" s="14">
        <f t="shared" si="56"/>
        <v>5700.8595248</v>
      </c>
      <c r="ES14" s="14">
        <v>108</v>
      </c>
      <c r="EV14" s="14">
        <f t="shared" si="57"/>
        <v>2366.3640206</v>
      </c>
      <c r="EW14" s="14">
        <f t="shared" si="58"/>
        <v>2366.3640206</v>
      </c>
      <c r="EX14" s="14">
        <v>45</v>
      </c>
    </row>
    <row r="15" spans="1:154" ht="12.75">
      <c r="A15" s="2">
        <v>41365</v>
      </c>
      <c r="C15" s="15">
        <v>1660000</v>
      </c>
      <c r="D15" s="15">
        <v>638888</v>
      </c>
      <c r="E15" s="15">
        <f t="shared" si="0"/>
        <v>2298888</v>
      </c>
      <c r="G15" s="15">
        <v>65000</v>
      </c>
      <c r="H15" s="15">
        <v>17175</v>
      </c>
      <c r="I15" s="15">
        <f t="shared" si="1"/>
        <v>82175</v>
      </c>
      <c r="K15" s="15">
        <v>1595000</v>
      </c>
      <c r="L15" s="15">
        <v>621713</v>
      </c>
      <c r="M15" s="15">
        <f t="shared" si="2"/>
        <v>2216713</v>
      </c>
      <c r="N15" s="15"/>
      <c r="P15" s="14">
        <f t="shared" si="59"/>
        <v>126973.00549999998</v>
      </c>
      <c r="Q15" s="14">
        <f t="shared" si="3"/>
        <v>49492.6446197</v>
      </c>
      <c r="R15" s="32">
        <f t="shared" si="4"/>
        <v>176465.65011969997</v>
      </c>
      <c r="S15" s="32">
        <v>941</v>
      </c>
      <c r="U15" s="14">
        <f t="shared" si="60"/>
        <v>141342.9985</v>
      </c>
      <c r="V15" s="14">
        <f t="shared" si="5"/>
        <v>55093.905721899995</v>
      </c>
      <c r="W15" s="14">
        <f t="shared" si="6"/>
        <v>196436.90422189998</v>
      </c>
      <c r="X15" s="14">
        <v>1048</v>
      </c>
      <c r="Z15" s="32">
        <f t="shared" si="61"/>
        <v>52193.025499999996</v>
      </c>
      <c r="AA15" s="14">
        <f t="shared" si="7"/>
        <v>20344.2523277</v>
      </c>
      <c r="AB15" s="14">
        <f t="shared" si="8"/>
        <v>72537.27782769999</v>
      </c>
      <c r="AC15" s="14">
        <v>387</v>
      </c>
      <c r="AE15" s="14">
        <f t="shared" si="62"/>
        <v>38991.8485</v>
      </c>
      <c r="AF15" s="14">
        <f t="shared" si="9"/>
        <v>15198.5825119</v>
      </c>
      <c r="AG15" s="14">
        <f t="shared" si="10"/>
        <v>54190.4310119</v>
      </c>
      <c r="AH15" s="14">
        <v>289</v>
      </c>
      <c r="AJ15" s="14">
        <f t="shared" si="63"/>
        <v>51915.017</v>
      </c>
      <c r="AK15" s="14">
        <f t="shared" si="11"/>
        <v>20235.887751799997</v>
      </c>
      <c r="AL15" s="14">
        <f t="shared" si="12"/>
        <v>72150.9047518</v>
      </c>
      <c r="AM15" s="14">
        <v>385</v>
      </c>
      <c r="AO15" s="14">
        <f t="shared" si="64"/>
        <v>379308.70450000005</v>
      </c>
      <c r="AP15" s="14">
        <f t="shared" si="13"/>
        <v>147850.25241430002</v>
      </c>
      <c r="AQ15" s="14">
        <f t="shared" si="14"/>
        <v>527158.9569143001</v>
      </c>
      <c r="AR15" s="14">
        <v>2811</v>
      </c>
      <c r="AT15" s="14">
        <f t="shared" si="65"/>
        <v>6.38</v>
      </c>
      <c r="AU15" s="14">
        <f t="shared" si="15"/>
        <v>2.4868520000000003</v>
      </c>
      <c r="AV15" s="14">
        <f t="shared" si="16"/>
        <v>8.866852</v>
      </c>
      <c r="AY15" s="14">
        <f t="shared" si="66"/>
        <v>3869.6295</v>
      </c>
      <c r="AZ15" s="14">
        <f t="shared" si="17"/>
        <v>1508.3379092999999</v>
      </c>
      <c r="BA15" s="14">
        <f t="shared" si="18"/>
        <v>5377.967409299999</v>
      </c>
      <c r="BB15" s="14">
        <v>29</v>
      </c>
      <c r="BD15" s="14">
        <f t="shared" si="67"/>
        <v>2179.4080000000004</v>
      </c>
      <c r="BE15" s="14">
        <f t="shared" si="19"/>
        <v>849.5086432</v>
      </c>
      <c r="BF15" s="14">
        <f t="shared" si="20"/>
        <v>3028.9166432</v>
      </c>
      <c r="BG15" s="14">
        <v>16</v>
      </c>
      <c r="BI15" s="14">
        <f t="shared" si="68"/>
        <v>14016.0625</v>
      </c>
      <c r="BJ15" s="14">
        <f t="shared" si="21"/>
        <v>5463.302987500001</v>
      </c>
      <c r="BK15" s="14">
        <f t="shared" si="22"/>
        <v>19479.3654875</v>
      </c>
      <c r="BL15" s="14">
        <v>104</v>
      </c>
      <c r="BN15" s="14">
        <f t="shared" si="69"/>
        <v>9052.7415</v>
      </c>
      <c r="BO15" s="14">
        <f t="shared" si="23"/>
        <v>3528.6564741</v>
      </c>
      <c r="BP15" s="14">
        <f t="shared" si="24"/>
        <v>12581.3979741</v>
      </c>
      <c r="BQ15" s="14">
        <v>67</v>
      </c>
      <c r="BS15" s="14">
        <f t="shared" si="70"/>
        <v>34852.983</v>
      </c>
      <c r="BT15" s="14">
        <f t="shared" si="25"/>
        <v>13585.299448200001</v>
      </c>
      <c r="BU15" s="14">
        <f t="shared" si="26"/>
        <v>48438.2824482</v>
      </c>
      <c r="BV15" s="14">
        <v>258</v>
      </c>
      <c r="BX15" s="14">
        <f t="shared" si="71"/>
        <v>2219.6020000000003</v>
      </c>
      <c r="BY15" s="14">
        <f t="shared" si="27"/>
        <v>865.1758108</v>
      </c>
      <c r="BZ15" s="14">
        <f t="shared" si="28"/>
        <v>3084.7778108</v>
      </c>
      <c r="CA15" s="14">
        <v>16</v>
      </c>
      <c r="CC15" s="14">
        <f t="shared" si="72"/>
        <v>6007.5675</v>
      </c>
      <c r="CD15" s="14">
        <f t="shared" si="29"/>
        <v>2341.6820145</v>
      </c>
      <c r="CE15" s="14">
        <f t="shared" si="30"/>
        <v>8349.2495145</v>
      </c>
      <c r="CF15" s="14">
        <v>45</v>
      </c>
      <c r="CH15" s="14">
        <f t="shared" si="73"/>
        <v>25301.0065</v>
      </c>
      <c r="CI15" s="14">
        <f t="shared" si="31"/>
        <v>9862.0468051</v>
      </c>
      <c r="CJ15" s="14">
        <f t="shared" si="32"/>
        <v>35163.0533051</v>
      </c>
      <c r="CK15" s="14">
        <v>188</v>
      </c>
      <c r="CM15" s="14">
        <f t="shared" si="74"/>
        <v>1144.8909999999998</v>
      </c>
      <c r="CN15" s="14">
        <f t="shared" si="33"/>
        <v>446.26559139999995</v>
      </c>
      <c r="CO15" s="14">
        <f t="shared" si="34"/>
        <v>1591.1565913999998</v>
      </c>
      <c r="CP15" s="14">
        <v>9</v>
      </c>
      <c r="CR15" s="14">
        <f t="shared" si="75"/>
        <v>16178.244500000003</v>
      </c>
      <c r="CS15" s="14">
        <f t="shared" si="35"/>
        <v>6306.0971303</v>
      </c>
      <c r="CT15" s="14">
        <f t="shared" si="36"/>
        <v>22484.3416303</v>
      </c>
      <c r="CU15" s="14">
        <v>120</v>
      </c>
      <c r="CW15" s="14">
        <f t="shared" si="76"/>
        <v>7741.492000000001</v>
      </c>
      <c r="CX15" s="32">
        <f t="shared" si="37"/>
        <v>3017.5462168</v>
      </c>
      <c r="CY15" s="14">
        <f t="shared" si="38"/>
        <v>10759.038216800001</v>
      </c>
      <c r="CZ15" s="14">
        <v>57</v>
      </c>
      <c r="DB15" s="14">
        <f t="shared" si="77"/>
        <v>12856.178500000002</v>
      </c>
      <c r="DC15" s="14">
        <f t="shared" si="39"/>
        <v>5011.1932939</v>
      </c>
      <c r="DD15" s="14">
        <f t="shared" si="40"/>
        <v>17867.3717939</v>
      </c>
      <c r="DE15" s="14">
        <v>95</v>
      </c>
      <c r="DG15" s="14">
        <f t="shared" si="78"/>
        <v>39103.4985</v>
      </c>
      <c r="DH15" s="14">
        <f t="shared" si="41"/>
        <v>15242.102421900001</v>
      </c>
      <c r="DI15" s="14">
        <f t="shared" si="42"/>
        <v>54345.600921900004</v>
      </c>
      <c r="DJ15" s="14">
        <v>290</v>
      </c>
      <c r="DL15" s="14">
        <f t="shared" si="79"/>
        <v>4058.1584999999995</v>
      </c>
      <c r="DM15" s="14">
        <f t="shared" si="43"/>
        <v>1581.8243859000002</v>
      </c>
      <c r="DN15" s="14">
        <f t="shared" si="44"/>
        <v>5639.9828859</v>
      </c>
      <c r="DO15" s="14">
        <v>30</v>
      </c>
      <c r="DQ15" s="14">
        <f t="shared" si="80"/>
        <v>2050.532</v>
      </c>
      <c r="DR15" s="14">
        <f t="shared" si="45"/>
        <v>799.2742328</v>
      </c>
      <c r="DS15" s="14">
        <f t="shared" si="46"/>
        <v>2849.8062328</v>
      </c>
      <c r="DT15" s="14">
        <v>15</v>
      </c>
      <c r="DV15" s="14">
        <f t="shared" si="81"/>
        <v>544.6925</v>
      </c>
      <c r="DW15" s="14">
        <f t="shared" si="47"/>
        <v>212.31498950000002</v>
      </c>
      <c r="DX15" s="14">
        <f t="shared" si="48"/>
        <v>757.0074895</v>
      </c>
      <c r="DY15" s="14">
        <v>4</v>
      </c>
      <c r="EA15" s="14">
        <f t="shared" si="82"/>
        <v>17803.2305</v>
      </c>
      <c r="EB15" s="14">
        <f t="shared" si="49"/>
        <v>6939.4983347</v>
      </c>
      <c r="EC15" s="14">
        <f t="shared" si="50"/>
        <v>24742.7288347</v>
      </c>
      <c r="ED15" s="14">
        <v>132</v>
      </c>
      <c r="EF15" s="14">
        <f t="shared" si="83"/>
        <v>72668.0405</v>
      </c>
      <c r="EG15" s="14">
        <f t="shared" si="51"/>
        <v>28325.1821087</v>
      </c>
      <c r="EH15" s="14">
        <f t="shared" si="52"/>
        <v>100993.2226087</v>
      </c>
      <c r="EI15" s="14">
        <v>539</v>
      </c>
      <c r="EK15" s="14">
        <f t="shared" si="84"/>
        <v>1207.5745</v>
      </c>
      <c r="EL15" s="14">
        <f t="shared" si="53"/>
        <v>470.6989123</v>
      </c>
      <c r="EM15" s="14">
        <f t="shared" si="54"/>
        <v>1678.2734123</v>
      </c>
      <c r="EN15" s="14">
        <v>9</v>
      </c>
      <c r="EP15" s="14">
        <f t="shared" si="85"/>
        <v>14625.511999999999</v>
      </c>
      <c r="EQ15" s="14">
        <f t="shared" si="55"/>
        <v>5700.8595248</v>
      </c>
      <c r="ER15" s="14">
        <f t="shared" si="56"/>
        <v>20326.3715248</v>
      </c>
      <c r="ES15" s="14">
        <v>108</v>
      </c>
      <c r="EU15" s="14">
        <f t="shared" si="86"/>
        <v>6070.889</v>
      </c>
      <c r="EV15" s="14">
        <f t="shared" si="57"/>
        <v>2366.3640206</v>
      </c>
      <c r="EW15" s="14">
        <f t="shared" si="58"/>
        <v>8437.253020600001</v>
      </c>
      <c r="EX15" s="14">
        <v>45</v>
      </c>
    </row>
    <row r="16" spans="1:154" ht="12.75">
      <c r="A16" s="2">
        <v>41548</v>
      </c>
      <c r="D16" s="15">
        <v>601538</v>
      </c>
      <c r="E16" s="15">
        <f t="shared" si="0"/>
        <v>601538</v>
      </c>
      <c r="G16" s="15"/>
      <c r="H16" s="15">
        <v>15713</v>
      </c>
      <c r="I16" s="15">
        <f t="shared" si="1"/>
        <v>15713</v>
      </c>
      <c r="K16" s="15"/>
      <c r="L16" s="15">
        <v>585825</v>
      </c>
      <c r="M16" s="15">
        <f t="shared" si="2"/>
        <v>585825</v>
      </c>
      <c r="N16" s="15"/>
      <c r="Q16" s="14">
        <f t="shared" si="3"/>
        <v>46635.7121925</v>
      </c>
      <c r="R16" s="32">
        <f t="shared" si="4"/>
        <v>46635.7121925</v>
      </c>
      <c r="S16" s="32">
        <v>941</v>
      </c>
      <c r="V16" s="14">
        <f t="shared" si="5"/>
        <v>51913.6439475</v>
      </c>
      <c r="W16" s="14">
        <f t="shared" si="6"/>
        <v>51913.6439475</v>
      </c>
      <c r="X16" s="14">
        <v>1048</v>
      </c>
      <c r="Z16" s="32"/>
      <c r="AA16" s="14">
        <f t="shared" si="7"/>
        <v>19169.8928925</v>
      </c>
      <c r="AB16" s="14">
        <f t="shared" si="8"/>
        <v>19169.8928925</v>
      </c>
      <c r="AC16" s="14">
        <v>387</v>
      </c>
      <c r="AF16" s="14">
        <f t="shared" si="9"/>
        <v>14321.2536975</v>
      </c>
      <c r="AG16" s="14">
        <f t="shared" si="10"/>
        <v>14321.2536975</v>
      </c>
      <c r="AH16" s="14">
        <v>289</v>
      </c>
      <c r="AK16" s="14">
        <f t="shared" si="11"/>
        <v>19067.783595</v>
      </c>
      <c r="AL16" s="14">
        <f t="shared" si="12"/>
        <v>19067.783595</v>
      </c>
      <c r="AM16" s="14">
        <v>385</v>
      </c>
      <c r="AP16" s="14">
        <f t="shared" si="13"/>
        <v>139315.6876575</v>
      </c>
      <c r="AQ16" s="14">
        <f t="shared" si="14"/>
        <v>139315.6876575</v>
      </c>
      <c r="AR16" s="14">
        <v>2811</v>
      </c>
      <c r="AU16" s="14">
        <f t="shared" si="15"/>
        <v>2.3433</v>
      </c>
      <c r="AV16" s="14">
        <f t="shared" si="16"/>
        <v>2.3433</v>
      </c>
      <c r="AZ16" s="14">
        <f t="shared" si="17"/>
        <v>1421.2700325</v>
      </c>
      <c r="BA16" s="14">
        <f t="shared" si="18"/>
        <v>1421.2700325</v>
      </c>
      <c r="BB16" s="14">
        <v>29</v>
      </c>
      <c r="BE16" s="14">
        <f t="shared" si="19"/>
        <v>800.4712800000001</v>
      </c>
      <c r="BF16" s="14">
        <f t="shared" si="20"/>
        <v>800.4712800000001</v>
      </c>
      <c r="BG16" s="14">
        <v>16</v>
      </c>
      <c r="BJ16" s="14">
        <f t="shared" si="21"/>
        <v>5147.9371875</v>
      </c>
      <c r="BK16" s="14">
        <f t="shared" si="22"/>
        <v>5147.9371875</v>
      </c>
      <c r="BL16" s="14">
        <v>104</v>
      </c>
      <c r="BO16" s="14">
        <f t="shared" si="23"/>
        <v>3324.9669525</v>
      </c>
      <c r="BP16" s="14">
        <f t="shared" si="24"/>
        <v>3324.9669525</v>
      </c>
      <c r="BQ16" s="14">
        <v>67</v>
      </c>
      <c r="BT16" s="14">
        <f t="shared" si="25"/>
        <v>12801.096405</v>
      </c>
      <c r="BU16" s="14">
        <f t="shared" si="26"/>
        <v>12801.096405</v>
      </c>
      <c r="BV16" s="14">
        <v>258</v>
      </c>
      <c r="BY16" s="14">
        <f t="shared" si="27"/>
        <v>815.2340700000001</v>
      </c>
      <c r="BZ16" s="14">
        <f t="shared" si="28"/>
        <v>815.2340700000001</v>
      </c>
      <c r="CA16" s="14">
        <v>16</v>
      </c>
      <c r="CD16" s="14">
        <f t="shared" si="29"/>
        <v>2206.5098625</v>
      </c>
      <c r="CE16" s="14">
        <f t="shared" si="30"/>
        <v>2206.5098625</v>
      </c>
      <c r="CF16" s="14">
        <v>45</v>
      </c>
      <c r="CI16" s="14">
        <f t="shared" si="31"/>
        <v>9292.7662275</v>
      </c>
      <c r="CJ16" s="14">
        <f t="shared" si="32"/>
        <v>9292.7662275</v>
      </c>
      <c r="CK16" s="14">
        <v>188</v>
      </c>
      <c r="CN16" s="14">
        <f t="shared" si="33"/>
        <v>420.505185</v>
      </c>
      <c r="CO16" s="14">
        <f t="shared" si="34"/>
        <v>420.505185</v>
      </c>
      <c r="CP16" s="14">
        <v>9</v>
      </c>
      <c r="CS16" s="14">
        <f t="shared" si="35"/>
        <v>5942.081557500001</v>
      </c>
      <c r="CT16" s="14">
        <f t="shared" si="36"/>
        <v>5942.081557500001</v>
      </c>
      <c r="CU16" s="14">
        <v>120</v>
      </c>
      <c r="CX16" s="32">
        <f t="shared" si="37"/>
        <v>2843.36022</v>
      </c>
      <c r="CY16" s="14">
        <f t="shared" si="38"/>
        <v>2843.36022</v>
      </c>
      <c r="CZ16" s="14">
        <v>57</v>
      </c>
      <c r="DC16" s="14">
        <f t="shared" si="39"/>
        <v>4721.9252475</v>
      </c>
      <c r="DD16" s="14">
        <f t="shared" si="40"/>
        <v>4721.9252475</v>
      </c>
      <c r="DE16" s="14">
        <v>95</v>
      </c>
      <c r="DH16" s="14">
        <f t="shared" si="41"/>
        <v>14362.261447500003</v>
      </c>
      <c r="DI16" s="14">
        <f t="shared" si="42"/>
        <v>14362.261447500003</v>
      </c>
      <c r="DJ16" s="14">
        <v>290</v>
      </c>
      <c r="DM16" s="14">
        <f t="shared" si="43"/>
        <v>1490.5145475</v>
      </c>
      <c r="DN16" s="14">
        <f t="shared" si="44"/>
        <v>1490.5145475</v>
      </c>
      <c r="DO16" s="14">
        <v>30</v>
      </c>
      <c r="DR16" s="14">
        <f t="shared" si="45"/>
        <v>753.1366200000001</v>
      </c>
      <c r="DS16" s="14">
        <f t="shared" si="46"/>
        <v>753.1366200000001</v>
      </c>
      <c r="DT16" s="14">
        <v>15</v>
      </c>
      <c r="DW16" s="14">
        <f t="shared" si="47"/>
        <v>200.0592375</v>
      </c>
      <c r="DX16" s="14">
        <f t="shared" si="48"/>
        <v>200.0592375</v>
      </c>
      <c r="DY16" s="14">
        <v>4</v>
      </c>
      <c r="EB16" s="14">
        <f t="shared" si="49"/>
        <v>6538.9200675</v>
      </c>
      <c r="EC16" s="14">
        <f t="shared" si="50"/>
        <v>6538.9200675</v>
      </c>
      <c r="ED16" s="14">
        <v>132</v>
      </c>
      <c r="EG16" s="14">
        <f t="shared" si="51"/>
        <v>26690.1284175</v>
      </c>
      <c r="EH16" s="14">
        <f t="shared" si="52"/>
        <v>26690.1284175</v>
      </c>
      <c r="EI16" s="14">
        <v>539</v>
      </c>
      <c r="EL16" s="14">
        <f t="shared" si="53"/>
        <v>443.5281075</v>
      </c>
      <c r="EM16" s="14">
        <f t="shared" si="54"/>
        <v>443.5281075</v>
      </c>
      <c r="EN16" s="14">
        <v>9</v>
      </c>
      <c r="EQ16" s="14">
        <f t="shared" si="55"/>
        <v>5371.780919999999</v>
      </c>
      <c r="ER16" s="14">
        <f t="shared" si="56"/>
        <v>5371.780919999999</v>
      </c>
      <c r="ES16" s="14">
        <v>108</v>
      </c>
      <c r="EV16" s="14">
        <f t="shared" si="57"/>
        <v>2229.767115</v>
      </c>
      <c r="EW16" s="14">
        <f t="shared" si="58"/>
        <v>2229.767115</v>
      </c>
      <c r="EX16" s="14">
        <v>45</v>
      </c>
    </row>
    <row r="17" spans="1:154" ht="12.75">
      <c r="A17" s="2">
        <v>41730</v>
      </c>
      <c r="C17" s="15">
        <v>1735000</v>
      </c>
      <c r="D17" s="15">
        <v>601538</v>
      </c>
      <c r="E17" s="15">
        <f t="shared" si="0"/>
        <v>2336538</v>
      </c>
      <c r="G17" s="15">
        <v>65000</v>
      </c>
      <c r="H17" s="15">
        <v>15713</v>
      </c>
      <c r="I17" s="15">
        <f t="shared" si="1"/>
        <v>80713</v>
      </c>
      <c r="K17" s="15">
        <v>1670000</v>
      </c>
      <c r="L17" s="15">
        <v>585825</v>
      </c>
      <c r="M17" s="15">
        <f t="shared" si="2"/>
        <v>2255825</v>
      </c>
      <c r="N17" s="15"/>
      <c r="P17" s="14">
        <f t="shared" si="59"/>
        <v>132943.523</v>
      </c>
      <c r="Q17" s="14">
        <f t="shared" si="3"/>
        <v>46635.7121925</v>
      </c>
      <c r="R17" s="32">
        <f t="shared" si="4"/>
        <v>179579.2351925</v>
      </c>
      <c r="S17" s="32">
        <v>941</v>
      </c>
      <c r="U17" s="14">
        <f t="shared" si="60"/>
        <v>147989.221</v>
      </c>
      <c r="V17" s="14">
        <f t="shared" si="5"/>
        <v>51913.6439475</v>
      </c>
      <c r="W17" s="14">
        <f t="shared" si="6"/>
        <v>199902.8649475</v>
      </c>
      <c r="X17" s="14">
        <v>1048</v>
      </c>
      <c r="Z17" s="32">
        <f t="shared" si="61"/>
        <v>54647.242999999995</v>
      </c>
      <c r="AA17" s="14">
        <f t="shared" si="7"/>
        <v>19169.8928925</v>
      </c>
      <c r="AB17" s="14">
        <f t="shared" si="8"/>
        <v>73817.1358925</v>
      </c>
      <c r="AC17" s="14">
        <v>387</v>
      </c>
      <c r="AE17" s="14">
        <f t="shared" si="62"/>
        <v>40825.321</v>
      </c>
      <c r="AF17" s="14">
        <f t="shared" si="9"/>
        <v>14321.2536975</v>
      </c>
      <c r="AG17" s="14">
        <f t="shared" si="10"/>
        <v>55146.57469750001</v>
      </c>
      <c r="AH17" s="14">
        <v>289</v>
      </c>
      <c r="AJ17" s="14">
        <f t="shared" si="63"/>
        <v>54356.162000000004</v>
      </c>
      <c r="AK17" s="14">
        <f t="shared" si="11"/>
        <v>19067.783595</v>
      </c>
      <c r="AL17" s="14">
        <f t="shared" si="12"/>
        <v>73423.945595</v>
      </c>
      <c r="AM17" s="14">
        <v>385</v>
      </c>
      <c r="AO17" s="14">
        <f t="shared" si="64"/>
        <v>397144.537</v>
      </c>
      <c r="AP17" s="14">
        <f t="shared" si="13"/>
        <v>139315.6876575</v>
      </c>
      <c r="AQ17" s="14">
        <f t="shared" si="14"/>
        <v>536460.2246575</v>
      </c>
      <c r="AR17" s="14">
        <v>2811</v>
      </c>
      <c r="AT17" s="14">
        <f t="shared" si="65"/>
        <v>6.68</v>
      </c>
      <c r="AU17" s="14">
        <f t="shared" si="15"/>
        <v>2.3433</v>
      </c>
      <c r="AV17" s="14">
        <f t="shared" si="16"/>
        <v>9.023299999999999</v>
      </c>
      <c r="AY17" s="14">
        <f t="shared" si="66"/>
        <v>4051.587</v>
      </c>
      <c r="AZ17" s="14">
        <f t="shared" si="17"/>
        <v>1421.2700325</v>
      </c>
      <c r="BA17" s="14">
        <f t="shared" si="18"/>
        <v>5472.8570325</v>
      </c>
      <c r="BB17" s="14">
        <v>29</v>
      </c>
      <c r="BD17" s="14">
        <f t="shared" si="67"/>
        <v>2281.8880000000004</v>
      </c>
      <c r="BE17" s="14">
        <f t="shared" si="19"/>
        <v>800.4712800000001</v>
      </c>
      <c r="BF17" s="14">
        <f t="shared" si="20"/>
        <v>3082.3592800000006</v>
      </c>
      <c r="BG17" s="14">
        <v>16</v>
      </c>
      <c r="BI17" s="14">
        <f t="shared" si="68"/>
        <v>14675.125</v>
      </c>
      <c r="BJ17" s="14">
        <f t="shared" si="21"/>
        <v>5147.9371875</v>
      </c>
      <c r="BK17" s="14">
        <f t="shared" si="22"/>
        <v>19823.0621875</v>
      </c>
      <c r="BL17" s="14">
        <v>104</v>
      </c>
      <c r="BN17" s="14">
        <f t="shared" si="69"/>
        <v>9478.419</v>
      </c>
      <c r="BO17" s="14">
        <f t="shared" si="23"/>
        <v>3324.9669525</v>
      </c>
      <c r="BP17" s="14">
        <f t="shared" si="24"/>
        <v>12803.3859525</v>
      </c>
      <c r="BQ17" s="14">
        <v>67</v>
      </c>
      <c r="BS17" s="14">
        <f t="shared" si="70"/>
        <v>36491.838</v>
      </c>
      <c r="BT17" s="14">
        <f t="shared" si="25"/>
        <v>12801.096405</v>
      </c>
      <c r="BU17" s="14">
        <f t="shared" si="26"/>
        <v>49292.93440500001</v>
      </c>
      <c r="BV17" s="14">
        <v>258</v>
      </c>
      <c r="BX17" s="14">
        <f t="shared" si="71"/>
        <v>2323.972</v>
      </c>
      <c r="BY17" s="14">
        <f t="shared" si="27"/>
        <v>815.2340700000001</v>
      </c>
      <c r="BZ17" s="14">
        <f t="shared" si="28"/>
        <v>3139.20607</v>
      </c>
      <c r="CA17" s="14">
        <v>16</v>
      </c>
      <c r="CC17" s="14">
        <f t="shared" si="72"/>
        <v>6290.055</v>
      </c>
      <c r="CD17" s="14">
        <f t="shared" si="29"/>
        <v>2206.5098625</v>
      </c>
      <c r="CE17" s="14">
        <f t="shared" si="30"/>
        <v>8496.5648625</v>
      </c>
      <c r="CF17" s="14">
        <v>45</v>
      </c>
      <c r="CH17" s="14">
        <f t="shared" si="73"/>
        <v>26490.709</v>
      </c>
      <c r="CI17" s="14">
        <f t="shared" si="31"/>
        <v>9292.7662275</v>
      </c>
      <c r="CJ17" s="14">
        <f t="shared" si="32"/>
        <v>35783.4752275</v>
      </c>
      <c r="CK17" s="14">
        <v>188</v>
      </c>
      <c r="CM17" s="14">
        <f t="shared" si="74"/>
        <v>1198.7259999999999</v>
      </c>
      <c r="CN17" s="14">
        <f t="shared" si="33"/>
        <v>420.505185</v>
      </c>
      <c r="CO17" s="14">
        <f t="shared" si="34"/>
        <v>1619.2311849999999</v>
      </c>
      <c r="CP17" s="14">
        <v>9</v>
      </c>
      <c r="CR17" s="14">
        <f t="shared" si="75"/>
        <v>16938.977000000003</v>
      </c>
      <c r="CS17" s="14">
        <f t="shared" si="35"/>
        <v>5942.081557500001</v>
      </c>
      <c r="CT17" s="14">
        <f t="shared" si="36"/>
        <v>22881.058557500004</v>
      </c>
      <c r="CU17" s="14">
        <v>120</v>
      </c>
      <c r="CW17" s="14">
        <f t="shared" si="76"/>
        <v>8105.512000000001</v>
      </c>
      <c r="CX17" s="32">
        <f t="shared" si="37"/>
        <v>2843.36022</v>
      </c>
      <c r="CY17" s="14">
        <f t="shared" si="38"/>
        <v>10948.872220000001</v>
      </c>
      <c r="CZ17" s="14">
        <v>57</v>
      </c>
      <c r="DB17" s="14">
        <f t="shared" si="77"/>
        <v>13460.701000000001</v>
      </c>
      <c r="DC17" s="14">
        <f t="shared" si="39"/>
        <v>4721.9252475</v>
      </c>
      <c r="DD17" s="14">
        <f t="shared" si="40"/>
        <v>18182.6262475</v>
      </c>
      <c r="DE17" s="14">
        <v>95</v>
      </c>
      <c r="DG17" s="14">
        <f t="shared" si="78"/>
        <v>40942.221000000005</v>
      </c>
      <c r="DH17" s="14">
        <f t="shared" si="41"/>
        <v>14362.261447500003</v>
      </c>
      <c r="DI17" s="14">
        <f t="shared" si="42"/>
        <v>55304.482447500006</v>
      </c>
      <c r="DJ17" s="14">
        <v>290</v>
      </c>
      <c r="DL17" s="14">
        <f t="shared" si="79"/>
        <v>4248.981</v>
      </c>
      <c r="DM17" s="14">
        <f t="shared" si="43"/>
        <v>1490.5145475</v>
      </c>
      <c r="DN17" s="14">
        <f t="shared" si="44"/>
        <v>5739.4955475</v>
      </c>
      <c r="DO17" s="14">
        <v>30</v>
      </c>
      <c r="DQ17" s="14">
        <f t="shared" si="80"/>
        <v>2146.952</v>
      </c>
      <c r="DR17" s="14">
        <f t="shared" si="45"/>
        <v>753.1366200000001</v>
      </c>
      <c r="DS17" s="14">
        <f t="shared" si="46"/>
        <v>2900.0886200000004</v>
      </c>
      <c r="DT17" s="14">
        <v>15</v>
      </c>
      <c r="DV17" s="14">
        <f t="shared" si="81"/>
        <v>570.305</v>
      </c>
      <c r="DW17" s="14">
        <f t="shared" si="47"/>
        <v>200.0592375</v>
      </c>
      <c r="DX17" s="14">
        <f t="shared" si="48"/>
        <v>770.3642375</v>
      </c>
      <c r="DY17" s="14">
        <v>4</v>
      </c>
      <c r="EA17" s="14">
        <f t="shared" si="82"/>
        <v>18640.373</v>
      </c>
      <c r="EB17" s="14">
        <f t="shared" si="49"/>
        <v>6538.9200675</v>
      </c>
      <c r="EC17" s="14">
        <f t="shared" si="50"/>
        <v>25179.2930675</v>
      </c>
      <c r="ED17" s="14">
        <v>132</v>
      </c>
      <c r="EF17" s="14">
        <f t="shared" si="83"/>
        <v>76085.03300000001</v>
      </c>
      <c r="EG17" s="14">
        <f t="shared" si="51"/>
        <v>26690.1284175</v>
      </c>
      <c r="EH17" s="14">
        <f t="shared" si="52"/>
        <v>102775.16141750001</v>
      </c>
      <c r="EI17" s="14">
        <v>539</v>
      </c>
      <c r="EK17" s="14">
        <f t="shared" si="84"/>
        <v>1264.357</v>
      </c>
      <c r="EL17" s="14">
        <f t="shared" si="53"/>
        <v>443.5281075</v>
      </c>
      <c r="EM17" s="14">
        <f t="shared" si="54"/>
        <v>1707.8851075</v>
      </c>
      <c r="EN17" s="14">
        <v>9</v>
      </c>
      <c r="EP17" s="14">
        <f t="shared" si="85"/>
        <v>15313.232</v>
      </c>
      <c r="EQ17" s="14">
        <f t="shared" si="55"/>
        <v>5371.780919999999</v>
      </c>
      <c r="ER17" s="14">
        <f t="shared" si="56"/>
        <v>20685.01292</v>
      </c>
      <c r="ES17" s="14">
        <v>108</v>
      </c>
      <c r="EU17" s="14">
        <f t="shared" si="86"/>
        <v>6356.354</v>
      </c>
      <c r="EV17" s="14">
        <f t="shared" si="57"/>
        <v>2229.767115</v>
      </c>
      <c r="EW17" s="14">
        <f t="shared" si="58"/>
        <v>8586.121115</v>
      </c>
      <c r="EX17" s="14">
        <v>45</v>
      </c>
    </row>
    <row r="18" spans="1:154" ht="12.75">
      <c r="A18" s="2">
        <v>41913</v>
      </c>
      <c r="B18" s="10"/>
      <c r="D18" s="15">
        <v>562500</v>
      </c>
      <c r="E18" s="15">
        <f t="shared" si="0"/>
        <v>562500</v>
      </c>
      <c r="G18" s="15"/>
      <c r="H18" s="15">
        <v>14250</v>
      </c>
      <c r="I18" s="15">
        <f t="shared" si="1"/>
        <v>14250</v>
      </c>
      <c r="K18" s="15"/>
      <c r="L18" s="15">
        <v>548250</v>
      </c>
      <c r="M18" s="15">
        <f t="shared" si="2"/>
        <v>548250</v>
      </c>
      <c r="N18" s="15"/>
      <c r="Q18" s="14">
        <f t="shared" si="3"/>
        <v>43644.482925</v>
      </c>
      <c r="R18" s="32">
        <f t="shared" si="4"/>
        <v>43644.482925</v>
      </c>
      <c r="S18" s="32">
        <v>941</v>
      </c>
      <c r="V18" s="14">
        <f t="shared" si="5"/>
        <v>48583.886475</v>
      </c>
      <c r="W18" s="14">
        <f t="shared" si="6"/>
        <v>48583.886475</v>
      </c>
      <c r="X18" s="14">
        <v>1048</v>
      </c>
      <c r="Z18" s="32"/>
      <c r="AA18" s="14">
        <f t="shared" si="7"/>
        <v>17940.329925</v>
      </c>
      <c r="AB18" s="14">
        <f t="shared" si="8"/>
        <v>17940.329925</v>
      </c>
      <c r="AC18" s="14">
        <v>387</v>
      </c>
      <c r="AF18" s="14">
        <f t="shared" si="9"/>
        <v>13402.683975</v>
      </c>
      <c r="AG18" s="14">
        <f t="shared" si="10"/>
        <v>13402.683975</v>
      </c>
      <c r="AH18" s="14">
        <v>289</v>
      </c>
      <c r="AK18" s="14">
        <f t="shared" si="11"/>
        <v>17844.769949999998</v>
      </c>
      <c r="AL18" s="14">
        <f t="shared" si="12"/>
        <v>17844.769949999998</v>
      </c>
      <c r="AM18" s="14">
        <v>385</v>
      </c>
      <c r="AP18" s="14">
        <f t="shared" si="13"/>
        <v>130379.93557500001</v>
      </c>
      <c r="AQ18" s="14">
        <f t="shared" si="14"/>
        <v>130379.93557500001</v>
      </c>
      <c r="AR18" s="14">
        <v>2811</v>
      </c>
      <c r="AU18" s="14">
        <f t="shared" si="15"/>
        <v>2.193</v>
      </c>
      <c r="AV18" s="14">
        <f t="shared" si="16"/>
        <v>2.193</v>
      </c>
      <c r="AZ18" s="14">
        <f t="shared" si="17"/>
        <v>1330.109325</v>
      </c>
      <c r="BA18" s="14">
        <f t="shared" si="18"/>
        <v>1330.109325</v>
      </c>
      <c r="BB18" s="14">
        <v>29</v>
      </c>
      <c r="BE18" s="14">
        <f t="shared" si="19"/>
        <v>749.1288000000001</v>
      </c>
      <c r="BF18" s="14">
        <f t="shared" si="20"/>
        <v>749.1288000000001</v>
      </c>
      <c r="BG18" s="14">
        <v>16</v>
      </c>
      <c r="BJ18" s="14">
        <f t="shared" si="21"/>
        <v>4817.746875</v>
      </c>
      <c r="BK18" s="14">
        <f t="shared" si="22"/>
        <v>4817.746875</v>
      </c>
      <c r="BL18" s="14">
        <v>104</v>
      </c>
      <c r="BO18" s="14">
        <f t="shared" si="23"/>
        <v>3111.702525</v>
      </c>
      <c r="BP18" s="14">
        <f t="shared" si="24"/>
        <v>3111.702525</v>
      </c>
      <c r="BQ18" s="14">
        <v>67</v>
      </c>
      <c r="BT18" s="14">
        <f t="shared" si="25"/>
        <v>11980.030050000001</v>
      </c>
      <c r="BU18" s="14">
        <f t="shared" si="26"/>
        <v>11980.030050000001</v>
      </c>
      <c r="BV18" s="14">
        <v>258</v>
      </c>
      <c r="BY18" s="14">
        <f t="shared" si="27"/>
        <v>762.9447</v>
      </c>
      <c r="BZ18" s="14">
        <f t="shared" si="28"/>
        <v>762.9447</v>
      </c>
      <c r="CA18" s="14">
        <v>16</v>
      </c>
      <c r="CD18" s="14">
        <f t="shared" si="29"/>
        <v>2064.983625</v>
      </c>
      <c r="CE18" s="14">
        <f t="shared" si="30"/>
        <v>2064.983625</v>
      </c>
      <c r="CF18" s="14">
        <v>45</v>
      </c>
      <c r="CI18" s="14">
        <f t="shared" si="31"/>
        <v>8696.725275</v>
      </c>
      <c r="CJ18" s="14">
        <f t="shared" si="32"/>
        <v>8696.725275</v>
      </c>
      <c r="CK18" s="14">
        <v>188</v>
      </c>
      <c r="CN18" s="14">
        <f t="shared" si="33"/>
        <v>393.53385</v>
      </c>
      <c r="CO18" s="14">
        <f t="shared" si="34"/>
        <v>393.53385</v>
      </c>
      <c r="CP18" s="14">
        <v>9</v>
      </c>
      <c r="CS18" s="14">
        <f t="shared" si="35"/>
        <v>5560.954575</v>
      </c>
      <c r="CT18" s="14">
        <f t="shared" si="36"/>
        <v>5560.954575</v>
      </c>
      <c r="CU18" s="14">
        <v>120</v>
      </c>
      <c r="CX18" s="32">
        <f t="shared" si="37"/>
        <v>2660.9862</v>
      </c>
      <c r="CY18" s="14">
        <f t="shared" si="38"/>
        <v>2660.9862</v>
      </c>
      <c r="CZ18" s="14">
        <v>57</v>
      </c>
      <c r="DC18" s="14">
        <f t="shared" si="39"/>
        <v>4419.059475</v>
      </c>
      <c r="DD18" s="14">
        <f t="shared" si="40"/>
        <v>4419.059475</v>
      </c>
      <c r="DE18" s="14">
        <v>95</v>
      </c>
      <c r="DH18" s="14">
        <f t="shared" si="41"/>
        <v>13441.061475000002</v>
      </c>
      <c r="DI18" s="14">
        <f t="shared" si="42"/>
        <v>13441.061475000002</v>
      </c>
      <c r="DJ18" s="14">
        <v>290</v>
      </c>
      <c r="DM18" s="14">
        <f t="shared" si="43"/>
        <v>1394.912475</v>
      </c>
      <c r="DN18" s="14">
        <f t="shared" si="44"/>
        <v>1394.912475</v>
      </c>
      <c r="DO18" s="14">
        <v>30</v>
      </c>
      <c r="DR18" s="14">
        <f t="shared" si="45"/>
        <v>704.8302</v>
      </c>
      <c r="DS18" s="14">
        <f t="shared" si="46"/>
        <v>704.8302</v>
      </c>
      <c r="DT18" s="14">
        <v>15</v>
      </c>
      <c r="DW18" s="14">
        <f t="shared" si="47"/>
        <v>187.227375</v>
      </c>
      <c r="DX18" s="14">
        <f t="shared" si="48"/>
        <v>187.227375</v>
      </c>
      <c r="DY18" s="14">
        <v>4</v>
      </c>
      <c r="EB18" s="14">
        <f t="shared" si="49"/>
        <v>6119.511675</v>
      </c>
      <c r="EC18" s="14">
        <f t="shared" si="50"/>
        <v>6119.511675</v>
      </c>
      <c r="ED18" s="14">
        <v>132</v>
      </c>
      <c r="EG18" s="14">
        <f t="shared" si="51"/>
        <v>24978.215175</v>
      </c>
      <c r="EH18" s="14">
        <f t="shared" si="52"/>
        <v>24978.215175</v>
      </c>
      <c r="EI18" s="14">
        <v>539</v>
      </c>
      <c r="EL18" s="14">
        <f t="shared" si="53"/>
        <v>415.080075</v>
      </c>
      <c r="EM18" s="14">
        <f t="shared" si="54"/>
        <v>415.080075</v>
      </c>
      <c r="EN18" s="14">
        <v>9</v>
      </c>
      <c r="EQ18" s="14">
        <f t="shared" si="55"/>
        <v>5027.2332</v>
      </c>
      <c r="ER18" s="14">
        <f t="shared" si="56"/>
        <v>5027.2332</v>
      </c>
      <c r="ES18" s="14">
        <v>108</v>
      </c>
      <c r="EV18" s="14">
        <f t="shared" si="57"/>
        <v>2086.74915</v>
      </c>
      <c r="EW18" s="14">
        <f t="shared" si="58"/>
        <v>2086.74915</v>
      </c>
      <c r="EX18" s="14">
        <v>45</v>
      </c>
    </row>
    <row r="19" spans="1:154" ht="12.75">
      <c r="A19" s="2">
        <v>42095</v>
      </c>
      <c r="C19" s="15">
        <v>1810000</v>
      </c>
      <c r="D19" s="15">
        <v>562500</v>
      </c>
      <c r="E19" s="15">
        <f t="shared" si="0"/>
        <v>2372500</v>
      </c>
      <c r="G19" s="15">
        <v>65000</v>
      </c>
      <c r="H19" s="15">
        <v>14250</v>
      </c>
      <c r="I19" s="15">
        <f t="shared" si="1"/>
        <v>79250</v>
      </c>
      <c r="K19" s="15">
        <v>1745000</v>
      </c>
      <c r="L19" s="15">
        <v>548250</v>
      </c>
      <c r="M19" s="15">
        <f t="shared" si="2"/>
        <v>2293250</v>
      </c>
      <c r="N19" s="15"/>
      <c r="P19" s="14">
        <f t="shared" si="59"/>
        <v>138914.0405</v>
      </c>
      <c r="Q19" s="14">
        <f t="shared" si="3"/>
        <v>43644.482925</v>
      </c>
      <c r="R19" s="32">
        <f t="shared" si="4"/>
        <v>182558.523425</v>
      </c>
      <c r="S19" s="32">
        <v>941</v>
      </c>
      <c r="U19" s="14">
        <f t="shared" si="60"/>
        <v>154635.4435</v>
      </c>
      <c r="V19" s="14">
        <f t="shared" si="5"/>
        <v>48583.886475</v>
      </c>
      <c r="W19" s="14">
        <f t="shared" si="6"/>
        <v>203219.329975</v>
      </c>
      <c r="X19" s="14">
        <v>1048</v>
      </c>
      <c r="Z19" s="32">
        <f t="shared" si="61"/>
        <v>57101.4605</v>
      </c>
      <c r="AA19" s="14">
        <f t="shared" si="7"/>
        <v>17940.329925</v>
      </c>
      <c r="AB19" s="14">
        <f t="shared" si="8"/>
        <v>75041.790425</v>
      </c>
      <c r="AC19" s="14">
        <v>387</v>
      </c>
      <c r="AE19" s="14">
        <f t="shared" si="62"/>
        <v>42658.79350000001</v>
      </c>
      <c r="AF19" s="14">
        <f t="shared" si="9"/>
        <v>13402.683975</v>
      </c>
      <c r="AG19" s="14">
        <f t="shared" si="10"/>
        <v>56061.47747500001</v>
      </c>
      <c r="AH19" s="14">
        <v>289</v>
      </c>
      <c r="AJ19" s="14">
        <f t="shared" si="63"/>
        <v>56797.307</v>
      </c>
      <c r="AK19" s="14">
        <f t="shared" si="11"/>
        <v>17844.769949999998</v>
      </c>
      <c r="AL19" s="14">
        <f t="shared" si="12"/>
        <v>74642.07695</v>
      </c>
      <c r="AM19" s="14">
        <v>385</v>
      </c>
      <c r="AO19" s="14">
        <f t="shared" si="64"/>
        <v>414980.36950000003</v>
      </c>
      <c r="AP19" s="14">
        <f t="shared" si="13"/>
        <v>130379.93557500001</v>
      </c>
      <c r="AQ19" s="14">
        <f t="shared" si="14"/>
        <v>545360.305075</v>
      </c>
      <c r="AR19" s="14">
        <v>2811</v>
      </c>
      <c r="AT19" s="14">
        <f t="shared" si="65"/>
        <v>6.98</v>
      </c>
      <c r="AU19" s="14">
        <f t="shared" si="15"/>
        <v>2.193</v>
      </c>
      <c r="AV19" s="14">
        <f t="shared" si="16"/>
        <v>9.173</v>
      </c>
      <c r="AY19" s="14">
        <f t="shared" si="66"/>
        <v>4233.5445</v>
      </c>
      <c r="AZ19" s="14">
        <f t="shared" si="17"/>
        <v>1330.109325</v>
      </c>
      <c r="BA19" s="14">
        <f t="shared" si="18"/>
        <v>5563.653824999999</v>
      </c>
      <c r="BB19" s="14">
        <v>29</v>
      </c>
      <c r="BD19" s="14">
        <f t="shared" si="67"/>
        <v>2384.3680000000004</v>
      </c>
      <c r="BE19" s="14">
        <f t="shared" si="19"/>
        <v>749.1288000000001</v>
      </c>
      <c r="BF19" s="14">
        <f t="shared" si="20"/>
        <v>3133.4968000000003</v>
      </c>
      <c r="BG19" s="14">
        <v>16</v>
      </c>
      <c r="BI19" s="14">
        <f t="shared" si="68"/>
        <v>15334.1875</v>
      </c>
      <c r="BJ19" s="14">
        <f t="shared" si="21"/>
        <v>4817.746875</v>
      </c>
      <c r="BK19" s="14">
        <f t="shared" si="22"/>
        <v>20151.934375</v>
      </c>
      <c r="BL19" s="14">
        <v>104</v>
      </c>
      <c r="BN19" s="14">
        <f t="shared" si="69"/>
        <v>9904.0965</v>
      </c>
      <c r="BO19" s="14">
        <f t="shared" si="23"/>
        <v>3111.702525</v>
      </c>
      <c r="BP19" s="14">
        <f t="shared" si="24"/>
        <v>13015.799025</v>
      </c>
      <c r="BQ19" s="14">
        <v>67</v>
      </c>
      <c r="BS19" s="14">
        <f t="shared" si="70"/>
        <v>38130.693</v>
      </c>
      <c r="BT19" s="14">
        <f t="shared" si="25"/>
        <v>11980.030050000001</v>
      </c>
      <c r="BU19" s="14">
        <f t="shared" si="26"/>
        <v>50110.72305</v>
      </c>
      <c r="BV19" s="14">
        <v>258</v>
      </c>
      <c r="BX19" s="14">
        <f t="shared" si="71"/>
        <v>2428.342</v>
      </c>
      <c r="BY19" s="14">
        <f t="shared" si="27"/>
        <v>762.9447</v>
      </c>
      <c r="BZ19" s="14">
        <f t="shared" si="28"/>
        <v>3191.2867</v>
      </c>
      <c r="CA19" s="14">
        <v>16</v>
      </c>
      <c r="CC19" s="14">
        <f t="shared" si="72"/>
        <v>6572.5425</v>
      </c>
      <c r="CD19" s="14">
        <f t="shared" si="29"/>
        <v>2064.983625</v>
      </c>
      <c r="CE19" s="14">
        <f t="shared" si="30"/>
        <v>8637.526125</v>
      </c>
      <c r="CF19" s="14">
        <v>45</v>
      </c>
      <c r="CH19" s="14">
        <f t="shared" si="73"/>
        <v>27680.4115</v>
      </c>
      <c r="CI19" s="14">
        <f t="shared" si="31"/>
        <v>8696.725275</v>
      </c>
      <c r="CJ19" s="14">
        <f t="shared" si="32"/>
        <v>36377.136775</v>
      </c>
      <c r="CK19" s="14">
        <v>188</v>
      </c>
      <c r="CM19" s="14">
        <f t="shared" si="74"/>
        <v>1252.561</v>
      </c>
      <c r="CN19" s="14">
        <f t="shared" si="33"/>
        <v>393.53385</v>
      </c>
      <c r="CO19" s="14">
        <f t="shared" si="34"/>
        <v>1646.09485</v>
      </c>
      <c r="CP19" s="14">
        <v>9</v>
      </c>
      <c r="CR19" s="14">
        <f t="shared" si="75"/>
        <v>17699.7095</v>
      </c>
      <c r="CS19" s="14">
        <f t="shared" si="35"/>
        <v>5560.954575</v>
      </c>
      <c r="CT19" s="14">
        <f t="shared" si="36"/>
        <v>23260.664075</v>
      </c>
      <c r="CU19" s="14">
        <v>120</v>
      </c>
      <c r="CW19" s="14">
        <f t="shared" si="76"/>
        <v>8469.532000000001</v>
      </c>
      <c r="CX19" s="32">
        <f t="shared" si="37"/>
        <v>2660.9862</v>
      </c>
      <c r="CY19" s="14">
        <f t="shared" si="38"/>
        <v>11130.5182</v>
      </c>
      <c r="CZ19" s="14">
        <v>57</v>
      </c>
      <c r="DB19" s="14">
        <f t="shared" si="77"/>
        <v>14065.2235</v>
      </c>
      <c r="DC19" s="14">
        <f t="shared" si="39"/>
        <v>4419.059475</v>
      </c>
      <c r="DD19" s="14">
        <f t="shared" si="40"/>
        <v>18484.282975000002</v>
      </c>
      <c r="DE19" s="14">
        <v>95</v>
      </c>
      <c r="DG19" s="14">
        <f t="shared" si="78"/>
        <v>42780.94350000001</v>
      </c>
      <c r="DH19" s="14">
        <f t="shared" si="41"/>
        <v>13441.061475000002</v>
      </c>
      <c r="DI19" s="14">
        <f t="shared" si="42"/>
        <v>56222.00497500001</v>
      </c>
      <c r="DJ19" s="14">
        <v>290</v>
      </c>
      <c r="DL19" s="14">
        <f t="shared" si="79"/>
        <v>4439.8035</v>
      </c>
      <c r="DM19" s="14">
        <f t="shared" si="43"/>
        <v>1394.912475</v>
      </c>
      <c r="DN19" s="14">
        <f t="shared" si="44"/>
        <v>5834.715975</v>
      </c>
      <c r="DO19" s="14">
        <v>30</v>
      </c>
      <c r="DQ19" s="14">
        <f t="shared" si="80"/>
        <v>2243.3720000000003</v>
      </c>
      <c r="DR19" s="14">
        <f t="shared" si="45"/>
        <v>704.8302</v>
      </c>
      <c r="DS19" s="14">
        <f t="shared" si="46"/>
        <v>2948.2022</v>
      </c>
      <c r="DT19" s="14">
        <v>15</v>
      </c>
      <c r="DV19" s="14">
        <f t="shared" si="81"/>
        <v>595.9175</v>
      </c>
      <c r="DW19" s="14">
        <f t="shared" si="47"/>
        <v>187.227375</v>
      </c>
      <c r="DX19" s="14">
        <f t="shared" si="48"/>
        <v>783.144875</v>
      </c>
      <c r="DY19" s="14">
        <v>4</v>
      </c>
      <c r="EA19" s="14">
        <f t="shared" si="82"/>
        <v>19477.5155</v>
      </c>
      <c r="EB19" s="14">
        <f t="shared" si="49"/>
        <v>6119.511675</v>
      </c>
      <c r="EC19" s="14">
        <f t="shared" si="50"/>
        <v>25597.027175000003</v>
      </c>
      <c r="ED19" s="14">
        <v>132</v>
      </c>
      <c r="EF19" s="14">
        <f t="shared" si="83"/>
        <v>79502.0255</v>
      </c>
      <c r="EG19" s="14">
        <f t="shared" si="51"/>
        <v>24978.215175</v>
      </c>
      <c r="EH19" s="14">
        <f t="shared" si="52"/>
        <v>104480.24067500001</v>
      </c>
      <c r="EI19" s="14">
        <v>539</v>
      </c>
      <c r="EK19" s="14">
        <f t="shared" si="84"/>
        <v>1321.1395000000002</v>
      </c>
      <c r="EL19" s="14">
        <f t="shared" si="53"/>
        <v>415.080075</v>
      </c>
      <c r="EM19" s="14">
        <f t="shared" si="54"/>
        <v>1736.2195750000003</v>
      </c>
      <c r="EN19" s="14">
        <v>9</v>
      </c>
      <c r="EP19" s="14">
        <f t="shared" si="85"/>
        <v>16000.952</v>
      </c>
      <c r="EQ19" s="14">
        <f t="shared" si="55"/>
        <v>5027.2332</v>
      </c>
      <c r="ER19" s="14">
        <f t="shared" si="56"/>
        <v>21028.1852</v>
      </c>
      <c r="ES19" s="14">
        <v>108</v>
      </c>
      <c r="EU19" s="14">
        <f t="shared" si="86"/>
        <v>6641.819</v>
      </c>
      <c r="EV19" s="14">
        <f t="shared" si="57"/>
        <v>2086.74915</v>
      </c>
      <c r="EW19" s="14">
        <f t="shared" si="58"/>
        <v>8728.568150000001</v>
      </c>
      <c r="EX19" s="14">
        <v>45</v>
      </c>
    </row>
    <row r="20" spans="1:154" ht="12.75">
      <c r="A20" s="2">
        <v>42278</v>
      </c>
      <c r="D20" s="15">
        <v>517250</v>
      </c>
      <c r="E20" s="15">
        <f t="shared" si="0"/>
        <v>517250</v>
      </c>
      <c r="G20" s="15"/>
      <c r="H20" s="15">
        <v>12625</v>
      </c>
      <c r="I20" s="15">
        <f t="shared" si="1"/>
        <v>12625</v>
      </c>
      <c r="K20" s="15"/>
      <c r="L20" s="15">
        <v>504625</v>
      </c>
      <c r="M20" s="15">
        <f t="shared" si="2"/>
        <v>504625</v>
      </c>
      <c r="N20" s="15"/>
      <c r="Q20" s="14">
        <f t="shared" si="3"/>
        <v>40171.63191249999</v>
      </c>
      <c r="R20" s="32">
        <f t="shared" si="4"/>
        <v>40171.63191249999</v>
      </c>
      <c r="S20" s="32">
        <v>941</v>
      </c>
      <c r="V20" s="14">
        <f t="shared" si="5"/>
        <v>44718.000387500004</v>
      </c>
      <c r="W20" s="14">
        <f t="shared" si="6"/>
        <v>44718.000387500004</v>
      </c>
      <c r="X20" s="14">
        <v>1048</v>
      </c>
      <c r="Z20" s="32"/>
      <c r="AA20" s="14">
        <f t="shared" si="7"/>
        <v>16512.7934125</v>
      </c>
      <c r="AB20" s="14">
        <f t="shared" si="8"/>
        <v>16512.7934125</v>
      </c>
      <c r="AC20" s="14">
        <v>387</v>
      </c>
      <c r="AF20" s="14">
        <f t="shared" si="9"/>
        <v>12336.214137500001</v>
      </c>
      <c r="AG20" s="14">
        <f t="shared" si="10"/>
        <v>12336.214137500001</v>
      </c>
      <c r="AH20" s="14">
        <v>289</v>
      </c>
      <c r="AK20" s="14">
        <f t="shared" si="11"/>
        <v>16424.837275</v>
      </c>
      <c r="AL20" s="14">
        <f t="shared" si="12"/>
        <v>16424.837275</v>
      </c>
      <c r="AM20" s="14">
        <v>385</v>
      </c>
      <c r="AP20" s="14">
        <f t="shared" si="13"/>
        <v>120005.42633750002</v>
      </c>
      <c r="AQ20" s="14">
        <f t="shared" si="14"/>
        <v>120005.42633750002</v>
      </c>
      <c r="AR20" s="14">
        <v>2811</v>
      </c>
      <c r="AU20" s="14">
        <f t="shared" si="15"/>
        <v>2.0185000000000004</v>
      </c>
      <c r="AV20" s="14">
        <f t="shared" si="16"/>
        <v>2.0185000000000004</v>
      </c>
      <c r="AZ20" s="14">
        <f t="shared" si="17"/>
        <v>1224.2707125</v>
      </c>
      <c r="BA20" s="14">
        <f t="shared" si="18"/>
        <v>1224.2707125</v>
      </c>
      <c r="BB20" s="14">
        <v>29</v>
      </c>
      <c r="BE20" s="14">
        <f t="shared" si="19"/>
        <v>689.5196000000001</v>
      </c>
      <c r="BF20" s="14">
        <f t="shared" si="20"/>
        <v>689.5196000000001</v>
      </c>
      <c r="BG20" s="14">
        <v>16</v>
      </c>
      <c r="BJ20" s="14">
        <f t="shared" si="21"/>
        <v>4434.3921875</v>
      </c>
      <c r="BK20" s="14">
        <f t="shared" si="22"/>
        <v>4434.3921875</v>
      </c>
      <c r="BL20" s="14">
        <v>104</v>
      </c>
      <c r="BO20" s="14">
        <f t="shared" si="23"/>
        <v>2864.1001125</v>
      </c>
      <c r="BP20" s="14">
        <f t="shared" si="24"/>
        <v>2864.1001125</v>
      </c>
      <c r="BQ20" s="14">
        <v>67</v>
      </c>
      <c r="BT20" s="14">
        <f t="shared" si="25"/>
        <v>11026.762725</v>
      </c>
      <c r="BU20" s="14">
        <f t="shared" si="26"/>
        <v>11026.762725</v>
      </c>
      <c r="BV20" s="14">
        <v>258</v>
      </c>
      <c r="BY20" s="14">
        <f t="shared" si="27"/>
        <v>702.2361500000001</v>
      </c>
      <c r="BZ20" s="14">
        <f t="shared" si="28"/>
        <v>702.2361500000001</v>
      </c>
      <c r="CA20" s="14">
        <v>16</v>
      </c>
      <c r="CD20" s="14">
        <f t="shared" si="29"/>
        <v>1900.6700625</v>
      </c>
      <c r="CE20" s="14">
        <f t="shared" si="30"/>
        <v>1900.6700625</v>
      </c>
      <c r="CF20" s="14">
        <v>45</v>
      </c>
      <c r="CI20" s="14">
        <f t="shared" si="31"/>
        <v>8004.7149875000005</v>
      </c>
      <c r="CJ20" s="14">
        <f t="shared" si="32"/>
        <v>8004.7149875000005</v>
      </c>
      <c r="CK20" s="14">
        <v>188</v>
      </c>
      <c r="CN20" s="14">
        <f t="shared" si="33"/>
        <v>362.21982499999996</v>
      </c>
      <c r="CO20" s="14">
        <f t="shared" si="34"/>
        <v>362.21982499999996</v>
      </c>
      <c r="CP20" s="14">
        <v>9</v>
      </c>
      <c r="CS20" s="14">
        <f t="shared" si="35"/>
        <v>5118.4618375</v>
      </c>
      <c r="CT20" s="14">
        <f t="shared" si="36"/>
        <v>5118.4618375</v>
      </c>
      <c r="CU20" s="14">
        <v>120</v>
      </c>
      <c r="CX20" s="32">
        <f t="shared" si="37"/>
        <v>2449.2479000000003</v>
      </c>
      <c r="CY20" s="14">
        <f t="shared" si="38"/>
        <v>2449.2479000000003</v>
      </c>
      <c r="CZ20" s="14">
        <v>57</v>
      </c>
      <c r="DC20" s="14">
        <f t="shared" si="39"/>
        <v>4067.4288874999997</v>
      </c>
      <c r="DD20" s="14">
        <f t="shared" si="40"/>
        <v>4067.4288874999997</v>
      </c>
      <c r="DE20" s="14">
        <v>95</v>
      </c>
      <c r="DH20" s="14">
        <f t="shared" si="41"/>
        <v>12371.5378875</v>
      </c>
      <c r="DI20" s="14">
        <f t="shared" si="42"/>
        <v>12371.5378875</v>
      </c>
      <c r="DJ20" s="14">
        <v>290</v>
      </c>
      <c r="DM20" s="14">
        <f t="shared" si="43"/>
        <v>1283.9173875</v>
      </c>
      <c r="DN20" s="14">
        <f t="shared" si="44"/>
        <v>1283.9173875</v>
      </c>
      <c r="DO20" s="14">
        <v>30</v>
      </c>
      <c r="DR20" s="14">
        <f t="shared" si="45"/>
        <v>648.7459</v>
      </c>
      <c r="DS20" s="14">
        <f t="shared" si="46"/>
        <v>648.7459</v>
      </c>
      <c r="DT20" s="14">
        <v>15</v>
      </c>
      <c r="DW20" s="14">
        <f t="shared" si="47"/>
        <v>172.32943749999998</v>
      </c>
      <c r="DX20" s="14">
        <f t="shared" si="48"/>
        <v>172.32943749999998</v>
      </c>
      <c r="DY20" s="14">
        <v>4</v>
      </c>
      <c r="EB20" s="14">
        <f t="shared" si="49"/>
        <v>5632.5737875</v>
      </c>
      <c r="EC20" s="14">
        <f t="shared" si="50"/>
        <v>5632.5737875</v>
      </c>
      <c r="ED20" s="14">
        <v>132</v>
      </c>
      <c r="EG20" s="14">
        <f t="shared" si="51"/>
        <v>22990.664537500004</v>
      </c>
      <c r="EH20" s="14">
        <f t="shared" si="52"/>
        <v>22990.664537500004</v>
      </c>
      <c r="EI20" s="14">
        <v>539</v>
      </c>
      <c r="EL20" s="14">
        <f t="shared" si="53"/>
        <v>382.05158750000004</v>
      </c>
      <c r="EM20" s="14">
        <f t="shared" si="54"/>
        <v>382.05158750000004</v>
      </c>
      <c r="EN20" s="14">
        <v>9</v>
      </c>
      <c r="EQ20" s="14">
        <f t="shared" si="55"/>
        <v>4627.2094</v>
      </c>
      <c r="ER20" s="14">
        <f t="shared" si="56"/>
        <v>4627.2094</v>
      </c>
      <c r="ES20" s="14">
        <v>108</v>
      </c>
      <c r="EV20" s="14">
        <f t="shared" si="57"/>
        <v>1920.703675</v>
      </c>
      <c r="EW20" s="14">
        <f t="shared" si="58"/>
        <v>1920.703675</v>
      </c>
      <c r="EX20" s="14">
        <v>45</v>
      </c>
    </row>
    <row r="21" spans="1:154" ht="12.75">
      <c r="A21" s="2">
        <v>42461</v>
      </c>
      <c r="C21" s="15">
        <v>1895000</v>
      </c>
      <c r="D21" s="15">
        <v>517250</v>
      </c>
      <c r="E21" s="15">
        <f t="shared" si="0"/>
        <v>2412250</v>
      </c>
      <c r="G21" s="15">
        <v>65000</v>
      </c>
      <c r="H21" s="15">
        <v>12625</v>
      </c>
      <c r="I21" s="15">
        <f t="shared" si="1"/>
        <v>77625</v>
      </c>
      <c r="K21" s="15">
        <v>1830000</v>
      </c>
      <c r="L21" s="15">
        <v>504625</v>
      </c>
      <c r="M21" s="15">
        <f t="shared" si="2"/>
        <v>2334625</v>
      </c>
      <c r="N21" s="15"/>
      <c r="P21" s="14">
        <f t="shared" si="59"/>
        <v>145680.62699999998</v>
      </c>
      <c r="Q21" s="14">
        <f t="shared" si="3"/>
        <v>40171.63191249999</v>
      </c>
      <c r="R21" s="32">
        <f t="shared" si="4"/>
        <v>185852.25891249996</v>
      </c>
      <c r="S21" s="32">
        <v>941</v>
      </c>
      <c r="U21" s="14">
        <f t="shared" si="60"/>
        <v>162167.829</v>
      </c>
      <c r="V21" s="14">
        <f t="shared" si="5"/>
        <v>44718.000387500004</v>
      </c>
      <c r="W21" s="14">
        <f t="shared" si="6"/>
        <v>206885.8293875</v>
      </c>
      <c r="X21" s="14">
        <v>1048</v>
      </c>
      <c r="Z21" s="32">
        <f t="shared" si="61"/>
        <v>59882.907</v>
      </c>
      <c r="AA21" s="14">
        <f t="shared" si="7"/>
        <v>16512.7934125</v>
      </c>
      <c r="AB21" s="14">
        <f t="shared" si="8"/>
        <v>76395.7004125</v>
      </c>
      <c r="AC21" s="14">
        <v>387</v>
      </c>
      <c r="AE21" s="14">
        <f t="shared" si="62"/>
        <v>44736.72900000001</v>
      </c>
      <c r="AF21" s="14">
        <f t="shared" si="9"/>
        <v>12336.214137500001</v>
      </c>
      <c r="AG21" s="14">
        <f t="shared" si="10"/>
        <v>57072.943137500006</v>
      </c>
      <c r="AH21" s="14">
        <v>289</v>
      </c>
      <c r="AJ21" s="14">
        <f t="shared" si="63"/>
        <v>59563.937999999995</v>
      </c>
      <c r="AK21" s="14">
        <f t="shared" si="11"/>
        <v>16424.837275</v>
      </c>
      <c r="AL21" s="14">
        <f t="shared" si="12"/>
        <v>75988.77527499999</v>
      </c>
      <c r="AM21" s="14">
        <v>385</v>
      </c>
      <c r="AO21" s="14">
        <f t="shared" si="64"/>
        <v>435194.313</v>
      </c>
      <c r="AP21" s="14">
        <f t="shared" si="13"/>
        <v>120005.42633750002</v>
      </c>
      <c r="AQ21" s="14">
        <f t="shared" si="14"/>
        <v>555199.7393375001</v>
      </c>
      <c r="AR21" s="14">
        <v>2811</v>
      </c>
      <c r="AT21" s="14">
        <f t="shared" si="65"/>
        <v>7.32</v>
      </c>
      <c r="AU21" s="14">
        <f t="shared" si="15"/>
        <v>2.0185000000000004</v>
      </c>
      <c r="AV21" s="14">
        <f t="shared" si="16"/>
        <v>9.3385</v>
      </c>
      <c r="AY21" s="14">
        <f t="shared" si="66"/>
        <v>4439.763</v>
      </c>
      <c r="AZ21" s="14">
        <f t="shared" si="17"/>
        <v>1224.2707125</v>
      </c>
      <c r="BA21" s="14">
        <f t="shared" si="18"/>
        <v>5664.0337125</v>
      </c>
      <c r="BB21" s="14">
        <v>29</v>
      </c>
      <c r="BD21" s="14">
        <f t="shared" si="67"/>
        <v>2500.512</v>
      </c>
      <c r="BE21" s="14">
        <f t="shared" si="19"/>
        <v>689.5196000000001</v>
      </c>
      <c r="BF21" s="14">
        <f t="shared" si="20"/>
        <v>3190.0316000000003</v>
      </c>
      <c r="BG21" s="14">
        <v>16</v>
      </c>
      <c r="BI21" s="14">
        <f t="shared" si="68"/>
        <v>16081.125</v>
      </c>
      <c r="BJ21" s="14">
        <f t="shared" si="21"/>
        <v>4434.3921875</v>
      </c>
      <c r="BK21" s="14">
        <f t="shared" si="22"/>
        <v>20515.5171875</v>
      </c>
      <c r="BL21" s="14">
        <v>104</v>
      </c>
      <c r="BN21" s="14">
        <f t="shared" si="69"/>
        <v>10386.530999999999</v>
      </c>
      <c r="BO21" s="14">
        <f t="shared" si="23"/>
        <v>2864.1001125</v>
      </c>
      <c r="BP21" s="14">
        <f t="shared" si="24"/>
        <v>13250.6311125</v>
      </c>
      <c r="BQ21" s="14">
        <v>67</v>
      </c>
      <c r="BS21" s="14">
        <f t="shared" si="70"/>
        <v>39988.062000000005</v>
      </c>
      <c r="BT21" s="14">
        <f t="shared" si="25"/>
        <v>11026.762725</v>
      </c>
      <c r="BU21" s="14">
        <f t="shared" si="26"/>
        <v>51014.824725000006</v>
      </c>
      <c r="BV21" s="14">
        <v>258</v>
      </c>
      <c r="BX21" s="14">
        <f t="shared" si="71"/>
        <v>2546.628</v>
      </c>
      <c r="BY21" s="14">
        <f t="shared" si="27"/>
        <v>702.2361500000001</v>
      </c>
      <c r="BZ21" s="14">
        <f t="shared" si="28"/>
        <v>3248.8641500000003</v>
      </c>
      <c r="CA21" s="14">
        <v>16</v>
      </c>
      <c r="CC21" s="14">
        <f t="shared" si="72"/>
        <v>6892.695</v>
      </c>
      <c r="CD21" s="14">
        <f t="shared" si="29"/>
        <v>1900.6700625</v>
      </c>
      <c r="CE21" s="14">
        <f t="shared" si="30"/>
        <v>8793.3650625</v>
      </c>
      <c r="CF21" s="14">
        <v>45</v>
      </c>
      <c r="CH21" s="14">
        <f t="shared" si="73"/>
        <v>29028.741</v>
      </c>
      <c r="CI21" s="14">
        <f t="shared" si="31"/>
        <v>8004.7149875000005</v>
      </c>
      <c r="CJ21" s="14">
        <f t="shared" si="32"/>
        <v>37033.455987500005</v>
      </c>
      <c r="CK21" s="14">
        <v>188</v>
      </c>
      <c r="CM21" s="14">
        <f t="shared" si="74"/>
        <v>1313.5739999999998</v>
      </c>
      <c r="CN21" s="14">
        <f t="shared" si="33"/>
        <v>362.21982499999996</v>
      </c>
      <c r="CO21" s="14">
        <f t="shared" si="34"/>
        <v>1675.7938249999997</v>
      </c>
      <c r="CP21" s="14">
        <v>9</v>
      </c>
      <c r="CR21" s="14">
        <f t="shared" si="75"/>
        <v>18561.873</v>
      </c>
      <c r="CS21" s="14">
        <f t="shared" si="35"/>
        <v>5118.4618375</v>
      </c>
      <c r="CT21" s="14">
        <f t="shared" si="36"/>
        <v>23680.3348375</v>
      </c>
      <c r="CU21" s="14">
        <v>120</v>
      </c>
      <c r="CW21" s="14">
        <f t="shared" si="76"/>
        <v>8882.088</v>
      </c>
      <c r="CX21" s="32">
        <f t="shared" si="37"/>
        <v>2449.2479000000003</v>
      </c>
      <c r="CY21" s="14">
        <f t="shared" si="38"/>
        <v>11331.3359</v>
      </c>
      <c r="CZ21" s="14">
        <v>57</v>
      </c>
      <c r="DB21" s="14">
        <f t="shared" si="77"/>
        <v>14750.349000000002</v>
      </c>
      <c r="DC21" s="14">
        <f t="shared" si="39"/>
        <v>4067.4288874999997</v>
      </c>
      <c r="DD21" s="14">
        <f t="shared" si="40"/>
        <v>18817.7778875</v>
      </c>
      <c r="DE21" s="14">
        <v>95</v>
      </c>
      <c r="DG21" s="14">
        <f t="shared" si="78"/>
        <v>44864.829000000005</v>
      </c>
      <c r="DH21" s="14">
        <f t="shared" si="41"/>
        <v>12371.5378875</v>
      </c>
      <c r="DI21" s="14">
        <f t="shared" si="42"/>
        <v>57236.36688750001</v>
      </c>
      <c r="DJ21" s="14">
        <v>290</v>
      </c>
      <c r="DL21" s="14">
        <f t="shared" si="79"/>
        <v>4656.0689999999995</v>
      </c>
      <c r="DM21" s="14">
        <f t="shared" si="43"/>
        <v>1283.9173875</v>
      </c>
      <c r="DN21" s="14">
        <f t="shared" si="44"/>
        <v>5939.986387499999</v>
      </c>
      <c r="DO21" s="14">
        <v>30</v>
      </c>
      <c r="DQ21" s="14">
        <f t="shared" si="80"/>
        <v>2352.648</v>
      </c>
      <c r="DR21" s="14">
        <f t="shared" si="45"/>
        <v>648.7459</v>
      </c>
      <c r="DS21" s="14">
        <f t="shared" si="46"/>
        <v>3001.3939</v>
      </c>
      <c r="DT21" s="14">
        <v>15</v>
      </c>
      <c r="DV21" s="14">
        <f t="shared" si="81"/>
        <v>624.945</v>
      </c>
      <c r="DW21" s="14">
        <f t="shared" si="47"/>
        <v>172.32943749999998</v>
      </c>
      <c r="DX21" s="14">
        <f t="shared" si="48"/>
        <v>797.2744375</v>
      </c>
      <c r="DY21" s="14">
        <v>4</v>
      </c>
      <c r="EA21" s="14">
        <f t="shared" si="82"/>
        <v>20426.277</v>
      </c>
      <c r="EB21" s="14">
        <f t="shared" si="49"/>
        <v>5632.5737875</v>
      </c>
      <c r="EC21" s="14">
        <f t="shared" si="50"/>
        <v>26058.8507875</v>
      </c>
      <c r="ED21" s="14">
        <v>132</v>
      </c>
      <c r="EF21" s="14">
        <f t="shared" si="83"/>
        <v>83374.61700000001</v>
      </c>
      <c r="EG21" s="14">
        <f t="shared" si="51"/>
        <v>22990.664537500004</v>
      </c>
      <c r="EH21" s="14">
        <f t="shared" si="52"/>
        <v>106365.28153750002</v>
      </c>
      <c r="EI21" s="14">
        <v>539</v>
      </c>
      <c r="EK21" s="14">
        <f t="shared" si="84"/>
        <v>1385.493</v>
      </c>
      <c r="EL21" s="14">
        <f t="shared" si="53"/>
        <v>382.05158750000004</v>
      </c>
      <c r="EM21" s="14">
        <f t="shared" si="54"/>
        <v>1767.5445875</v>
      </c>
      <c r="EN21" s="14">
        <v>9</v>
      </c>
      <c r="EP21" s="14">
        <f t="shared" si="85"/>
        <v>16780.368000000002</v>
      </c>
      <c r="EQ21" s="14">
        <f t="shared" si="55"/>
        <v>4627.2094</v>
      </c>
      <c r="ER21" s="14">
        <f t="shared" si="56"/>
        <v>21407.577400000002</v>
      </c>
      <c r="ES21" s="14">
        <v>108</v>
      </c>
      <c r="EU21" s="14">
        <f t="shared" si="86"/>
        <v>6965.346</v>
      </c>
      <c r="EV21" s="14">
        <f t="shared" si="57"/>
        <v>1920.703675</v>
      </c>
      <c r="EW21" s="14">
        <f t="shared" si="58"/>
        <v>8886.049675</v>
      </c>
      <c r="EX21" s="14">
        <v>45</v>
      </c>
    </row>
    <row r="22" spans="1:154" ht="12.75">
      <c r="A22" s="2">
        <v>42644</v>
      </c>
      <c r="D22" s="15">
        <v>469875</v>
      </c>
      <c r="E22" s="15">
        <f t="shared" si="0"/>
        <v>469875</v>
      </c>
      <c r="G22" s="15"/>
      <c r="H22" s="15">
        <v>11000</v>
      </c>
      <c r="I22" s="15">
        <f t="shared" si="1"/>
        <v>11000</v>
      </c>
      <c r="K22" s="15"/>
      <c r="L22" s="15">
        <v>458875</v>
      </c>
      <c r="M22" s="15">
        <f t="shared" si="2"/>
        <v>458875</v>
      </c>
      <c r="N22" s="15"/>
      <c r="Q22" s="14">
        <f t="shared" si="3"/>
        <v>36529.6162375</v>
      </c>
      <c r="R22" s="32">
        <f t="shared" si="4"/>
        <v>36529.6162375</v>
      </c>
      <c r="S22" s="32">
        <v>941</v>
      </c>
      <c r="V22" s="14">
        <f t="shared" si="5"/>
        <v>40663.8046625</v>
      </c>
      <c r="W22" s="14">
        <f t="shared" si="6"/>
        <v>40663.8046625</v>
      </c>
      <c r="X22" s="14">
        <v>1048</v>
      </c>
      <c r="Z22" s="32"/>
      <c r="AA22" s="14">
        <f t="shared" si="7"/>
        <v>15015.7207375</v>
      </c>
      <c r="AB22" s="14">
        <f t="shared" si="8"/>
        <v>15015.7207375</v>
      </c>
      <c r="AC22" s="14">
        <v>387</v>
      </c>
      <c r="AF22" s="14">
        <f t="shared" si="9"/>
        <v>11217.7959125</v>
      </c>
      <c r="AG22" s="14">
        <f t="shared" si="10"/>
        <v>11217.7959125</v>
      </c>
      <c r="AH22" s="14">
        <v>289</v>
      </c>
      <c r="AK22" s="14">
        <f t="shared" si="11"/>
        <v>14935.738824999999</v>
      </c>
      <c r="AL22" s="14">
        <f t="shared" si="12"/>
        <v>14935.738824999999</v>
      </c>
      <c r="AM22" s="14">
        <v>385</v>
      </c>
      <c r="AP22" s="14">
        <f t="shared" si="13"/>
        <v>109125.5685125</v>
      </c>
      <c r="AQ22" s="14">
        <f t="shared" si="14"/>
        <v>109125.5685125</v>
      </c>
      <c r="AR22" s="14">
        <v>2811</v>
      </c>
      <c r="AU22" s="14">
        <f t="shared" si="15"/>
        <v>1.8355000000000001</v>
      </c>
      <c r="AV22" s="14">
        <f t="shared" si="16"/>
        <v>1.8355000000000001</v>
      </c>
      <c r="AZ22" s="14">
        <f t="shared" si="17"/>
        <v>1113.2766374999999</v>
      </c>
      <c r="BA22" s="14">
        <f t="shared" si="18"/>
        <v>1113.2766374999999</v>
      </c>
      <c r="BB22" s="14">
        <v>29</v>
      </c>
      <c r="BE22" s="14">
        <f t="shared" si="19"/>
        <v>627.0068000000001</v>
      </c>
      <c r="BF22" s="14">
        <f t="shared" si="20"/>
        <v>627.0068000000001</v>
      </c>
      <c r="BG22" s="14">
        <v>16</v>
      </c>
      <c r="BJ22" s="14">
        <f t="shared" si="21"/>
        <v>4032.3640625</v>
      </c>
      <c r="BK22" s="14">
        <f t="shared" si="22"/>
        <v>4032.3640625</v>
      </c>
      <c r="BL22" s="14">
        <v>104</v>
      </c>
      <c r="BO22" s="14">
        <f t="shared" si="23"/>
        <v>2604.4368375</v>
      </c>
      <c r="BP22" s="14">
        <f t="shared" si="24"/>
        <v>2604.4368375</v>
      </c>
      <c r="BQ22" s="14">
        <v>67</v>
      </c>
      <c r="BT22" s="14">
        <f t="shared" si="25"/>
        <v>10027.061175</v>
      </c>
      <c r="BU22" s="14">
        <f t="shared" si="26"/>
        <v>10027.061175</v>
      </c>
      <c r="BV22" s="14">
        <v>258</v>
      </c>
      <c r="BY22" s="14">
        <f t="shared" si="27"/>
        <v>638.57045</v>
      </c>
      <c r="BZ22" s="14">
        <f t="shared" si="28"/>
        <v>638.57045</v>
      </c>
      <c r="CA22" s="14">
        <v>16</v>
      </c>
      <c r="CD22" s="14">
        <f t="shared" si="29"/>
        <v>1728.3526874999998</v>
      </c>
      <c r="CE22" s="14">
        <f t="shared" si="30"/>
        <v>1728.3526874999998</v>
      </c>
      <c r="CF22" s="14">
        <v>45</v>
      </c>
      <c r="CI22" s="14">
        <f t="shared" si="31"/>
        <v>7278.9964625</v>
      </c>
      <c r="CJ22" s="14">
        <f t="shared" si="32"/>
        <v>7278.9964625</v>
      </c>
      <c r="CK22" s="14">
        <v>188</v>
      </c>
      <c r="CN22" s="14">
        <f t="shared" si="33"/>
        <v>329.380475</v>
      </c>
      <c r="CO22" s="14">
        <f t="shared" si="34"/>
        <v>329.380475</v>
      </c>
      <c r="CP22" s="14">
        <v>9</v>
      </c>
      <c r="CS22" s="14">
        <f t="shared" si="35"/>
        <v>4654.415012500001</v>
      </c>
      <c r="CT22" s="14">
        <f t="shared" si="36"/>
        <v>4654.415012500001</v>
      </c>
      <c r="CU22" s="14">
        <v>120</v>
      </c>
      <c r="CX22" s="32">
        <f t="shared" si="37"/>
        <v>2227.1957</v>
      </c>
      <c r="CY22" s="14">
        <f t="shared" si="38"/>
        <v>2227.1957</v>
      </c>
      <c r="CZ22" s="14">
        <v>57</v>
      </c>
      <c r="DC22" s="14">
        <f t="shared" si="39"/>
        <v>3698.6701625</v>
      </c>
      <c r="DD22" s="14">
        <f t="shared" si="40"/>
        <v>3698.6701625</v>
      </c>
      <c r="DE22" s="14">
        <v>95</v>
      </c>
      <c r="DH22" s="14">
        <f t="shared" si="41"/>
        <v>11249.9171625</v>
      </c>
      <c r="DI22" s="14">
        <f t="shared" si="42"/>
        <v>11249.9171625</v>
      </c>
      <c r="DJ22" s="14">
        <v>290</v>
      </c>
      <c r="DM22" s="14">
        <f t="shared" si="43"/>
        <v>1167.5156625</v>
      </c>
      <c r="DN22" s="14">
        <f t="shared" si="44"/>
        <v>1167.5156625</v>
      </c>
      <c r="DO22" s="14">
        <v>30</v>
      </c>
      <c r="DR22" s="14">
        <f t="shared" si="45"/>
        <v>589.9297</v>
      </c>
      <c r="DS22" s="14">
        <f t="shared" si="46"/>
        <v>589.9297</v>
      </c>
      <c r="DT22" s="14">
        <v>15</v>
      </c>
      <c r="DW22" s="14">
        <f t="shared" si="47"/>
        <v>156.70581249999998</v>
      </c>
      <c r="DX22" s="14">
        <f t="shared" si="48"/>
        <v>156.70581249999998</v>
      </c>
      <c r="DY22" s="14">
        <v>4</v>
      </c>
      <c r="EB22" s="14">
        <f t="shared" si="49"/>
        <v>5121.9168625</v>
      </c>
      <c r="EC22" s="14">
        <f t="shared" si="50"/>
        <v>5121.9168625</v>
      </c>
      <c r="ED22" s="14">
        <v>132</v>
      </c>
      <c r="EG22" s="14">
        <f t="shared" si="51"/>
        <v>20906.2991125</v>
      </c>
      <c r="EH22" s="14">
        <f t="shared" si="52"/>
        <v>20906.2991125</v>
      </c>
      <c r="EI22" s="14">
        <v>539</v>
      </c>
      <c r="EL22" s="14">
        <f t="shared" si="53"/>
        <v>347.41426249999995</v>
      </c>
      <c r="EM22" s="14">
        <f t="shared" si="54"/>
        <v>347.41426249999995</v>
      </c>
      <c r="EN22" s="14">
        <v>9</v>
      </c>
      <c r="EQ22" s="14">
        <f t="shared" si="55"/>
        <v>4207.7002</v>
      </c>
      <c r="ER22" s="14">
        <f t="shared" si="56"/>
        <v>4207.7002</v>
      </c>
      <c r="ES22" s="14">
        <v>108</v>
      </c>
      <c r="EV22" s="14">
        <f t="shared" si="57"/>
        <v>1746.570025</v>
      </c>
      <c r="EW22" s="14">
        <f t="shared" si="58"/>
        <v>1746.570025</v>
      </c>
      <c r="EX22" s="14">
        <v>45</v>
      </c>
    </row>
    <row r="23" spans="1:154" ht="12.75">
      <c r="A23" s="2">
        <v>42826</v>
      </c>
      <c r="C23" s="15">
        <v>1985000</v>
      </c>
      <c r="D23" s="15">
        <v>469875</v>
      </c>
      <c r="E23" s="15">
        <f t="shared" si="0"/>
        <v>2454875</v>
      </c>
      <c r="G23" s="15">
        <v>65000</v>
      </c>
      <c r="H23" s="15">
        <v>11000</v>
      </c>
      <c r="I23" s="15">
        <f t="shared" si="1"/>
        <v>76000</v>
      </c>
      <c r="K23" s="15">
        <v>1920000</v>
      </c>
      <c r="L23" s="15">
        <v>458875</v>
      </c>
      <c r="M23" s="15">
        <f t="shared" si="2"/>
        <v>2378875</v>
      </c>
      <c r="N23" s="15"/>
      <c r="P23" s="14">
        <f t="shared" si="59"/>
        <v>152845.248</v>
      </c>
      <c r="Q23" s="14">
        <f t="shared" si="3"/>
        <v>36529.6162375</v>
      </c>
      <c r="R23" s="32">
        <f t="shared" si="4"/>
        <v>189374.8642375</v>
      </c>
      <c r="S23" s="32">
        <v>941</v>
      </c>
      <c r="U23" s="14">
        <f t="shared" si="60"/>
        <v>170143.296</v>
      </c>
      <c r="V23" s="14">
        <f t="shared" si="5"/>
        <v>40663.8046625</v>
      </c>
      <c r="W23" s="14">
        <f t="shared" si="6"/>
        <v>210807.10066250002</v>
      </c>
      <c r="X23" s="14">
        <v>1048</v>
      </c>
      <c r="Z23" s="32">
        <f t="shared" si="61"/>
        <v>62827.968</v>
      </c>
      <c r="AA23" s="14">
        <f t="shared" si="7"/>
        <v>15015.7207375</v>
      </c>
      <c r="AB23" s="14">
        <f t="shared" si="8"/>
        <v>77843.6887375</v>
      </c>
      <c r="AC23" s="14">
        <v>387</v>
      </c>
      <c r="AE23" s="14">
        <f t="shared" si="62"/>
        <v>46936.89600000001</v>
      </c>
      <c r="AF23" s="14">
        <f t="shared" si="9"/>
        <v>11217.7959125</v>
      </c>
      <c r="AG23" s="14">
        <f t="shared" si="10"/>
        <v>58154.691912500006</v>
      </c>
      <c r="AH23" s="14">
        <v>289</v>
      </c>
      <c r="AJ23" s="14">
        <f t="shared" si="63"/>
        <v>62493.312000000005</v>
      </c>
      <c r="AK23" s="14">
        <f t="shared" si="11"/>
        <v>14935.738824999999</v>
      </c>
      <c r="AL23" s="14">
        <f t="shared" si="12"/>
        <v>77429.050825</v>
      </c>
      <c r="AM23" s="14">
        <v>385</v>
      </c>
      <c r="AO23" s="14">
        <f t="shared" si="64"/>
        <v>456597.31200000003</v>
      </c>
      <c r="AP23" s="14">
        <f t="shared" si="13"/>
        <v>109125.5685125</v>
      </c>
      <c r="AQ23" s="14">
        <f t="shared" si="14"/>
        <v>565722.8805125001</v>
      </c>
      <c r="AR23" s="14">
        <v>2811</v>
      </c>
      <c r="AT23" s="14">
        <f t="shared" si="65"/>
        <v>7.68</v>
      </c>
      <c r="AU23" s="14">
        <f t="shared" si="15"/>
        <v>1.8355000000000001</v>
      </c>
      <c r="AV23" s="14">
        <f t="shared" si="16"/>
        <v>9.5155</v>
      </c>
      <c r="AY23" s="14">
        <f t="shared" si="66"/>
        <v>4658.112</v>
      </c>
      <c r="AZ23" s="14">
        <f t="shared" si="17"/>
        <v>1113.2766374999999</v>
      </c>
      <c r="BA23" s="14">
        <f t="shared" si="18"/>
        <v>5771.3886375</v>
      </c>
      <c r="BB23" s="14">
        <v>29</v>
      </c>
      <c r="BD23" s="14">
        <f t="shared" si="67"/>
        <v>2623.4880000000003</v>
      </c>
      <c r="BE23" s="14">
        <f t="shared" si="19"/>
        <v>627.0068000000001</v>
      </c>
      <c r="BF23" s="14">
        <f t="shared" si="20"/>
        <v>3250.4948000000004</v>
      </c>
      <c r="BG23" s="14">
        <v>16</v>
      </c>
      <c r="BI23" s="14">
        <f t="shared" si="68"/>
        <v>16872</v>
      </c>
      <c r="BJ23" s="14">
        <f t="shared" si="21"/>
        <v>4032.3640625</v>
      </c>
      <c r="BK23" s="14">
        <f t="shared" si="22"/>
        <v>20904.3640625</v>
      </c>
      <c r="BL23" s="14">
        <v>104</v>
      </c>
      <c r="BN23" s="14">
        <f t="shared" si="69"/>
        <v>10897.344000000001</v>
      </c>
      <c r="BO23" s="14">
        <f t="shared" si="23"/>
        <v>2604.4368375</v>
      </c>
      <c r="BP23" s="14">
        <f t="shared" si="24"/>
        <v>13501.7808375</v>
      </c>
      <c r="BQ23" s="14">
        <v>67</v>
      </c>
      <c r="BS23" s="14">
        <f t="shared" si="70"/>
        <v>41954.687999999995</v>
      </c>
      <c r="BT23" s="14">
        <f t="shared" si="25"/>
        <v>10027.061175</v>
      </c>
      <c r="BU23" s="14">
        <f t="shared" si="26"/>
        <v>51981.749175</v>
      </c>
      <c r="BV23" s="14">
        <v>258</v>
      </c>
      <c r="BX23" s="14">
        <f t="shared" si="71"/>
        <v>2671.8720000000003</v>
      </c>
      <c r="BY23" s="14">
        <f t="shared" si="27"/>
        <v>638.57045</v>
      </c>
      <c r="BZ23" s="14">
        <f t="shared" si="28"/>
        <v>3310.4424500000005</v>
      </c>
      <c r="CA23" s="14">
        <v>16</v>
      </c>
      <c r="CC23" s="14">
        <f t="shared" si="72"/>
        <v>7231.68</v>
      </c>
      <c r="CD23" s="14">
        <f t="shared" si="29"/>
        <v>1728.3526874999998</v>
      </c>
      <c r="CE23" s="14">
        <f t="shared" si="30"/>
        <v>8960.0326875</v>
      </c>
      <c r="CF23" s="14">
        <v>45</v>
      </c>
      <c r="CH23" s="14">
        <f t="shared" si="73"/>
        <v>30456.384</v>
      </c>
      <c r="CI23" s="14">
        <f t="shared" si="31"/>
        <v>7278.9964625</v>
      </c>
      <c r="CJ23" s="14">
        <f t="shared" si="32"/>
        <v>37735.3804625</v>
      </c>
      <c r="CK23" s="14">
        <v>188</v>
      </c>
      <c r="CM23" s="14">
        <f t="shared" si="74"/>
        <v>1378.1760000000002</v>
      </c>
      <c r="CN23" s="14">
        <f t="shared" si="33"/>
        <v>329.380475</v>
      </c>
      <c r="CO23" s="14">
        <f t="shared" si="34"/>
        <v>1707.556475</v>
      </c>
      <c r="CP23" s="14">
        <v>9</v>
      </c>
      <c r="CR23" s="14">
        <f t="shared" si="75"/>
        <v>19474.752</v>
      </c>
      <c r="CS23" s="14">
        <f t="shared" si="35"/>
        <v>4654.415012500001</v>
      </c>
      <c r="CT23" s="14">
        <f t="shared" si="36"/>
        <v>24129.167012500002</v>
      </c>
      <c r="CU23" s="14">
        <v>120</v>
      </c>
      <c r="CW23" s="14">
        <f t="shared" si="76"/>
        <v>9318.912</v>
      </c>
      <c r="CX23" s="32">
        <f t="shared" si="37"/>
        <v>2227.1957</v>
      </c>
      <c r="CY23" s="14">
        <f t="shared" si="38"/>
        <v>11546.1077</v>
      </c>
      <c r="CZ23" s="14">
        <v>57</v>
      </c>
      <c r="DB23" s="14">
        <f t="shared" si="77"/>
        <v>15475.776000000002</v>
      </c>
      <c r="DC23" s="14">
        <f t="shared" si="39"/>
        <v>3698.6701625</v>
      </c>
      <c r="DD23" s="14">
        <f t="shared" si="40"/>
        <v>19174.4461625</v>
      </c>
      <c r="DE23" s="14">
        <v>95</v>
      </c>
      <c r="DG23" s="14">
        <f t="shared" si="78"/>
        <v>47071.296</v>
      </c>
      <c r="DH23" s="14">
        <f t="shared" si="41"/>
        <v>11249.9171625</v>
      </c>
      <c r="DI23" s="14">
        <f t="shared" si="42"/>
        <v>58321.213162500004</v>
      </c>
      <c r="DJ23" s="14">
        <v>290</v>
      </c>
      <c r="DL23" s="14">
        <f t="shared" si="79"/>
        <v>4885.056</v>
      </c>
      <c r="DM23" s="14">
        <f t="shared" si="43"/>
        <v>1167.5156625</v>
      </c>
      <c r="DN23" s="14">
        <f t="shared" si="44"/>
        <v>6052.5716625</v>
      </c>
      <c r="DO23" s="14">
        <v>30</v>
      </c>
      <c r="DQ23" s="14">
        <f t="shared" si="80"/>
        <v>2468.3520000000003</v>
      </c>
      <c r="DR23" s="14">
        <f t="shared" si="45"/>
        <v>589.9297</v>
      </c>
      <c r="DS23" s="14">
        <f t="shared" si="46"/>
        <v>3058.2817000000005</v>
      </c>
      <c r="DT23" s="14">
        <v>15</v>
      </c>
      <c r="DV23" s="14">
        <f t="shared" si="81"/>
        <v>655.68</v>
      </c>
      <c r="DW23" s="14">
        <f t="shared" si="47"/>
        <v>156.70581249999998</v>
      </c>
      <c r="DX23" s="14">
        <f t="shared" si="48"/>
        <v>812.3858124999999</v>
      </c>
      <c r="DY23" s="14">
        <v>4</v>
      </c>
      <c r="EA23" s="14">
        <f t="shared" si="82"/>
        <v>21430.847999999998</v>
      </c>
      <c r="EB23" s="14">
        <f t="shared" si="49"/>
        <v>5121.9168625</v>
      </c>
      <c r="EC23" s="14">
        <f t="shared" si="50"/>
        <v>26552.7648625</v>
      </c>
      <c r="ED23" s="14">
        <v>132</v>
      </c>
      <c r="EF23" s="14">
        <f t="shared" si="83"/>
        <v>87475.008</v>
      </c>
      <c r="EG23" s="14">
        <f t="shared" si="51"/>
        <v>20906.2991125</v>
      </c>
      <c r="EH23" s="14">
        <f t="shared" si="52"/>
        <v>108381.3071125</v>
      </c>
      <c r="EI23" s="14">
        <v>539</v>
      </c>
      <c r="EK23" s="14">
        <f t="shared" si="84"/>
        <v>1453.632</v>
      </c>
      <c r="EL23" s="14">
        <f t="shared" si="53"/>
        <v>347.41426249999995</v>
      </c>
      <c r="EM23" s="14">
        <f t="shared" si="54"/>
        <v>1801.0462625</v>
      </c>
      <c r="EN23" s="14">
        <v>9</v>
      </c>
      <c r="EP23" s="14">
        <f t="shared" si="85"/>
        <v>17605.631999999998</v>
      </c>
      <c r="EQ23" s="14">
        <f t="shared" si="55"/>
        <v>4207.7002</v>
      </c>
      <c r="ER23" s="14">
        <f t="shared" si="56"/>
        <v>21813.332199999997</v>
      </c>
      <c r="ES23" s="14">
        <v>108</v>
      </c>
      <c r="EU23" s="14">
        <f t="shared" si="86"/>
        <v>7307.904</v>
      </c>
      <c r="EV23" s="14">
        <f t="shared" si="57"/>
        <v>1746.570025</v>
      </c>
      <c r="EW23" s="14">
        <f t="shared" si="58"/>
        <v>9054.474025</v>
      </c>
      <c r="EX23" s="14">
        <v>45</v>
      </c>
    </row>
    <row r="24" spans="1:154" ht="12.75">
      <c r="A24" s="2">
        <v>43009</v>
      </c>
      <c r="D24" s="15">
        <v>420250</v>
      </c>
      <c r="E24" s="15">
        <f t="shared" si="0"/>
        <v>420250</v>
      </c>
      <c r="G24" s="15"/>
      <c r="H24" s="15">
        <v>9375</v>
      </c>
      <c r="I24" s="15">
        <f t="shared" si="1"/>
        <v>9375</v>
      </c>
      <c r="K24" s="15"/>
      <c r="L24" s="15">
        <v>410875</v>
      </c>
      <c r="M24" s="15">
        <f t="shared" si="2"/>
        <v>410875</v>
      </c>
      <c r="N24" s="15"/>
      <c r="Q24" s="14">
        <f t="shared" si="3"/>
        <v>32708.485037499995</v>
      </c>
      <c r="R24" s="32">
        <f t="shared" si="4"/>
        <v>32708.485037499995</v>
      </c>
      <c r="S24" s="32">
        <v>941</v>
      </c>
      <c r="V24" s="14">
        <f t="shared" si="5"/>
        <v>36410.2222625</v>
      </c>
      <c r="W24" s="14">
        <f t="shared" si="6"/>
        <v>36410.2222625</v>
      </c>
      <c r="X24" s="14">
        <v>1048</v>
      </c>
      <c r="Z24" s="32"/>
      <c r="AA24" s="14">
        <f t="shared" si="7"/>
        <v>13445.0215375</v>
      </c>
      <c r="AB24" s="14">
        <f t="shared" si="8"/>
        <v>13445.0215375</v>
      </c>
      <c r="AC24" s="14">
        <v>387</v>
      </c>
      <c r="AF24" s="14">
        <f t="shared" si="9"/>
        <v>10044.3735125</v>
      </c>
      <c r="AG24" s="14">
        <f t="shared" si="10"/>
        <v>10044.3735125</v>
      </c>
      <c r="AH24" s="14">
        <v>289</v>
      </c>
      <c r="AK24" s="14">
        <f t="shared" si="11"/>
        <v>13373.406025</v>
      </c>
      <c r="AL24" s="14">
        <f t="shared" si="12"/>
        <v>13373.406025</v>
      </c>
      <c r="AM24" s="14">
        <v>385</v>
      </c>
      <c r="AP24" s="14">
        <f t="shared" si="13"/>
        <v>97710.6357125</v>
      </c>
      <c r="AQ24" s="14">
        <f t="shared" si="14"/>
        <v>97710.6357125</v>
      </c>
      <c r="AR24" s="14">
        <v>2811</v>
      </c>
      <c r="AU24" s="14">
        <f t="shared" si="15"/>
        <v>1.6435</v>
      </c>
      <c r="AV24" s="14">
        <f t="shared" si="16"/>
        <v>1.6435</v>
      </c>
      <c r="AZ24" s="14">
        <f t="shared" si="17"/>
        <v>996.8238375</v>
      </c>
      <c r="BA24" s="14">
        <f t="shared" si="18"/>
        <v>996.8238375</v>
      </c>
      <c r="BB24" s="14">
        <v>29</v>
      </c>
      <c r="BE24" s="14">
        <f t="shared" si="19"/>
        <v>561.4196000000001</v>
      </c>
      <c r="BF24" s="14">
        <f t="shared" si="20"/>
        <v>561.4196000000001</v>
      </c>
      <c r="BG24" s="14">
        <v>16</v>
      </c>
      <c r="BJ24" s="14">
        <f t="shared" si="21"/>
        <v>3610.5640625</v>
      </c>
      <c r="BK24" s="14">
        <f t="shared" si="22"/>
        <v>3610.5640625</v>
      </c>
      <c r="BL24" s="14">
        <v>104</v>
      </c>
      <c r="BO24" s="14">
        <f t="shared" si="23"/>
        <v>2332.0032375</v>
      </c>
      <c r="BP24" s="14">
        <f t="shared" si="24"/>
        <v>2332.0032375</v>
      </c>
      <c r="BQ24" s="14">
        <v>67</v>
      </c>
      <c r="BT24" s="14">
        <f t="shared" si="25"/>
        <v>8978.193975</v>
      </c>
      <c r="BU24" s="14">
        <f t="shared" si="26"/>
        <v>8978.193975</v>
      </c>
      <c r="BV24" s="14">
        <v>258</v>
      </c>
      <c r="BY24" s="14">
        <f t="shared" si="27"/>
        <v>571.7736500000001</v>
      </c>
      <c r="BZ24" s="14">
        <f t="shared" si="28"/>
        <v>571.7736500000001</v>
      </c>
      <c r="CA24" s="14">
        <v>16</v>
      </c>
      <c r="CD24" s="14">
        <f t="shared" si="29"/>
        <v>1547.5606875</v>
      </c>
      <c r="CE24" s="14">
        <f t="shared" si="30"/>
        <v>1547.5606875</v>
      </c>
      <c r="CF24" s="14">
        <v>45</v>
      </c>
      <c r="CI24" s="14">
        <f t="shared" si="31"/>
        <v>6517.5868625</v>
      </c>
      <c r="CJ24" s="14">
        <f t="shared" si="32"/>
        <v>6517.5868625</v>
      </c>
      <c r="CK24" s="14">
        <v>188</v>
      </c>
      <c r="CN24" s="14">
        <f t="shared" si="33"/>
        <v>294.92607499999997</v>
      </c>
      <c r="CO24" s="14">
        <f t="shared" si="34"/>
        <v>294.92607499999997</v>
      </c>
      <c r="CP24" s="14">
        <v>9</v>
      </c>
      <c r="CS24" s="14">
        <f t="shared" si="35"/>
        <v>4167.5462125</v>
      </c>
      <c r="CT24" s="14">
        <f t="shared" si="36"/>
        <v>4167.5462125</v>
      </c>
      <c r="CU24" s="14">
        <v>120</v>
      </c>
      <c r="CX24" s="32">
        <f t="shared" si="37"/>
        <v>1994.2229</v>
      </c>
      <c r="CY24" s="14">
        <f t="shared" si="38"/>
        <v>1994.2229</v>
      </c>
      <c r="CZ24" s="14">
        <v>57</v>
      </c>
      <c r="DC24" s="14">
        <f t="shared" si="39"/>
        <v>3311.7757625</v>
      </c>
      <c r="DD24" s="14">
        <f t="shared" si="40"/>
        <v>3311.7757625</v>
      </c>
      <c r="DE24" s="14">
        <v>95</v>
      </c>
      <c r="DH24" s="14">
        <f t="shared" si="41"/>
        <v>10073.1347625</v>
      </c>
      <c r="DI24" s="14">
        <f t="shared" si="42"/>
        <v>10073.1347625</v>
      </c>
      <c r="DJ24" s="14">
        <v>290</v>
      </c>
      <c r="DM24" s="14">
        <f t="shared" si="43"/>
        <v>1045.3892624999999</v>
      </c>
      <c r="DN24" s="14">
        <f t="shared" si="44"/>
        <v>1045.3892624999999</v>
      </c>
      <c r="DO24" s="14">
        <v>30</v>
      </c>
      <c r="DR24" s="14">
        <f t="shared" si="45"/>
        <v>528.2209</v>
      </c>
      <c r="DS24" s="14">
        <f t="shared" si="46"/>
        <v>528.2209</v>
      </c>
      <c r="DT24" s="14">
        <v>15</v>
      </c>
      <c r="DW24" s="14">
        <f t="shared" si="47"/>
        <v>140.3138125</v>
      </c>
      <c r="DX24" s="14">
        <f t="shared" si="48"/>
        <v>140.3138125</v>
      </c>
      <c r="DY24" s="14">
        <v>4</v>
      </c>
      <c r="EB24" s="14">
        <f t="shared" si="49"/>
        <v>4586.1456625</v>
      </c>
      <c r="EC24" s="14">
        <f t="shared" si="50"/>
        <v>4586.1456625</v>
      </c>
      <c r="ED24" s="14">
        <v>132</v>
      </c>
      <c r="EG24" s="14">
        <f t="shared" si="51"/>
        <v>18719.423912500002</v>
      </c>
      <c r="EH24" s="14">
        <f t="shared" si="52"/>
        <v>18719.423912500002</v>
      </c>
      <c r="EI24" s="14">
        <v>539</v>
      </c>
      <c r="EL24" s="14">
        <f t="shared" si="53"/>
        <v>311.0734625</v>
      </c>
      <c r="EM24" s="14">
        <f t="shared" si="54"/>
        <v>311.0734625</v>
      </c>
      <c r="EN24" s="14">
        <v>9</v>
      </c>
      <c r="EQ24" s="14">
        <f t="shared" si="55"/>
        <v>3767.5594</v>
      </c>
      <c r="ER24" s="14">
        <f t="shared" si="56"/>
        <v>3767.5594</v>
      </c>
      <c r="ES24" s="14">
        <v>108</v>
      </c>
      <c r="EV24" s="14">
        <f t="shared" si="57"/>
        <v>1563.872425</v>
      </c>
      <c r="EW24" s="14">
        <f t="shared" si="58"/>
        <v>1563.872425</v>
      </c>
      <c r="EX24" s="14">
        <v>45</v>
      </c>
    </row>
    <row r="25" spans="1:154" ht="12.75">
      <c r="A25" s="33">
        <v>43191</v>
      </c>
      <c r="C25" s="15">
        <v>2085000</v>
      </c>
      <c r="D25" s="15">
        <v>420250</v>
      </c>
      <c r="E25" s="15">
        <f t="shared" si="0"/>
        <v>2505250</v>
      </c>
      <c r="G25" s="15">
        <v>65000</v>
      </c>
      <c r="H25" s="15">
        <v>9375</v>
      </c>
      <c r="I25" s="15">
        <f t="shared" si="1"/>
        <v>74375</v>
      </c>
      <c r="K25" s="15">
        <v>2020000</v>
      </c>
      <c r="L25" s="15">
        <v>410875</v>
      </c>
      <c r="M25" s="15">
        <f t="shared" si="2"/>
        <v>2430875</v>
      </c>
      <c r="N25" s="15"/>
      <c r="P25" s="14">
        <f t="shared" si="59"/>
        <v>160805.938</v>
      </c>
      <c r="Q25" s="14">
        <f t="shared" si="3"/>
        <v>32708.485037499995</v>
      </c>
      <c r="R25" s="32">
        <f t="shared" si="4"/>
        <v>193514.4230375</v>
      </c>
      <c r="S25" s="32">
        <v>941</v>
      </c>
      <c r="U25" s="14">
        <f t="shared" si="60"/>
        <v>179004.926</v>
      </c>
      <c r="V25" s="14">
        <f t="shared" si="5"/>
        <v>36410.2222625</v>
      </c>
      <c r="W25" s="14">
        <f t="shared" si="6"/>
        <v>215415.1482625</v>
      </c>
      <c r="X25" s="14">
        <v>1048</v>
      </c>
      <c r="Z25" s="32">
        <f t="shared" si="61"/>
        <v>66100.258</v>
      </c>
      <c r="AA25" s="14">
        <f t="shared" si="7"/>
        <v>13445.0215375</v>
      </c>
      <c r="AB25" s="14">
        <f t="shared" si="8"/>
        <v>79545.2795375</v>
      </c>
      <c r="AC25" s="14">
        <v>387</v>
      </c>
      <c r="AE25" s="14">
        <f t="shared" si="62"/>
        <v>49381.526000000005</v>
      </c>
      <c r="AF25" s="14">
        <f t="shared" si="9"/>
        <v>10044.3735125</v>
      </c>
      <c r="AG25" s="14">
        <f t="shared" si="10"/>
        <v>59425.89951250001</v>
      </c>
      <c r="AH25" s="14">
        <v>289</v>
      </c>
      <c r="AJ25" s="14">
        <f t="shared" si="63"/>
        <v>65748.172</v>
      </c>
      <c r="AK25" s="14">
        <f t="shared" si="11"/>
        <v>13373.406025</v>
      </c>
      <c r="AL25" s="14">
        <f t="shared" si="12"/>
        <v>79121.57802500001</v>
      </c>
      <c r="AM25" s="14">
        <v>385</v>
      </c>
      <c r="AO25" s="14">
        <f t="shared" si="64"/>
        <v>480378.422</v>
      </c>
      <c r="AP25" s="14">
        <f t="shared" si="13"/>
        <v>97710.6357125</v>
      </c>
      <c r="AQ25" s="14">
        <f t="shared" si="14"/>
        <v>578089.0577125</v>
      </c>
      <c r="AR25" s="14">
        <v>2811</v>
      </c>
      <c r="AT25" s="14">
        <f t="shared" si="65"/>
        <v>8.08</v>
      </c>
      <c r="AU25" s="14">
        <f t="shared" si="15"/>
        <v>1.6435</v>
      </c>
      <c r="AV25" s="14">
        <f t="shared" si="16"/>
        <v>9.7235</v>
      </c>
      <c r="AY25" s="14">
        <f t="shared" si="66"/>
        <v>4900.722</v>
      </c>
      <c r="AZ25" s="14">
        <f t="shared" si="17"/>
        <v>996.8238375</v>
      </c>
      <c r="BA25" s="14">
        <f t="shared" si="18"/>
        <v>5897.5458375</v>
      </c>
      <c r="BB25" s="14">
        <v>29</v>
      </c>
      <c r="BD25" s="14">
        <f t="shared" si="67"/>
        <v>2760.1280000000006</v>
      </c>
      <c r="BE25" s="14">
        <f t="shared" si="19"/>
        <v>561.4196000000001</v>
      </c>
      <c r="BF25" s="14">
        <f t="shared" si="20"/>
        <v>3321.547600000001</v>
      </c>
      <c r="BG25" s="14">
        <v>16</v>
      </c>
      <c r="BI25" s="14">
        <f t="shared" si="68"/>
        <v>17750.75</v>
      </c>
      <c r="BJ25" s="14">
        <f t="shared" si="21"/>
        <v>3610.5640625</v>
      </c>
      <c r="BK25" s="14">
        <f t="shared" si="22"/>
        <v>21361.3140625</v>
      </c>
      <c r="BL25" s="14">
        <v>104</v>
      </c>
      <c r="BN25" s="14">
        <f t="shared" si="69"/>
        <v>11464.914</v>
      </c>
      <c r="BO25" s="14">
        <f t="shared" si="23"/>
        <v>2332.0032375</v>
      </c>
      <c r="BP25" s="14">
        <f t="shared" si="24"/>
        <v>13796.917237500002</v>
      </c>
      <c r="BQ25" s="14">
        <v>67</v>
      </c>
      <c r="BS25" s="14">
        <f t="shared" si="70"/>
        <v>44139.828</v>
      </c>
      <c r="BT25" s="14">
        <f t="shared" si="25"/>
        <v>8978.193975</v>
      </c>
      <c r="BU25" s="14">
        <f t="shared" si="26"/>
        <v>53118.021975</v>
      </c>
      <c r="BV25" s="14">
        <v>258</v>
      </c>
      <c r="BX25" s="14">
        <f t="shared" si="71"/>
        <v>2811.032</v>
      </c>
      <c r="BY25" s="14">
        <f t="shared" si="27"/>
        <v>571.7736500000001</v>
      </c>
      <c r="BZ25" s="14">
        <f t="shared" si="28"/>
        <v>3382.8056500000002</v>
      </c>
      <c r="CA25" s="14">
        <v>16</v>
      </c>
      <c r="CC25" s="14">
        <f t="shared" si="72"/>
        <v>7608.33</v>
      </c>
      <c r="CD25" s="14">
        <f t="shared" si="29"/>
        <v>1547.5606875</v>
      </c>
      <c r="CE25" s="14">
        <f t="shared" si="30"/>
        <v>9155.8906875</v>
      </c>
      <c r="CF25" s="14">
        <v>45</v>
      </c>
      <c r="CH25" s="14">
        <f t="shared" si="73"/>
        <v>32042.654</v>
      </c>
      <c r="CI25" s="14">
        <f t="shared" si="31"/>
        <v>6517.5868625</v>
      </c>
      <c r="CJ25" s="14">
        <f t="shared" si="32"/>
        <v>38560.240862499995</v>
      </c>
      <c r="CK25" s="14">
        <v>188</v>
      </c>
      <c r="CM25" s="14">
        <f t="shared" si="74"/>
        <v>1449.9560000000001</v>
      </c>
      <c r="CN25" s="14">
        <f t="shared" si="33"/>
        <v>294.92607499999997</v>
      </c>
      <c r="CO25" s="14">
        <f t="shared" si="34"/>
        <v>1744.882075</v>
      </c>
      <c r="CP25" s="14">
        <v>9</v>
      </c>
      <c r="CR25" s="14">
        <f t="shared" si="75"/>
        <v>20489.062</v>
      </c>
      <c r="CS25" s="14">
        <f t="shared" si="35"/>
        <v>4167.5462125</v>
      </c>
      <c r="CT25" s="14">
        <f t="shared" si="36"/>
        <v>24656.608212500003</v>
      </c>
      <c r="CU25" s="14">
        <v>120</v>
      </c>
      <c r="CW25" s="14">
        <f t="shared" si="76"/>
        <v>9804.272</v>
      </c>
      <c r="CX25" s="32">
        <f t="shared" si="37"/>
        <v>1994.2229</v>
      </c>
      <c r="CY25" s="14">
        <f t="shared" si="38"/>
        <v>11798.494900000002</v>
      </c>
      <c r="CZ25" s="14">
        <v>57</v>
      </c>
      <c r="DB25" s="14">
        <f t="shared" si="77"/>
        <v>16281.806</v>
      </c>
      <c r="DC25" s="14">
        <f t="shared" si="39"/>
        <v>3311.7757625</v>
      </c>
      <c r="DD25" s="14">
        <f t="shared" si="40"/>
        <v>19593.5817625</v>
      </c>
      <c r="DE25" s="14">
        <v>95</v>
      </c>
      <c r="DG25" s="14">
        <f t="shared" si="78"/>
        <v>49522.92600000001</v>
      </c>
      <c r="DH25" s="14">
        <f t="shared" si="41"/>
        <v>10073.1347625</v>
      </c>
      <c r="DI25" s="14">
        <f t="shared" si="42"/>
        <v>59596.060762500005</v>
      </c>
      <c r="DJ25" s="14">
        <v>290</v>
      </c>
      <c r="DL25" s="14">
        <f t="shared" si="79"/>
        <v>5139.486</v>
      </c>
      <c r="DM25" s="14">
        <f t="shared" si="43"/>
        <v>1045.3892624999999</v>
      </c>
      <c r="DN25" s="14">
        <f t="shared" si="44"/>
        <v>6184.8752625</v>
      </c>
      <c r="DO25" s="14">
        <v>30</v>
      </c>
      <c r="DQ25" s="14">
        <f t="shared" si="80"/>
        <v>2596.9120000000003</v>
      </c>
      <c r="DR25" s="14">
        <f t="shared" si="45"/>
        <v>528.2209</v>
      </c>
      <c r="DS25" s="14">
        <f t="shared" si="46"/>
        <v>3125.1329000000005</v>
      </c>
      <c r="DT25" s="14">
        <v>15</v>
      </c>
      <c r="DV25" s="14">
        <f t="shared" si="81"/>
        <v>689.83</v>
      </c>
      <c r="DW25" s="14">
        <f t="shared" si="47"/>
        <v>140.3138125</v>
      </c>
      <c r="DX25" s="14">
        <f t="shared" si="48"/>
        <v>830.1438125000001</v>
      </c>
      <c r="DY25" s="14">
        <v>4</v>
      </c>
      <c r="EA25" s="14">
        <f t="shared" si="82"/>
        <v>22547.037999999997</v>
      </c>
      <c r="EB25" s="14">
        <f t="shared" si="49"/>
        <v>4586.1456625</v>
      </c>
      <c r="EC25" s="14">
        <f t="shared" si="50"/>
        <v>27133.183662499996</v>
      </c>
      <c r="ED25" s="14">
        <v>132</v>
      </c>
      <c r="EF25" s="14">
        <f t="shared" si="83"/>
        <v>92030.998</v>
      </c>
      <c r="EG25" s="14">
        <f t="shared" si="51"/>
        <v>18719.423912500002</v>
      </c>
      <c r="EH25" s="14">
        <f t="shared" si="52"/>
        <v>110750.42191250001</v>
      </c>
      <c r="EI25" s="14">
        <v>539</v>
      </c>
      <c r="EK25" s="14">
        <f t="shared" si="84"/>
        <v>1529.342</v>
      </c>
      <c r="EL25" s="14">
        <f t="shared" si="53"/>
        <v>311.0734625</v>
      </c>
      <c r="EM25" s="14">
        <f t="shared" si="54"/>
        <v>1840.4154625</v>
      </c>
      <c r="EN25" s="14">
        <v>9</v>
      </c>
      <c r="EP25" s="14">
        <f t="shared" si="85"/>
        <v>18522.592</v>
      </c>
      <c r="EQ25" s="14">
        <f t="shared" si="55"/>
        <v>3767.5594</v>
      </c>
      <c r="ER25" s="14">
        <f t="shared" si="56"/>
        <v>22290.151400000002</v>
      </c>
      <c r="ES25" s="14">
        <v>108</v>
      </c>
      <c r="EU25" s="14">
        <f t="shared" si="86"/>
        <v>7688.524</v>
      </c>
      <c r="EV25" s="14">
        <f t="shared" si="57"/>
        <v>1563.872425</v>
      </c>
      <c r="EW25" s="14">
        <f t="shared" si="58"/>
        <v>9252.396425</v>
      </c>
      <c r="EX25" s="14">
        <v>45</v>
      </c>
    </row>
    <row r="26" spans="1:154" ht="12.75">
      <c r="A26" s="33">
        <v>43374</v>
      </c>
      <c r="D26" s="15">
        <v>368125</v>
      </c>
      <c r="E26" s="15">
        <f t="shared" si="0"/>
        <v>368125</v>
      </c>
      <c r="G26" s="15"/>
      <c r="H26" s="15">
        <v>7750</v>
      </c>
      <c r="I26" s="15">
        <f t="shared" si="1"/>
        <v>7750</v>
      </c>
      <c r="K26" s="15"/>
      <c r="L26" s="15">
        <v>360375</v>
      </c>
      <c r="M26" s="15">
        <f t="shared" si="2"/>
        <v>360375</v>
      </c>
      <c r="N26" s="15"/>
      <c r="Q26" s="14">
        <f t="shared" si="3"/>
        <v>28688.336587499998</v>
      </c>
      <c r="R26" s="32">
        <f t="shared" si="4"/>
        <v>28688.336587499998</v>
      </c>
      <c r="S26" s="32">
        <v>941</v>
      </c>
      <c r="V26" s="14">
        <f t="shared" si="5"/>
        <v>31935.0991125</v>
      </c>
      <c r="W26" s="14">
        <f t="shared" si="6"/>
        <v>31935.0991125</v>
      </c>
      <c r="X26" s="14">
        <v>1048</v>
      </c>
      <c r="Z26" s="32"/>
      <c r="AA26" s="14">
        <f t="shared" si="7"/>
        <v>11792.5150875</v>
      </c>
      <c r="AB26" s="14">
        <f t="shared" si="8"/>
        <v>11792.5150875</v>
      </c>
      <c r="AC26" s="14">
        <v>387</v>
      </c>
      <c r="AF26" s="14">
        <f t="shared" si="9"/>
        <v>8809.8353625</v>
      </c>
      <c r="AG26" s="14">
        <f t="shared" si="10"/>
        <v>8809.8353625</v>
      </c>
      <c r="AH26" s="14">
        <v>289</v>
      </c>
      <c r="AK26" s="14">
        <f t="shared" si="11"/>
        <v>11729.701724999999</v>
      </c>
      <c r="AL26" s="14">
        <f t="shared" si="12"/>
        <v>11729.701724999999</v>
      </c>
      <c r="AM26" s="14">
        <v>385</v>
      </c>
      <c r="AP26" s="14">
        <f t="shared" si="13"/>
        <v>85701.17516250002</v>
      </c>
      <c r="AQ26" s="14">
        <f t="shared" si="14"/>
        <v>85701.17516250002</v>
      </c>
      <c r="AR26" s="14">
        <v>2811</v>
      </c>
      <c r="AU26" s="14">
        <f t="shared" si="15"/>
        <v>1.4415</v>
      </c>
      <c r="AV26" s="14">
        <f t="shared" si="16"/>
        <v>1.4415</v>
      </c>
      <c r="AZ26" s="14">
        <f t="shared" si="17"/>
        <v>874.3057875</v>
      </c>
      <c r="BA26" s="14">
        <f t="shared" si="18"/>
        <v>874.3057875</v>
      </c>
      <c r="BB26" s="14">
        <v>29</v>
      </c>
      <c r="BE26" s="14">
        <f t="shared" si="19"/>
        <v>492.41640000000007</v>
      </c>
      <c r="BF26" s="14">
        <f t="shared" si="20"/>
        <v>492.41640000000007</v>
      </c>
      <c r="BG26" s="14">
        <v>16</v>
      </c>
      <c r="BJ26" s="14">
        <f t="shared" si="21"/>
        <v>3166.7953125</v>
      </c>
      <c r="BK26" s="14">
        <f t="shared" si="22"/>
        <v>3166.7953125</v>
      </c>
      <c r="BL26" s="14">
        <v>104</v>
      </c>
      <c r="BO26" s="14">
        <f t="shared" si="23"/>
        <v>2045.3803875</v>
      </c>
      <c r="BP26" s="14">
        <f t="shared" si="24"/>
        <v>2045.3803875</v>
      </c>
      <c r="BQ26" s="14">
        <v>67</v>
      </c>
      <c r="BT26" s="14">
        <f t="shared" si="25"/>
        <v>7874.698275</v>
      </c>
      <c r="BU26" s="14">
        <f t="shared" si="26"/>
        <v>7874.698275</v>
      </c>
      <c r="BV26" s="14">
        <v>258</v>
      </c>
      <c r="BY26" s="14">
        <f t="shared" si="27"/>
        <v>501.49785</v>
      </c>
      <c r="BZ26" s="14">
        <f t="shared" si="28"/>
        <v>501.49785</v>
      </c>
      <c r="CA26" s="14">
        <v>16</v>
      </c>
      <c r="CD26" s="14">
        <f t="shared" si="29"/>
        <v>1357.3524375</v>
      </c>
      <c r="CE26" s="14">
        <f t="shared" si="30"/>
        <v>1357.3524375</v>
      </c>
      <c r="CF26" s="14">
        <v>45</v>
      </c>
      <c r="CI26" s="14">
        <f t="shared" si="31"/>
        <v>5716.5205125</v>
      </c>
      <c r="CJ26" s="14">
        <f t="shared" si="32"/>
        <v>5716.5205125</v>
      </c>
      <c r="CK26" s="14">
        <v>188</v>
      </c>
      <c r="CN26" s="14">
        <f t="shared" si="33"/>
        <v>258.677175</v>
      </c>
      <c r="CO26" s="14">
        <f t="shared" si="34"/>
        <v>258.677175</v>
      </c>
      <c r="CP26" s="14">
        <v>9</v>
      </c>
      <c r="CS26" s="14">
        <f t="shared" si="35"/>
        <v>3655.3196625</v>
      </c>
      <c r="CT26" s="14">
        <f t="shared" si="36"/>
        <v>3655.3196625</v>
      </c>
      <c r="CU26" s="14">
        <v>120</v>
      </c>
      <c r="CX26" s="32">
        <f t="shared" si="37"/>
        <v>1749.1161000000002</v>
      </c>
      <c r="CY26" s="14">
        <f t="shared" si="38"/>
        <v>1749.1161000000002</v>
      </c>
      <c r="CZ26" s="14">
        <v>57</v>
      </c>
      <c r="DC26" s="14">
        <f t="shared" si="39"/>
        <v>2904.7306125000005</v>
      </c>
      <c r="DD26" s="14">
        <f t="shared" si="40"/>
        <v>2904.7306125000005</v>
      </c>
      <c r="DE26" s="14">
        <v>95</v>
      </c>
      <c r="DH26" s="14">
        <f t="shared" si="41"/>
        <v>8835.061612500002</v>
      </c>
      <c r="DI26" s="14">
        <f t="shared" si="42"/>
        <v>8835.061612500002</v>
      </c>
      <c r="DJ26" s="14">
        <v>290</v>
      </c>
      <c r="DM26" s="14">
        <f t="shared" si="43"/>
        <v>916.9021124999999</v>
      </c>
      <c r="DN26" s="14">
        <f t="shared" si="44"/>
        <v>916.9021124999999</v>
      </c>
      <c r="DO26" s="14">
        <v>30</v>
      </c>
      <c r="DR26" s="14">
        <f t="shared" si="45"/>
        <v>463.29810000000003</v>
      </c>
      <c r="DS26" s="14">
        <f t="shared" si="46"/>
        <v>463.29810000000003</v>
      </c>
      <c r="DT26" s="14">
        <v>15</v>
      </c>
      <c r="DW26" s="14">
        <f t="shared" si="47"/>
        <v>123.0680625</v>
      </c>
      <c r="DX26" s="14">
        <f t="shared" si="48"/>
        <v>123.0680625</v>
      </c>
      <c r="DY26" s="14">
        <v>4</v>
      </c>
      <c r="EB26" s="14">
        <f t="shared" si="49"/>
        <v>4022.4697125000002</v>
      </c>
      <c r="EC26" s="14">
        <f t="shared" si="50"/>
        <v>4022.4697125000002</v>
      </c>
      <c r="ED26" s="14">
        <v>132</v>
      </c>
      <c r="EG26" s="14">
        <f t="shared" si="51"/>
        <v>16418.648962500003</v>
      </c>
      <c r="EH26" s="14">
        <f t="shared" si="52"/>
        <v>16418.648962500003</v>
      </c>
      <c r="EI26" s="14">
        <v>539</v>
      </c>
      <c r="EL26" s="14">
        <f t="shared" si="53"/>
        <v>272.83991249999997</v>
      </c>
      <c r="EM26" s="14">
        <f t="shared" si="54"/>
        <v>272.83991249999997</v>
      </c>
      <c r="EN26" s="14">
        <v>9</v>
      </c>
      <c r="EQ26" s="14">
        <f t="shared" si="55"/>
        <v>3304.4946</v>
      </c>
      <c r="ER26" s="14">
        <f t="shared" si="56"/>
        <v>3304.4946</v>
      </c>
      <c r="ES26" s="14">
        <v>108</v>
      </c>
      <c r="EV26" s="14">
        <f t="shared" si="57"/>
        <v>1371.6593249999999</v>
      </c>
      <c r="EW26" s="14">
        <f t="shared" si="58"/>
        <v>1371.6593249999999</v>
      </c>
      <c r="EX26" s="14">
        <v>45</v>
      </c>
    </row>
    <row r="27" spans="1:155" s="34" customFormat="1" ht="12.75">
      <c r="A27" s="33">
        <v>43556</v>
      </c>
      <c r="C27" s="21">
        <v>2185000</v>
      </c>
      <c r="D27" s="21">
        <v>368125</v>
      </c>
      <c r="E27" s="15">
        <f t="shared" si="0"/>
        <v>2553125</v>
      </c>
      <c r="F27" s="32"/>
      <c r="G27" s="21">
        <v>65000</v>
      </c>
      <c r="H27" s="21">
        <v>7750</v>
      </c>
      <c r="I27" s="15">
        <f t="shared" si="1"/>
        <v>72750</v>
      </c>
      <c r="J27" s="32"/>
      <c r="K27" s="21">
        <v>2120000</v>
      </c>
      <c r="L27" s="21">
        <v>360375</v>
      </c>
      <c r="M27" s="15">
        <f t="shared" si="2"/>
        <v>2480375</v>
      </c>
      <c r="N27" s="15"/>
      <c r="O27" s="32"/>
      <c r="P27" s="14">
        <f t="shared" si="59"/>
        <v>168766.628</v>
      </c>
      <c r="Q27" s="14">
        <f t="shared" si="3"/>
        <v>28688.336587499998</v>
      </c>
      <c r="R27" s="32">
        <f t="shared" si="4"/>
        <v>197454.9645875</v>
      </c>
      <c r="S27" s="32">
        <v>941</v>
      </c>
      <c r="T27" s="32"/>
      <c r="U27" s="14">
        <f t="shared" si="60"/>
        <v>187866.556</v>
      </c>
      <c r="V27" s="14">
        <f t="shared" si="5"/>
        <v>31935.0991125</v>
      </c>
      <c r="W27" s="14">
        <f t="shared" si="6"/>
        <v>219801.6551125</v>
      </c>
      <c r="X27" s="14">
        <v>1048</v>
      </c>
      <c r="Y27" s="32"/>
      <c r="Z27" s="32">
        <f t="shared" si="61"/>
        <v>69372.548</v>
      </c>
      <c r="AA27" s="14">
        <f t="shared" si="7"/>
        <v>11792.5150875</v>
      </c>
      <c r="AB27" s="14">
        <f t="shared" si="8"/>
        <v>81165.06308749999</v>
      </c>
      <c r="AC27" s="14">
        <v>387</v>
      </c>
      <c r="AD27" s="32"/>
      <c r="AE27" s="14">
        <f t="shared" si="62"/>
        <v>51826.156</v>
      </c>
      <c r="AF27" s="14">
        <f t="shared" si="9"/>
        <v>8809.8353625</v>
      </c>
      <c r="AG27" s="14">
        <f t="shared" si="10"/>
        <v>60635.991362500004</v>
      </c>
      <c r="AH27" s="14">
        <v>289</v>
      </c>
      <c r="AI27" s="32"/>
      <c r="AJ27" s="14">
        <f t="shared" si="63"/>
        <v>69003.03199999999</v>
      </c>
      <c r="AK27" s="14">
        <f t="shared" si="11"/>
        <v>11729.701724999999</v>
      </c>
      <c r="AL27" s="14">
        <f t="shared" si="12"/>
        <v>80732.733725</v>
      </c>
      <c r="AM27" s="14">
        <v>385</v>
      </c>
      <c r="AN27" s="14"/>
      <c r="AO27" s="14">
        <f t="shared" si="64"/>
        <v>504159.532</v>
      </c>
      <c r="AP27" s="14">
        <f t="shared" si="13"/>
        <v>85701.17516250002</v>
      </c>
      <c r="AQ27" s="14">
        <f t="shared" si="14"/>
        <v>589860.7071625</v>
      </c>
      <c r="AR27" s="14">
        <v>2811</v>
      </c>
      <c r="AS27" s="32"/>
      <c r="AT27" s="14">
        <f t="shared" si="65"/>
        <v>8.48</v>
      </c>
      <c r="AU27" s="14">
        <f t="shared" si="15"/>
        <v>1.4415</v>
      </c>
      <c r="AV27" s="14">
        <f t="shared" si="16"/>
        <v>9.9215</v>
      </c>
      <c r="AW27" s="14"/>
      <c r="AX27" s="32"/>
      <c r="AY27" s="14">
        <f t="shared" si="66"/>
        <v>5143.332</v>
      </c>
      <c r="AZ27" s="14">
        <f t="shared" si="17"/>
        <v>874.3057875</v>
      </c>
      <c r="BA27" s="14">
        <f t="shared" si="18"/>
        <v>6017.6377875</v>
      </c>
      <c r="BB27" s="14">
        <v>29</v>
      </c>
      <c r="BC27" s="32"/>
      <c r="BD27" s="14">
        <f t="shared" si="67"/>
        <v>2896.7680000000005</v>
      </c>
      <c r="BE27" s="14">
        <f t="shared" si="19"/>
        <v>492.41640000000007</v>
      </c>
      <c r="BF27" s="14">
        <f t="shared" si="20"/>
        <v>3389.1844000000006</v>
      </c>
      <c r="BG27" s="14">
        <v>16</v>
      </c>
      <c r="BH27" s="32"/>
      <c r="BI27" s="14">
        <f t="shared" si="68"/>
        <v>18629.5</v>
      </c>
      <c r="BJ27" s="14">
        <f t="shared" si="21"/>
        <v>3166.7953125</v>
      </c>
      <c r="BK27" s="14">
        <f t="shared" si="22"/>
        <v>21796.2953125</v>
      </c>
      <c r="BL27" s="14">
        <v>104</v>
      </c>
      <c r="BM27" s="32"/>
      <c r="BN27" s="14">
        <f t="shared" si="69"/>
        <v>12032.484000000002</v>
      </c>
      <c r="BO27" s="14">
        <f t="shared" si="23"/>
        <v>2045.3803875</v>
      </c>
      <c r="BP27" s="14">
        <f t="shared" si="24"/>
        <v>14077.864387500002</v>
      </c>
      <c r="BQ27" s="14">
        <v>67</v>
      </c>
      <c r="BR27" s="14"/>
      <c r="BS27" s="14">
        <f t="shared" si="70"/>
        <v>46324.968</v>
      </c>
      <c r="BT27" s="14">
        <f t="shared" si="25"/>
        <v>7874.698275</v>
      </c>
      <c r="BU27" s="14">
        <f t="shared" si="26"/>
        <v>54199.666275</v>
      </c>
      <c r="BV27" s="14">
        <v>258</v>
      </c>
      <c r="BW27" s="32"/>
      <c r="BX27" s="14">
        <f t="shared" si="71"/>
        <v>2950.192</v>
      </c>
      <c r="BY27" s="14">
        <f t="shared" si="27"/>
        <v>501.49785</v>
      </c>
      <c r="BZ27" s="14">
        <f t="shared" si="28"/>
        <v>3451.68985</v>
      </c>
      <c r="CA27" s="14">
        <v>16</v>
      </c>
      <c r="CB27" s="32"/>
      <c r="CC27" s="14">
        <f t="shared" si="72"/>
        <v>7984.98</v>
      </c>
      <c r="CD27" s="14">
        <f t="shared" si="29"/>
        <v>1357.3524375</v>
      </c>
      <c r="CE27" s="14">
        <f t="shared" si="30"/>
        <v>9342.3324375</v>
      </c>
      <c r="CF27" s="14">
        <v>45</v>
      </c>
      <c r="CG27" s="32"/>
      <c r="CH27" s="14">
        <f t="shared" si="73"/>
        <v>33628.924000000006</v>
      </c>
      <c r="CI27" s="14">
        <f t="shared" si="31"/>
        <v>5716.5205125</v>
      </c>
      <c r="CJ27" s="14">
        <f t="shared" si="32"/>
        <v>39345.444512500006</v>
      </c>
      <c r="CK27" s="14">
        <v>188</v>
      </c>
      <c r="CL27" s="32"/>
      <c r="CM27" s="14">
        <f t="shared" si="74"/>
        <v>1521.736</v>
      </c>
      <c r="CN27" s="14">
        <f t="shared" si="33"/>
        <v>258.677175</v>
      </c>
      <c r="CO27" s="14">
        <f t="shared" si="34"/>
        <v>1780.4131750000001</v>
      </c>
      <c r="CP27" s="14">
        <v>9</v>
      </c>
      <c r="CQ27" s="32"/>
      <c r="CR27" s="14">
        <f t="shared" si="75"/>
        <v>21503.372000000003</v>
      </c>
      <c r="CS27" s="14">
        <f t="shared" si="35"/>
        <v>3655.3196625</v>
      </c>
      <c r="CT27" s="14">
        <f t="shared" si="36"/>
        <v>25158.6916625</v>
      </c>
      <c r="CU27" s="14">
        <v>120</v>
      </c>
      <c r="CV27" s="32"/>
      <c r="CW27" s="14">
        <f t="shared" si="76"/>
        <v>10289.632000000001</v>
      </c>
      <c r="CX27" s="32">
        <f t="shared" si="37"/>
        <v>1749.1161000000002</v>
      </c>
      <c r="CY27" s="14">
        <f t="shared" si="38"/>
        <v>12038.7481</v>
      </c>
      <c r="CZ27" s="14">
        <v>57</v>
      </c>
      <c r="DA27" s="32"/>
      <c r="DB27" s="14">
        <f t="shared" si="77"/>
        <v>17087.836</v>
      </c>
      <c r="DC27" s="14">
        <f t="shared" si="39"/>
        <v>2904.7306125000005</v>
      </c>
      <c r="DD27" s="14">
        <f t="shared" si="40"/>
        <v>19992.5666125</v>
      </c>
      <c r="DE27" s="14">
        <v>95</v>
      </c>
      <c r="DF27" s="32"/>
      <c r="DG27" s="14">
        <f t="shared" si="78"/>
        <v>51974.556000000004</v>
      </c>
      <c r="DH27" s="14">
        <f t="shared" si="41"/>
        <v>8835.061612500002</v>
      </c>
      <c r="DI27" s="14">
        <f t="shared" si="42"/>
        <v>60809.617612500006</v>
      </c>
      <c r="DJ27" s="14">
        <v>290</v>
      </c>
      <c r="DK27" s="32"/>
      <c r="DL27" s="14">
        <f t="shared" si="79"/>
        <v>5393.916</v>
      </c>
      <c r="DM27" s="14">
        <f t="shared" si="43"/>
        <v>916.9021124999999</v>
      </c>
      <c r="DN27" s="14">
        <f t="shared" si="44"/>
        <v>6310.8181125</v>
      </c>
      <c r="DO27" s="14">
        <v>30</v>
      </c>
      <c r="DP27" s="32"/>
      <c r="DQ27" s="14">
        <f t="shared" si="80"/>
        <v>2725.472</v>
      </c>
      <c r="DR27" s="14">
        <f t="shared" si="45"/>
        <v>463.29810000000003</v>
      </c>
      <c r="DS27" s="14">
        <f t="shared" si="46"/>
        <v>3188.7701</v>
      </c>
      <c r="DT27" s="14">
        <v>15</v>
      </c>
      <c r="DU27" s="32"/>
      <c r="DV27" s="14">
        <f t="shared" si="81"/>
        <v>723.98</v>
      </c>
      <c r="DW27" s="14">
        <f t="shared" si="47"/>
        <v>123.0680625</v>
      </c>
      <c r="DX27" s="14">
        <f t="shared" si="48"/>
        <v>847.0480625</v>
      </c>
      <c r="DY27" s="14">
        <v>4</v>
      </c>
      <c r="DZ27" s="32"/>
      <c r="EA27" s="14">
        <f t="shared" si="82"/>
        <v>23663.228</v>
      </c>
      <c r="EB27" s="14">
        <f t="shared" si="49"/>
        <v>4022.4697125000002</v>
      </c>
      <c r="EC27" s="14">
        <f t="shared" si="50"/>
        <v>27685.697712499998</v>
      </c>
      <c r="ED27" s="14">
        <v>132</v>
      </c>
      <c r="EE27" s="32"/>
      <c r="EF27" s="14">
        <f t="shared" si="83"/>
        <v>96586.98800000001</v>
      </c>
      <c r="EG27" s="14">
        <f t="shared" si="51"/>
        <v>16418.648962500003</v>
      </c>
      <c r="EH27" s="14">
        <f t="shared" si="52"/>
        <v>113005.63696250002</v>
      </c>
      <c r="EI27" s="14">
        <v>539</v>
      </c>
      <c r="EJ27" s="32"/>
      <c r="EK27" s="14">
        <f t="shared" si="84"/>
        <v>1605.0520000000001</v>
      </c>
      <c r="EL27" s="14">
        <f t="shared" si="53"/>
        <v>272.83991249999997</v>
      </c>
      <c r="EM27" s="14">
        <f t="shared" si="54"/>
        <v>1877.8919125000002</v>
      </c>
      <c r="EN27" s="14">
        <v>9</v>
      </c>
      <c r="EO27" s="32"/>
      <c r="EP27" s="14">
        <f t="shared" si="85"/>
        <v>19439.552</v>
      </c>
      <c r="EQ27" s="14">
        <f t="shared" si="55"/>
        <v>3304.4946</v>
      </c>
      <c r="ER27" s="14">
        <f t="shared" si="56"/>
        <v>22744.0466</v>
      </c>
      <c r="ES27" s="14">
        <v>108</v>
      </c>
      <c r="ET27" s="32"/>
      <c r="EU27" s="14">
        <f t="shared" si="86"/>
        <v>8069.144</v>
      </c>
      <c r="EV27" s="14">
        <f t="shared" si="57"/>
        <v>1371.6593249999999</v>
      </c>
      <c r="EW27" s="14">
        <f t="shared" si="58"/>
        <v>9440.803325</v>
      </c>
      <c r="EX27" s="14">
        <v>45</v>
      </c>
      <c r="EY27" s="32"/>
    </row>
    <row r="28" spans="1:155" s="34" customFormat="1" ht="12.75">
      <c r="A28" s="33">
        <v>43739</v>
      </c>
      <c r="C28" s="21"/>
      <c r="D28" s="21">
        <v>313500</v>
      </c>
      <c r="E28" s="15">
        <f t="shared" si="0"/>
        <v>313500</v>
      </c>
      <c r="F28" s="32"/>
      <c r="G28" s="21"/>
      <c r="H28" s="21">
        <v>6125</v>
      </c>
      <c r="I28" s="15">
        <f t="shared" si="1"/>
        <v>6125</v>
      </c>
      <c r="J28" s="32"/>
      <c r="K28" s="21"/>
      <c r="L28" s="21">
        <v>307375</v>
      </c>
      <c r="M28" s="15">
        <f t="shared" si="2"/>
        <v>307375</v>
      </c>
      <c r="N28" s="15"/>
      <c r="O28" s="32"/>
      <c r="P28" s="14"/>
      <c r="Q28" s="14">
        <f t="shared" si="3"/>
        <v>24469.170887499997</v>
      </c>
      <c r="R28" s="32">
        <f t="shared" si="4"/>
        <v>24469.170887499997</v>
      </c>
      <c r="S28" s="32">
        <v>941</v>
      </c>
      <c r="T28" s="32"/>
      <c r="U28" s="14"/>
      <c r="V28" s="14">
        <f t="shared" si="5"/>
        <v>27238.435212499997</v>
      </c>
      <c r="W28" s="14">
        <f t="shared" si="6"/>
        <v>27238.435212499997</v>
      </c>
      <c r="X28" s="14">
        <v>1048</v>
      </c>
      <c r="Y28" s="32"/>
      <c r="Z28" s="32"/>
      <c r="AA28" s="14">
        <f t="shared" si="7"/>
        <v>10058.2013875</v>
      </c>
      <c r="AB28" s="14">
        <f t="shared" si="8"/>
        <v>10058.2013875</v>
      </c>
      <c r="AC28" s="14">
        <v>387</v>
      </c>
      <c r="AD28" s="32"/>
      <c r="AE28" s="14"/>
      <c r="AF28" s="14">
        <f t="shared" si="9"/>
        <v>7514.1814625</v>
      </c>
      <c r="AG28" s="14">
        <f t="shared" si="10"/>
        <v>7514.1814625</v>
      </c>
      <c r="AH28" s="14">
        <v>289</v>
      </c>
      <c r="AI28" s="32"/>
      <c r="AJ28" s="14"/>
      <c r="AK28" s="14">
        <f t="shared" si="11"/>
        <v>10004.625924999998</v>
      </c>
      <c r="AL28" s="14">
        <f t="shared" si="12"/>
        <v>10004.625924999998</v>
      </c>
      <c r="AM28" s="14">
        <v>385</v>
      </c>
      <c r="AN28" s="14"/>
      <c r="AO28" s="14"/>
      <c r="AP28" s="14">
        <f t="shared" si="13"/>
        <v>73097.1868625</v>
      </c>
      <c r="AQ28" s="14">
        <f t="shared" si="14"/>
        <v>73097.1868625</v>
      </c>
      <c r="AR28" s="14">
        <v>2811</v>
      </c>
      <c r="AS28" s="32"/>
      <c r="AT28" s="14"/>
      <c r="AU28" s="14">
        <f t="shared" si="15"/>
        <v>1.2295</v>
      </c>
      <c r="AV28" s="14">
        <f t="shared" si="16"/>
        <v>1.2295</v>
      </c>
      <c r="AW28" s="14"/>
      <c r="AX28" s="32"/>
      <c r="AY28" s="14"/>
      <c r="AZ28" s="14">
        <f t="shared" si="17"/>
        <v>745.7224874999999</v>
      </c>
      <c r="BA28" s="14">
        <f t="shared" si="18"/>
        <v>745.7224874999999</v>
      </c>
      <c r="BB28" s="14">
        <v>29</v>
      </c>
      <c r="BC28" s="32"/>
      <c r="BD28" s="14"/>
      <c r="BE28" s="14">
        <f t="shared" si="19"/>
        <v>419.9972</v>
      </c>
      <c r="BF28" s="14">
        <f t="shared" si="20"/>
        <v>419.9972</v>
      </c>
      <c r="BG28" s="14">
        <v>16</v>
      </c>
      <c r="BH28" s="32"/>
      <c r="BI28" s="14"/>
      <c r="BJ28" s="14">
        <f t="shared" si="21"/>
        <v>2701.0578125</v>
      </c>
      <c r="BK28" s="14">
        <f t="shared" si="22"/>
        <v>2701.0578125</v>
      </c>
      <c r="BL28" s="14">
        <v>104</v>
      </c>
      <c r="BM28" s="32"/>
      <c r="BN28" s="14"/>
      <c r="BO28" s="14">
        <f t="shared" si="23"/>
        <v>1744.5682875000002</v>
      </c>
      <c r="BP28" s="14">
        <f t="shared" si="24"/>
        <v>1744.5682875000002</v>
      </c>
      <c r="BQ28" s="14">
        <v>67</v>
      </c>
      <c r="BR28" s="14"/>
      <c r="BS28" s="14"/>
      <c r="BT28" s="14">
        <f t="shared" si="25"/>
        <v>6716.5740749999995</v>
      </c>
      <c r="BU28" s="14">
        <f t="shared" si="26"/>
        <v>6716.5740749999995</v>
      </c>
      <c r="BV28" s="14">
        <v>258</v>
      </c>
      <c r="BW28" s="32"/>
      <c r="BX28" s="14"/>
      <c r="BY28" s="14">
        <f t="shared" si="27"/>
        <v>427.74305</v>
      </c>
      <c r="BZ28" s="14">
        <f t="shared" si="28"/>
        <v>427.74305</v>
      </c>
      <c r="CA28" s="14">
        <v>16</v>
      </c>
      <c r="CB28" s="32"/>
      <c r="CC28" s="14"/>
      <c r="CD28" s="14">
        <f t="shared" si="29"/>
        <v>1157.7279375</v>
      </c>
      <c r="CE28" s="14">
        <f t="shared" si="30"/>
        <v>1157.7279375</v>
      </c>
      <c r="CF28" s="14">
        <v>45</v>
      </c>
      <c r="CG28" s="32"/>
      <c r="CH28" s="14"/>
      <c r="CI28" s="14">
        <f t="shared" si="31"/>
        <v>4875.7974125</v>
      </c>
      <c r="CJ28" s="14">
        <f t="shared" si="32"/>
        <v>4875.7974125</v>
      </c>
      <c r="CK28" s="14">
        <v>188</v>
      </c>
      <c r="CL28" s="32"/>
      <c r="CM28" s="14"/>
      <c r="CN28" s="14">
        <f t="shared" si="33"/>
        <v>220.63377499999999</v>
      </c>
      <c r="CO28" s="14">
        <f t="shared" si="34"/>
        <v>220.63377499999999</v>
      </c>
      <c r="CP28" s="14">
        <v>9</v>
      </c>
      <c r="CQ28" s="32"/>
      <c r="CR28" s="14"/>
      <c r="CS28" s="14">
        <f t="shared" si="35"/>
        <v>3117.7353625</v>
      </c>
      <c r="CT28" s="14">
        <f t="shared" si="36"/>
        <v>3117.7353625</v>
      </c>
      <c r="CU28" s="14">
        <v>120</v>
      </c>
      <c r="CV28" s="32"/>
      <c r="CW28" s="14"/>
      <c r="CX28" s="32">
        <f t="shared" si="37"/>
        <v>1491.8753</v>
      </c>
      <c r="CY28" s="14">
        <f t="shared" si="38"/>
        <v>1491.8753</v>
      </c>
      <c r="CZ28" s="14">
        <v>57</v>
      </c>
      <c r="DA28" s="32"/>
      <c r="DB28" s="14"/>
      <c r="DC28" s="14">
        <f t="shared" si="39"/>
        <v>2477.5347125</v>
      </c>
      <c r="DD28" s="14">
        <f t="shared" si="40"/>
        <v>2477.5347125</v>
      </c>
      <c r="DE28" s="14">
        <v>95</v>
      </c>
      <c r="DF28" s="32"/>
      <c r="DG28" s="14"/>
      <c r="DH28" s="14">
        <f t="shared" si="41"/>
        <v>7535.697712500001</v>
      </c>
      <c r="DI28" s="14">
        <f t="shared" si="42"/>
        <v>7535.697712500001</v>
      </c>
      <c r="DJ28" s="14">
        <v>290</v>
      </c>
      <c r="DK28" s="32"/>
      <c r="DL28" s="14"/>
      <c r="DM28" s="14">
        <f t="shared" si="43"/>
        <v>782.0542125</v>
      </c>
      <c r="DN28" s="14">
        <f t="shared" si="44"/>
        <v>782.0542125</v>
      </c>
      <c r="DO28" s="14">
        <v>30</v>
      </c>
      <c r="DP28" s="32"/>
      <c r="DQ28" s="14"/>
      <c r="DR28" s="14">
        <f t="shared" si="45"/>
        <v>395.16130000000004</v>
      </c>
      <c r="DS28" s="14">
        <f t="shared" si="46"/>
        <v>395.16130000000004</v>
      </c>
      <c r="DT28" s="14">
        <v>15</v>
      </c>
      <c r="DU28" s="32"/>
      <c r="DV28" s="14"/>
      <c r="DW28" s="14">
        <f t="shared" si="47"/>
        <v>104.9685625</v>
      </c>
      <c r="DX28" s="14">
        <f t="shared" si="48"/>
        <v>104.9685625</v>
      </c>
      <c r="DY28" s="14">
        <v>4</v>
      </c>
      <c r="DZ28" s="32"/>
      <c r="EA28" s="14"/>
      <c r="EB28" s="14">
        <f t="shared" si="49"/>
        <v>3430.8890125</v>
      </c>
      <c r="EC28" s="14">
        <f t="shared" si="50"/>
        <v>3430.8890125</v>
      </c>
      <c r="ED28" s="14">
        <v>132</v>
      </c>
      <c r="EE28" s="32"/>
      <c r="EF28" s="14"/>
      <c r="EG28" s="14">
        <f t="shared" si="51"/>
        <v>14003.9742625</v>
      </c>
      <c r="EH28" s="14">
        <f t="shared" si="52"/>
        <v>14003.9742625</v>
      </c>
      <c r="EI28" s="14">
        <v>539</v>
      </c>
      <c r="EJ28" s="32"/>
      <c r="EK28" s="14"/>
      <c r="EL28" s="14">
        <f t="shared" si="53"/>
        <v>232.71361249999998</v>
      </c>
      <c r="EM28" s="14">
        <f t="shared" si="54"/>
        <v>232.71361249999998</v>
      </c>
      <c r="EN28" s="14">
        <v>9</v>
      </c>
      <c r="EO28" s="32"/>
      <c r="EP28" s="14"/>
      <c r="EQ28" s="14">
        <f t="shared" si="55"/>
        <v>2818.5058000000004</v>
      </c>
      <c r="ER28" s="14">
        <f t="shared" si="56"/>
        <v>2818.5058000000004</v>
      </c>
      <c r="ES28" s="14">
        <v>108</v>
      </c>
      <c r="ET28" s="32"/>
      <c r="EU28" s="14"/>
      <c r="EV28" s="14">
        <f t="shared" si="57"/>
        <v>1169.9307250000002</v>
      </c>
      <c r="EW28" s="14">
        <f t="shared" si="58"/>
        <v>1169.9307250000002</v>
      </c>
      <c r="EX28" s="14">
        <v>45</v>
      </c>
      <c r="EY28" s="32"/>
    </row>
    <row r="29" spans="1:155" s="34" customFormat="1" ht="12.75">
      <c r="A29" s="33">
        <v>43922</v>
      </c>
      <c r="C29" s="21">
        <v>2290000</v>
      </c>
      <c r="D29" s="21">
        <v>313500</v>
      </c>
      <c r="E29" s="15">
        <f t="shared" si="0"/>
        <v>2603500</v>
      </c>
      <c r="F29" s="32"/>
      <c r="G29" s="21">
        <v>65000</v>
      </c>
      <c r="H29" s="21">
        <v>6125</v>
      </c>
      <c r="I29" s="15">
        <f t="shared" si="1"/>
        <v>71125</v>
      </c>
      <c r="J29" s="32"/>
      <c r="K29" s="21">
        <v>2225000</v>
      </c>
      <c r="L29" s="21">
        <v>307375</v>
      </c>
      <c r="M29" s="15">
        <f t="shared" si="2"/>
        <v>2532375</v>
      </c>
      <c r="N29" s="15"/>
      <c r="O29" s="32"/>
      <c r="P29" s="14">
        <f t="shared" si="59"/>
        <v>177125.3525</v>
      </c>
      <c r="Q29" s="14">
        <f t="shared" si="3"/>
        <v>24469.170887499997</v>
      </c>
      <c r="R29" s="32">
        <f t="shared" si="4"/>
        <v>201594.5233875</v>
      </c>
      <c r="S29" s="32">
        <v>941</v>
      </c>
      <c r="T29" s="32"/>
      <c r="U29" s="14">
        <f t="shared" si="60"/>
        <v>197171.2675</v>
      </c>
      <c r="V29" s="14">
        <f t="shared" si="5"/>
        <v>27238.435212499997</v>
      </c>
      <c r="W29" s="14">
        <f t="shared" si="6"/>
        <v>224409.70271249997</v>
      </c>
      <c r="X29" s="14">
        <v>1048</v>
      </c>
      <c r="Y29" s="32"/>
      <c r="Z29" s="32">
        <f t="shared" si="61"/>
        <v>72808.4525</v>
      </c>
      <c r="AA29" s="14">
        <f t="shared" si="7"/>
        <v>10058.2013875</v>
      </c>
      <c r="AB29" s="14">
        <f t="shared" si="8"/>
        <v>82866.6538875</v>
      </c>
      <c r="AC29" s="14">
        <v>387</v>
      </c>
      <c r="AD29" s="32"/>
      <c r="AE29" s="14">
        <f t="shared" si="62"/>
        <v>54393.0175</v>
      </c>
      <c r="AF29" s="14">
        <f t="shared" si="9"/>
        <v>7514.1814625</v>
      </c>
      <c r="AG29" s="14">
        <f t="shared" si="10"/>
        <v>61907.1989625</v>
      </c>
      <c r="AH29" s="14">
        <v>289</v>
      </c>
      <c r="AI29" s="32"/>
      <c r="AJ29" s="14">
        <f t="shared" si="63"/>
        <v>72420.635</v>
      </c>
      <c r="AK29" s="14">
        <f t="shared" si="11"/>
        <v>10004.625924999998</v>
      </c>
      <c r="AL29" s="14">
        <f t="shared" si="12"/>
        <v>82425.260925</v>
      </c>
      <c r="AM29" s="14">
        <v>385</v>
      </c>
      <c r="AN29" s="14"/>
      <c r="AO29" s="14">
        <f t="shared" si="64"/>
        <v>529129.6975000001</v>
      </c>
      <c r="AP29" s="14">
        <f t="shared" si="13"/>
        <v>73097.1868625</v>
      </c>
      <c r="AQ29" s="14">
        <f t="shared" si="14"/>
        <v>602226.8843625002</v>
      </c>
      <c r="AR29" s="14">
        <v>2811</v>
      </c>
      <c r="AS29" s="32"/>
      <c r="AT29" s="14">
        <f t="shared" si="65"/>
        <v>8.9</v>
      </c>
      <c r="AU29" s="14">
        <f t="shared" si="15"/>
        <v>1.2295</v>
      </c>
      <c r="AV29" s="14">
        <f t="shared" si="16"/>
        <v>10.1295</v>
      </c>
      <c r="AW29" s="14"/>
      <c r="AX29" s="32"/>
      <c r="AY29" s="14">
        <f t="shared" si="66"/>
        <v>5398.0725</v>
      </c>
      <c r="AZ29" s="14">
        <f t="shared" si="17"/>
        <v>745.7224874999999</v>
      </c>
      <c r="BA29" s="14">
        <f t="shared" si="18"/>
        <v>6143.7949875</v>
      </c>
      <c r="BB29" s="14">
        <v>29</v>
      </c>
      <c r="BC29" s="32"/>
      <c r="BD29" s="14">
        <f t="shared" si="67"/>
        <v>3040.24</v>
      </c>
      <c r="BE29" s="14">
        <f t="shared" si="19"/>
        <v>419.9972</v>
      </c>
      <c r="BF29" s="14">
        <f t="shared" si="20"/>
        <v>3460.2371999999996</v>
      </c>
      <c r="BG29" s="14">
        <v>16</v>
      </c>
      <c r="BH29" s="32"/>
      <c r="BI29" s="14">
        <f t="shared" si="68"/>
        <v>19552.1875</v>
      </c>
      <c r="BJ29" s="14">
        <f t="shared" si="21"/>
        <v>2701.0578125</v>
      </c>
      <c r="BK29" s="14">
        <f t="shared" si="22"/>
        <v>22253.2453125</v>
      </c>
      <c r="BL29" s="14">
        <v>104</v>
      </c>
      <c r="BM29" s="32"/>
      <c r="BN29" s="14">
        <f t="shared" si="69"/>
        <v>12628.4325</v>
      </c>
      <c r="BO29" s="14">
        <f t="shared" si="23"/>
        <v>1744.5682875000002</v>
      </c>
      <c r="BP29" s="14">
        <f t="shared" si="24"/>
        <v>14373.000787500001</v>
      </c>
      <c r="BQ29" s="14">
        <v>67</v>
      </c>
      <c r="BR29" s="14"/>
      <c r="BS29" s="14">
        <f t="shared" si="70"/>
        <v>48619.365</v>
      </c>
      <c r="BT29" s="14">
        <f t="shared" si="25"/>
        <v>6716.5740749999995</v>
      </c>
      <c r="BU29" s="14">
        <f t="shared" si="26"/>
        <v>55335.939074999995</v>
      </c>
      <c r="BV29" s="14">
        <v>258</v>
      </c>
      <c r="BW29" s="32"/>
      <c r="BX29" s="14">
        <f t="shared" si="71"/>
        <v>3096.31</v>
      </c>
      <c r="BY29" s="14">
        <f t="shared" si="27"/>
        <v>427.74305</v>
      </c>
      <c r="BZ29" s="14">
        <f t="shared" si="28"/>
        <v>3524.05305</v>
      </c>
      <c r="CA29" s="14">
        <v>16</v>
      </c>
      <c r="CB29" s="32"/>
      <c r="CC29" s="14">
        <f t="shared" si="72"/>
        <v>8380.4625</v>
      </c>
      <c r="CD29" s="14">
        <f t="shared" si="29"/>
        <v>1157.7279375</v>
      </c>
      <c r="CE29" s="14">
        <f t="shared" si="30"/>
        <v>9538.1904375</v>
      </c>
      <c r="CF29" s="14">
        <v>45</v>
      </c>
      <c r="CG29" s="32"/>
      <c r="CH29" s="14">
        <f t="shared" si="73"/>
        <v>35294.5075</v>
      </c>
      <c r="CI29" s="14">
        <f t="shared" si="31"/>
        <v>4875.7974125</v>
      </c>
      <c r="CJ29" s="14">
        <f t="shared" si="32"/>
        <v>40170.304912499996</v>
      </c>
      <c r="CK29" s="14">
        <v>188</v>
      </c>
      <c r="CL29" s="32"/>
      <c r="CM29" s="14">
        <f t="shared" si="74"/>
        <v>1597.105</v>
      </c>
      <c r="CN29" s="14">
        <f t="shared" si="33"/>
        <v>220.63377499999999</v>
      </c>
      <c r="CO29" s="14">
        <f t="shared" si="34"/>
        <v>1817.738775</v>
      </c>
      <c r="CP29" s="14">
        <v>9</v>
      </c>
      <c r="CQ29" s="32"/>
      <c r="CR29" s="14">
        <f t="shared" si="75"/>
        <v>22568.3975</v>
      </c>
      <c r="CS29" s="14">
        <f t="shared" si="35"/>
        <v>3117.7353625</v>
      </c>
      <c r="CT29" s="14">
        <f t="shared" si="36"/>
        <v>25686.1328625</v>
      </c>
      <c r="CU29" s="14">
        <v>120</v>
      </c>
      <c r="CV29" s="32"/>
      <c r="CW29" s="14">
        <f t="shared" si="76"/>
        <v>10799.26</v>
      </c>
      <c r="CX29" s="32">
        <f t="shared" si="37"/>
        <v>1491.8753</v>
      </c>
      <c r="CY29" s="14">
        <f t="shared" si="38"/>
        <v>12291.1353</v>
      </c>
      <c r="CZ29" s="14">
        <v>57</v>
      </c>
      <c r="DA29" s="32"/>
      <c r="DB29" s="14">
        <f t="shared" si="77"/>
        <v>17934.1675</v>
      </c>
      <c r="DC29" s="14">
        <f t="shared" si="39"/>
        <v>2477.5347125</v>
      </c>
      <c r="DD29" s="14">
        <f t="shared" si="40"/>
        <v>20411.7022125</v>
      </c>
      <c r="DE29" s="14">
        <v>95</v>
      </c>
      <c r="DF29" s="32"/>
      <c r="DG29" s="14">
        <f t="shared" si="78"/>
        <v>54548.7675</v>
      </c>
      <c r="DH29" s="14">
        <f t="shared" si="41"/>
        <v>7535.697712500001</v>
      </c>
      <c r="DI29" s="14">
        <f t="shared" si="42"/>
        <v>62084.4652125</v>
      </c>
      <c r="DJ29" s="14">
        <v>290</v>
      </c>
      <c r="DK29" s="32"/>
      <c r="DL29" s="14">
        <f t="shared" si="79"/>
        <v>5661.0675</v>
      </c>
      <c r="DM29" s="14">
        <f t="shared" si="43"/>
        <v>782.0542125</v>
      </c>
      <c r="DN29" s="14">
        <f t="shared" si="44"/>
        <v>6443.1217125</v>
      </c>
      <c r="DO29" s="14">
        <v>30</v>
      </c>
      <c r="DP29" s="32"/>
      <c r="DQ29" s="14">
        <f t="shared" si="80"/>
        <v>2860.46</v>
      </c>
      <c r="DR29" s="14">
        <f t="shared" si="45"/>
        <v>395.16130000000004</v>
      </c>
      <c r="DS29" s="14">
        <f t="shared" si="46"/>
        <v>3255.6213000000002</v>
      </c>
      <c r="DT29" s="14">
        <v>15</v>
      </c>
      <c r="DU29" s="32"/>
      <c r="DV29" s="14">
        <f t="shared" si="81"/>
        <v>759.8375</v>
      </c>
      <c r="DW29" s="14">
        <f t="shared" si="47"/>
        <v>104.9685625</v>
      </c>
      <c r="DX29" s="14">
        <f t="shared" si="48"/>
        <v>864.8060624999999</v>
      </c>
      <c r="DY29" s="14">
        <v>4</v>
      </c>
      <c r="DZ29" s="32"/>
      <c r="EA29" s="14">
        <f t="shared" si="82"/>
        <v>24835.2275</v>
      </c>
      <c r="EB29" s="14">
        <f t="shared" si="49"/>
        <v>3430.8890125</v>
      </c>
      <c r="EC29" s="14">
        <f t="shared" si="50"/>
        <v>28266.1165125</v>
      </c>
      <c r="ED29" s="14">
        <v>132</v>
      </c>
      <c r="EE29" s="32"/>
      <c r="EF29" s="14">
        <f t="shared" si="83"/>
        <v>101370.77750000003</v>
      </c>
      <c r="EG29" s="14">
        <f t="shared" si="51"/>
        <v>14003.9742625</v>
      </c>
      <c r="EH29" s="14">
        <f t="shared" si="52"/>
        <v>115374.75176250003</v>
      </c>
      <c r="EI29" s="14">
        <v>539</v>
      </c>
      <c r="EJ29" s="32"/>
      <c r="EK29" s="14">
        <f t="shared" si="84"/>
        <v>1684.5475</v>
      </c>
      <c r="EL29" s="14">
        <f t="shared" si="53"/>
        <v>232.71361249999998</v>
      </c>
      <c r="EM29" s="14">
        <f t="shared" si="54"/>
        <v>1917.2611124999999</v>
      </c>
      <c r="EN29" s="14">
        <v>9</v>
      </c>
      <c r="EO29" s="32"/>
      <c r="EP29" s="14">
        <f t="shared" si="85"/>
        <v>20402.36</v>
      </c>
      <c r="EQ29" s="14">
        <f t="shared" si="55"/>
        <v>2818.5058000000004</v>
      </c>
      <c r="ER29" s="14">
        <f t="shared" si="56"/>
        <v>23220.8658</v>
      </c>
      <c r="ES29" s="14">
        <v>108</v>
      </c>
      <c r="ET29" s="32"/>
      <c r="EU29" s="14">
        <f t="shared" si="86"/>
        <v>8468.795</v>
      </c>
      <c r="EV29" s="14">
        <f t="shared" si="57"/>
        <v>1169.9307250000002</v>
      </c>
      <c r="EW29" s="14">
        <f t="shared" si="58"/>
        <v>9638.725725</v>
      </c>
      <c r="EX29" s="14">
        <v>45</v>
      </c>
      <c r="EY29" s="32"/>
    </row>
    <row r="30" spans="1:155" s="34" customFormat="1" ht="12.75">
      <c r="A30" s="33">
        <v>44105</v>
      </c>
      <c r="C30" s="21"/>
      <c r="D30" s="21">
        <v>256250</v>
      </c>
      <c r="E30" s="15">
        <f t="shared" si="0"/>
        <v>256250</v>
      </c>
      <c r="F30" s="32"/>
      <c r="G30" s="21"/>
      <c r="H30" s="21">
        <v>4500</v>
      </c>
      <c r="I30" s="15">
        <f t="shared" si="1"/>
        <v>4500</v>
      </c>
      <c r="J30" s="32"/>
      <c r="K30" s="21"/>
      <c r="L30" s="21">
        <v>251750</v>
      </c>
      <c r="M30" s="15">
        <f t="shared" si="2"/>
        <v>251750</v>
      </c>
      <c r="N30" s="15"/>
      <c r="O30" s="32"/>
      <c r="P30" s="14"/>
      <c r="Q30" s="14">
        <f t="shared" si="3"/>
        <v>20041.037074999997</v>
      </c>
      <c r="R30" s="32">
        <f t="shared" si="4"/>
        <v>20041.037074999997</v>
      </c>
      <c r="S30" s="32">
        <v>941</v>
      </c>
      <c r="T30" s="32"/>
      <c r="U30" s="14"/>
      <c r="V30" s="14">
        <f t="shared" si="5"/>
        <v>22309.153525</v>
      </c>
      <c r="W30" s="14">
        <f t="shared" si="6"/>
        <v>22309.153525</v>
      </c>
      <c r="X30" s="14">
        <v>1048</v>
      </c>
      <c r="Y30" s="32"/>
      <c r="Z30" s="32"/>
      <c r="AA30" s="14">
        <f t="shared" si="7"/>
        <v>8237.990075</v>
      </c>
      <c r="AB30" s="14">
        <f t="shared" si="8"/>
        <v>8237.990075</v>
      </c>
      <c r="AC30" s="14">
        <v>387</v>
      </c>
      <c r="AD30" s="32"/>
      <c r="AE30" s="14"/>
      <c r="AF30" s="14">
        <f t="shared" si="9"/>
        <v>6154.356025</v>
      </c>
      <c r="AG30" s="14">
        <f t="shared" si="10"/>
        <v>6154.356025</v>
      </c>
      <c r="AH30" s="14">
        <v>289</v>
      </c>
      <c r="AI30" s="32"/>
      <c r="AJ30" s="14"/>
      <c r="AK30" s="14">
        <f t="shared" si="11"/>
        <v>8194.11005</v>
      </c>
      <c r="AL30" s="14">
        <f t="shared" si="12"/>
        <v>8194.11005</v>
      </c>
      <c r="AM30" s="14">
        <v>385</v>
      </c>
      <c r="AN30" s="14"/>
      <c r="AO30" s="14"/>
      <c r="AP30" s="14">
        <f t="shared" si="13"/>
        <v>59868.94442500001</v>
      </c>
      <c r="AQ30" s="14">
        <f t="shared" si="14"/>
        <v>59868.94442500001</v>
      </c>
      <c r="AR30" s="14">
        <v>2811</v>
      </c>
      <c r="AS30" s="32"/>
      <c r="AT30" s="14"/>
      <c r="AU30" s="14">
        <f t="shared" si="15"/>
        <v>1.0070000000000001</v>
      </c>
      <c r="AV30" s="14">
        <f t="shared" si="16"/>
        <v>1.0070000000000001</v>
      </c>
      <c r="AW30" s="14"/>
      <c r="AX30" s="32"/>
      <c r="AY30" s="14"/>
      <c r="AZ30" s="14">
        <f t="shared" si="17"/>
        <v>610.770675</v>
      </c>
      <c r="BA30" s="14">
        <f t="shared" si="18"/>
        <v>610.770675</v>
      </c>
      <c r="BB30" s="14">
        <v>29</v>
      </c>
      <c r="BC30" s="32"/>
      <c r="BD30" s="14"/>
      <c r="BE30" s="14">
        <f t="shared" si="19"/>
        <v>343.99120000000005</v>
      </c>
      <c r="BF30" s="14">
        <f t="shared" si="20"/>
        <v>343.99120000000005</v>
      </c>
      <c r="BG30" s="14">
        <v>16</v>
      </c>
      <c r="BH30" s="32"/>
      <c r="BI30" s="14"/>
      <c r="BJ30" s="14">
        <f t="shared" si="21"/>
        <v>2212.253125</v>
      </c>
      <c r="BK30" s="14">
        <f t="shared" si="22"/>
        <v>2212.253125</v>
      </c>
      <c r="BL30" s="14">
        <v>104</v>
      </c>
      <c r="BM30" s="32"/>
      <c r="BN30" s="14"/>
      <c r="BO30" s="14">
        <f t="shared" si="23"/>
        <v>1428.857475</v>
      </c>
      <c r="BP30" s="14">
        <f t="shared" si="24"/>
        <v>1428.857475</v>
      </c>
      <c r="BQ30" s="14">
        <v>67</v>
      </c>
      <c r="BR30" s="14"/>
      <c r="BS30" s="14"/>
      <c r="BT30" s="14">
        <f t="shared" si="25"/>
        <v>5501.08995</v>
      </c>
      <c r="BU30" s="14">
        <f t="shared" si="26"/>
        <v>5501.08995</v>
      </c>
      <c r="BV30" s="14">
        <v>258</v>
      </c>
      <c r="BW30" s="32"/>
      <c r="BX30" s="14"/>
      <c r="BY30" s="14">
        <f t="shared" si="27"/>
        <v>350.33529999999996</v>
      </c>
      <c r="BZ30" s="14">
        <f t="shared" si="28"/>
        <v>350.33529999999996</v>
      </c>
      <c r="CA30" s="14">
        <v>16</v>
      </c>
      <c r="CB30" s="32"/>
      <c r="CC30" s="14"/>
      <c r="CD30" s="14">
        <f t="shared" si="29"/>
        <v>948.216375</v>
      </c>
      <c r="CE30" s="14">
        <f t="shared" si="30"/>
        <v>948.216375</v>
      </c>
      <c r="CF30" s="14">
        <v>45</v>
      </c>
      <c r="CG30" s="32"/>
      <c r="CH30" s="14"/>
      <c r="CI30" s="14">
        <f t="shared" si="31"/>
        <v>3993.4347250000005</v>
      </c>
      <c r="CJ30" s="14">
        <f t="shared" si="32"/>
        <v>3993.4347250000005</v>
      </c>
      <c r="CK30" s="14">
        <v>188</v>
      </c>
      <c r="CL30" s="32"/>
      <c r="CM30" s="14"/>
      <c r="CN30" s="14">
        <f t="shared" si="33"/>
        <v>180.70614999999998</v>
      </c>
      <c r="CO30" s="14">
        <f t="shared" si="34"/>
        <v>180.70614999999998</v>
      </c>
      <c r="CP30" s="14">
        <v>9</v>
      </c>
      <c r="CQ30" s="32"/>
      <c r="CR30" s="14"/>
      <c r="CS30" s="14">
        <f t="shared" si="35"/>
        <v>2553.5254250000003</v>
      </c>
      <c r="CT30" s="14">
        <f t="shared" si="36"/>
        <v>2553.5254250000003</v>
      </c>
      <c r="CU30" s="14">
        <v>120</v>
      </c>
      <c r="CV30" s="32"/>
      <c r="CW30" s="14"/>
      <c r="CX30" s="32">
        <f t="shared" si="37"/>
        <v>1221.8938</v>
      </c>
      <c r="CY30" s="14">
        <f t="shared" si="38"/>
        <v>1221.8938</v>
      </c>
      <c r="CZ30" s="14">
        <v>57</v>
      </c>
      <c r="DA30" s="32"/>
      <c r="DB30" s="14"/>
      <c r="DC30" s="14">
        <f t="shared" si="39"/>
        <v>2029.1805250000002</v>
      </c>
      <c r="DD30" s="14">
        <f t="shared" si="40"/>
        <v>2029.1805250000002</v>
      </c>
      <c r="DE30" s="14">
        <v>95</v>
      </c>
      <c r="DF30" s="32"/>
      <c r="DG30" s="14"/>
      <c r="DH30" s="14">
        <f t="shared" si="41"/>
        <v>6171.978525</v>
      </c>
      <c r="DI30" s="14">
        <f t="shared" si="42"/>
        <v>6171.978525</v>
      </c>
      <c r="DJ30" s="14">
        <v>290</v>
      </c>
      <c r="DK30" s="32"/>
      <c r="DL30" s="14"/>
      <c r="DM30" s="14">
        <f t="shared" si="43"/>
        <v>640.527525</v>
      </c>
      <c r="DN30" s="14">
        <f t="shared" si="44"/>
        <v>640.527525</v>
      </c>
      <c r="DO30" s="14">
        <v>30</v>
      </c>
      <c r="DP30" s="32"/>
      <c r="DQ30" s="14"/>
      <c r="DR30" s="14">
        <f t="shared" si="45"/>
        <v>323.6498</v>
      </c>
      <c r="DS30" s="14">
        <f t="shared" si="46"/>
        <v>323.6498</v>
      </c>
      <c r="DT30" s="14">
        <v>15</v>
      </c>
      <c r="DU30" s="32"/>
      <c r="DV30" s="14"/>
      <c r="DW30" s="14">
        <f t="shared" si="47"/>
        <v>85.97262500000001</v>
      </c>
      <c r="DX30" s="14">
        <f t="shared" si="48"/>
        <v>85.97262500000001</v>
      </c>
      <c r="DY30" s="14">
        <v>4</v>
      </c>
      <c r="DZ30" s="32"/>
      <c r="EA30" s="14"/>
      <c r="EB30" s="14">
        <f t="shared" si="49"/>
        <v>2810.0083250000002</v>
      </c>
      <c r="EC30" s="14">
        <f t="shared" si="50"/>
        <v>2810.0083250000002</v>
      </c>
      <c r="ED30" s="14">
        <v>132</v>
      </c>
      <c r="EE30" s="32"/>
      <c r="EF30" s="14"/>
      <c r="EG30" s="14">
        <f t="shared" si="51"/>
        <v>11469.704825</v>
      </c>
      <c r="EH30" s="14">
        <f t="shared" si="52"/>
        <v>11469.704825</v>
      </c>
      <c r="EI30" s="14">
        <v>539</v>
      </c>
      <c r="EJ30" s="32"/>
      <c r="EK30" s="14"/>
      <c r="EL30" s="14">
        <f t="shared" si="53"/>
        <v>190.599925</v>
      </c>
      <c r="EM30" s="14">
        <f t="shared" si="54"/>
        <v>190.599925</v>
      </c>
      <c r="EN30" s="14">
        <v>9</v>
      </c>
      <c r="EO30" s="32"/>
      <c r="EP30" s="14"/>
      <c r="EQ30" s="14">
        <f t="shared" si="55"/>
        <v>2308.4467999999997</v>
      </c>
      <c r="ER30" s="14">
        <f t="shared" si="56"/>
        <v>2308.4467999999997</v>
      </c>
      <c r="ES30" s="14">
        <v>108</v>
      </c>
      <c r="ET30" s="32"/>
      <c r="EU30" s="14"/>
      <c r="EV30" s="14">
        <f t="shared" si="57"/>
        <v>958.21085</v>
      </c>
      <c r="EW30" s="14">
        <f t="shared" si="58"/>
        <v>958.21085</v>
      </c>
      <c r="EX30" s="14">
        <v>45</v>
      </c>
      <c r="EY30" s="32"/>
    </row>
    <row r="31" spans="1:155" s="34" customFormat="1" ht="12.75">
      <c r="A31" s="33">
        <v>44287</v>
      </c>
      <c r="C31" s="21">
        <v>2395000</v>
      </c>
      <c r="D31" s="21">
        <v>256250</v>
      </c>
      <c r="E31" s="15">
        <f t="shared" si="0"/>
        <v>2651250</v>
      </c>
      <c r="F31" s="32"/>
      <c r="G31" s="21">
        <v>60000</v>
      </c>
      <c r="H31" s="21">
        <v>4500</v>
      </c>
      <c r="I31" s="15">
        <f t="shared" si="1"/>
        <v>64500</v>
      </c>
      <c r="J31" s="32"/>
      <c r="K31" s="21">
        <v>2335000</v>
      </c>
      <c r="L31" s="21">
        <v>251750</v>
      </c>
      <c r="M31" s="15">
        <f t="shared" si="2"/>
        <v>2586750</v>
      </c>
      <c r="N31" s="15"/>
      <c r="O31" s="32"/>
      <c r="P31" s="14">
        <f t="shared" si="59"/>
        <v>185882.1115</v>
      </c>
      <c r="Q31" s="14">
        <f t="shared" si="3"/>
        <v>20041.037074999997</v>
      </c>
      <c r="R31" s="32">
        <f t="shared" si="4"/>
        <v>205923.148575</v>
      </c>
      <c r="S31" s="32">
        <v>941</v>
      </c>
      <c r="T31" s="32"/>
      <c r="U31" s="14">
        <f t="shared" si="60"/>
        <v>206919.06050000002</v>
      </c>
      <c r="V31" s="14">
        <f t="shared" si="5"/>
        <v>22309.153525</v>
      </c>
      <c r="W31" s="14">
        <f t="shared" si="6"/>
        <v>229228.21402500002</v>
      </c>
      <c r="X31" s="14">
        <v>1048</v>
      </c>
      <c r="Y31" s="32"/>
      <c r="Z31" s="32">
        <f t="shared" si="61"/>
        <v>76407.9715</v>
      </c>
      <c r="AA31" s="14">
        <f t="shared" si="7"/>
        <v>8237.990075</v>
      </c>
      <c r="AB31" s="14">
        <f t="shared" si="8"/>
        <v>84645.961575</v>
      </c>
      <c r="AC31" s="14">
        <v>387</v>
      </c>
      <c r="AD31" s="32"/>
      <c r="AE31" s="14">
        <f t="shared" si="62"/>
        <v>57082.110499999995</v>
      </c>
      <c r="AF31" s="14">
        <f t="shared" si="9"/>
        <v>6154.356025</v>
      </c>
      <c r="AG31" s="14">
        <f t="shared" si="10"/>
        <v>63236.466524999996</v>
      </c>
      <c r="AH31" s="14">
        <v>289</v>
      </c>
      <c r="AI31" s="32"/>
      <c r="AJ31" s="14">
        <f t="shared" si="63"/>
        <v>76000.981</v>
      </c>
      <c r="AK31" s="14">
        <f t="shared" si="11"/>
        <v>8194.11005</v>
      </c>
      <c r="AL31" s="14">
        <f t="shared" si="12"/>
        <v>84195.09105</v>
      </c>
      <c r="AM31" s="14">
        <v>385</v>
      </c>
      <c r="AN31" s="14"/>
      <c r="AO31" s="14">
        <f t="shared" si="64"/>
        <v>555288.9185</v>
      </c>
      <c r="AP31" s="14">
        <f t="shared" si="13"/>
        <v>59868.94442500001</v>
      </c>
      <c r="AQ31" s="14">
        <f t="shared" si="14"/>
        <v>615157.862925</v>
      </c>
      <c r="AR31" s="14">
        <v>2811</v>
      </c>
      <c r="AS31" s="32"/>
      <c r="AT31" s="14">
        <f t="shared" si="65"/>
        <v>9.34</v>
      </c>
      <c r="AU31" s="14">
        <f t="shared" si="15"/>
        <v>1.0070000000000001</v>
      </c>
      <c r="AV31" s="14">
        <f t="shared" si="16"/>
        <v>10.347</v>
      </c>
      <c r="AW31" s="14"/>
      <c r="AX31" s="32"/>
      <c r="AY31" s="14">
        <f t="shared" si="66"/>
        <v>5664.943499999999</v>
      </c>
      <c r="AZ31" s="14">
        <f t="shared" si="17"/>
        <v>610.770675</v>
      </c>
      <c r="BA31" s="14">
        <f t="shared" si="18"/>
        <v>6275.714174999999</v>
      </c>
      <c r="BB31" s="14">
        <v>29</v>
      </c>
      <c r="BC31" s="32"/>
      <c r="BD31" s="14">
        <f t="shared" si="67"/>
        <v>3190.5440000000003</v>
      </c>
      <c r="BE31" s="14">
        <f t="shared" si="19"/>
        <v>343.99120000000005</v>
      </c>
      <c r="BF31" s="14">
        <f t="shared" si="20"/>
        <v>3534.5352000000003</v>
      </c>
      <c r="BG31" s="14">
        <v>16</v>
      </c>
      <c r="BH31" s="32"/>
      <c r="BI31" s="14">
        <f t="shared" si="68"/>
        <v>20518.8125</v>
      </c>
      <c r="BJ31" s="14">
        <f t="shared" si="21"/>
        <v>2212.253125</v>
      </c>
      <c r="BK31" s="14">
        <f t="shared" si="22"/>
        <v>22731.065625</v>
      </c>
      <c r="BL31" s="14">
        <v>104</v>
      </c>
      <c r="BM31" s="32"/>
      <c r="BN31" s="14">
        <f t="shared" si="69"/>
        <v>13252.7595</v>
      </c>
      <c r="BO31" s="14">
        <f t="shared" si="23"/>
        <v>1428.857475</v>
      </c>
      <c r="BP31" s="14">
        <f t="shared" si="24"/>
        <v>14681.616975</v>
      </c>
      <c r="BQ31" s="14">
        <v>67</v>
      </c>
      <c r="BR31" s="14"/>
      <c r="BS31" s="14">
        <f t="shared" si="70"/>
        <v>51023.019</v>
      </c>
      <c r="BT31" s="14">
        <f t="shared" si="25"/>
        <v>5501.08995</v>
      </c>
      <c r="BU31" s="14">
        <f t="shared" si="26"/>
        <v>56524.10895</v>
      </c>
      <c r="BV31" s="14">
        <v>258</v>
      </c>
      <c r="BW31" s="32"/>
      <c r="BX31" s="14">
        <f t="shared" si="71"/>
        <v>3249.3860000000004</v>
      </c>
      <c r="BY31" s="14">
        <f t="shared" si="27"/>
        <v>350.33529999999996</v>
      </c>
      <c r="BZ31" s="14">
        <f t="shared" si="28"/>
        <v>3599.7213</v>
      </c>
      <c r="CA31" s="14">
        <v>16</v>
      </c>
      <c r="CB31" s="32"/>
      <c r="CC31" s="14">
        <f t="shared" si="72"/>
        <v>8794.7775</v>
      </c>
      <c r="CD31" s="14">
        <f t="shared" si="29"/>
        <v>948.216375</v>
      </c>
      <c r="CE31" s="14">
        <f t="shared" si="30"/>
        <v>9742.993875</v>
      </c>
      <c r="CF31" s="14">
        <v>45</v>
      </c>
      <c r="CG31" s="32"/>
      <c r="CH31" s="14">
        <f t="shared" si="73"/>
        <v>37039.404500000004</v>
      </c>
      <c r="CI31" s="14">
        <f t="shared" si="31"/>
        <v>3993.4347250000005</v>
      </c>
      <c r="CJ31" s="14">
        <f t="shared" si="32"/>
        <v>41032.839225</v>
      </c>
      <c r="CK31" s="14">
        <v>188</v>
      </c>
      <c r="CL31" s="32"/>
      <c r="CM31" s="14">
        <f t="shared" si="74"/>
        <v>1676.0629999999999</v>
      </c>
      <c r="CN31" s="14">
        <f t="shared" si="33"/>
        <v>180.70614999999998</v>
      </c>
      <c r="CO31" s="14">
        <f t="shared" si="34"/>
        <v>1856.7691499999999</v>
      </c>
      <c r="CP31" s="14">
        <v>9</v>
      </c>
      <c r="CQ31" s="32"/>
      <c r="CR31" s="14">
        <f t="shared" si="75"/>
        <v>23684.1385</v>
      </c>
      <c r="CS31" s="14">
        <f t="shared" si="35"/>
        <v>2553.5254250000003</v>
      </c>
      <c r="CT31" s="14">
        <f t="shared" si="36"/>
        <v>26237.663925</v>
      </c>
      <c r="CU31" s="14">
        <v>120</v>
      </c>
      <c r="CV31" s="32"/>
      <c r="CW31" s="14">
        <f t="shared" si="76"/>
        <v>11333.156</v>
      </c>
      <c r="CX31" s="32">
        <f t="shared" si="37"/>
        <v>1221.8938</v>
      </c>
      <c r="CY31" s="14">
        <f t="shared" si="38"/>
        <v>12555.0498</v>
      </c>
      <c r="CZ31" s="14">
        <v>57</v>
      </c>
      <c r="DA31" s="32"/>
      <c r="DB31" s="14">
        <f t="shared" si="77"/>
        <v>18820.8005</v>
      </c>
      <c r="DC31" s="14">
        <f t="shared" si="39"/>
        <v>2029.1805250000002</v>
      </c>
      <c r="DD31" s="14">
        <f t="shared" si="40"/>
        <v>20849.981025</v>
      </c>
      <c r="DE31" s="14">
        <v>95</v>
      </c>
      <c r="DF31" s="32"/>
      <c r="DG31" s="14">
        <f t="shared" si="78"/>
        <v>57245.56050000001</v>
      </c>
      <c r="DH31" s="14">
        <f t="shared" si="41"/>
        <v>6171.978525</v>
      </c>
      <c r="DI31" s="14">
        <f t="shared" si="42"/>
        <v>63417.539025000005</v>
      </c>
      <c r="DJ31" s="14">
        <v>290</v>
      </c>
      <c r="DK31" s="32"/>
      <c r="DL31" s="14">
        <f t="shared" si="79"/>
        <v>5940.9405</v>
      </c>
      <c r="DM31" s="14">
        <f t="shared" si="43"/>
        <v>640.527525</v>
      </c>
      <c r="DN31" s="14">
        <f t="shared" si="44"/>
        <v>6581.468025</v>
      </c>
      <c r="DO31" s="14">
        <v>30</v>
      </c>
      <c r="DP31" s="32"/>
      <c r="DQ31" s="14">
        <f t="shared" si="80"/>
        <v>3001.876</v>
      </c>
      <c r="DR31" s="14">
        <f t="shared" si="45"/>
        <v>323.6498</v>
      </c>
      <c r="DS31" s="14">
        <f t="shared" si="46"/>
        <v>3325.5258000000003</v>
      </c>
      <c r="DT31" s="14">
        <v>15</v>
      </c>
      <c r="DU31" s="32"/>
      <c r="DV31" s="14">
        <f t="shared" si="81"/>
        <v>797.4025</v>
      </c>
      <c r="DW31" s="14">
        <f t="shared" si="47"/>
        <v>85.97262500000001</v>
      </c>
      <c r="DX31" s="14">
        <f t="shared" si="48"/>
        <v>883.375125</v>
      </c>
      <c r="DY31" s="14">
        <v>4</v>
      </c>
      <c r="DZ31" s="32"/>
      <c r="EA31" s="14">
        <f t="shared" si="82"/>
        <v>26063.0365</v>
      </c>
      <c r="EB31" s="14">
        <f t="shared" si="49"/>
        <v>2810.0083250000002</v>
      </c>
      <c r="EC31" s="14">
        <f t="shared" si="50"/>
        <v>28873.044824999997</v>
      </c>
      <c r="ED31" s="14">
        <v>132</v>
      </c>
      <c r="EE31" s="32"/>
      <c r="EF31" s="14">
        <f t="shared" si="83"/>
        <v>106382.3665</v>
      </c>
      <c r="EG31" s="14">
        <f t="shared" si="51"/>
        <v>11469.704825</v>
      </c>
      <c r="EH31" s="14">
        <f t="shared" si="52"/>
        <v>117852.071325</v>
      </c>
      <c r="EI31" s="14">
        <v>539</v>
      </c>
      <c r="EJ31" s="32"/>
      <c r="EK31" s="14">
        <f t="shared" si="84"/>
        <v>1767.8285</v>
      </c>
      <c r="EL31" s="14">
        <f t="shared" si="53"/>
        <v>190.599925</v>
      </c>
      <c r="EM31" s="14">
        <f t="shared" si="54"/>
        <v>1958.428425</v>
      </c>
      <c r="EN31" s="14">
        <v>9</v>
      </c>
      <c r="EO31" s="32"/>
      <c r="EP31" s="14">
        <f t="shared" si="85"/>
        <v>21411.016</v>
      </c>
      <c r="EQ31" s="14">
        <f t="shared" si="55"/>
        <v>2308.4467999999997</v>
      </c>
      <c r="ER31" s="14">
        <f t="shared" si="56"/>
        <v>23719.4628</v>
      </c>
      <c r="ES31" s="14">
        <v>108</v>
      </c>
      <c r="ET31" s="32"/>
      <c r="EU31" s="14">
        <f t="shared" si="86"/>
        <v>8887.477</v>
      </c>
      <c r="EV31" s="14">
        <f t="shared" si="57"/>
        <v>958.21085</v>
      </c>
      <c r="EW31" s="14">
        <f t="shared" si="58"/>
        <v>9845.68785</v>
      </c>
      <c r="EX31" s="14">
        <v>45</v>
      </c>
      <c r="EY31" s="32"/>
    </row>
    <row r="32" spans="1:155" s="34" customFormat="1" ht="12.75">
      <c r="A32" s="33">
        <v>44470</v>
      </c>
      <c r="C32" s="21"/>
      <c r="D32" s="21">
        <v>196375</v>
      </c>
      <c r="E32" s="15">
        <f t="shared" si="0"/>
        <v>196375</v>
      </c>
      <c r="F32" s="32"/>
      <c r="G32" s="21"/>
      <c r="H32" s="21">
        <v>3000</v>
      </c>
      <c r="I32" s="15">
        <f t="shared" si="1"/>
        <v>3000</v>
      </c>
      <c r="J32" s="32"/>
      <c r="K32" s="21"/>
      <c r="L32" s="21">
        <v>193375</v>
      </c>
      <c r="M32" s="15">
        <f t="shared" si="2"/>
        <v>193375</v>
      </c>
      <c r="N32" s="15"/>
      <c r="O32" s="32"/>
      <c r="P32" s="14"/>
      <c r="Q32" s="14">
        <f t="shared" si="3"/>
        <v>15393.9842875</v>
      </c>
      <c r="R32" s="32">
        <f t="shared" si="4"/>
        <v>15393.9842875</v>
      </c>
      <c r="S32" s="32">
        <v>941</v>
      </c>
      <c r="T32" s="32"/>
      <c r="U32" s="14"/>
      <c r="V32" s="14">
        <f t="shared" si="5"/>
        <v>17136.1770125</v>
      </c>
      <c r="W32" s="14">
        <f t="shared" si="6"/>
        <v>17136.1770125</v>
      </c>
      <c r="X32" s="14">
        <v>1048</v>
      </c>
      <c r="Y32" s="32"/>
      <c r="Z32" s="32"/>
      <c r="AA32" s="14">
        <f t="shared" si="7"/>
        <v>6327.7907875</v>
      </c>
      <c r="AB32" s="14">
        <f t="shared" si="8"/>
        <v>6327.7907875</v>
      </c>
      <c r="AC32" s="14">
        <v>387</v>
      </c>
      <c r="AD32" s="32"/>
      <c r="AE32" s="14"/>
      <c r="AF32" s="14">
        <f t="shared" si="9"/>
        <v>4727.3032625000005</v>
      </c>
      <c r="AG32" s="14">
        <f t="shared" si="10"/>
        <v>4727.3032625000005</v>
      </c>
      <c r="AH32" s="14">
        <v>289</v>
      </c>
      <c r="AI32" s="32"/>
      <c r="AJ32" s="14"/>
      <c r="AK32" s="14">
        <f t="shared" si="11"/>
        <v>6294.0855249999995</v>
      </c>
      <c r="AL32" s="14">
        <f t="shared" si="12"/>
        <v>6294.0855249999995</v>
      </c>
      <c r="AM32" s="14">
        <v>385</v>
      </c>
      <c r="AN32" s="14"/>
      <c r="AO32" s="14"/>
      <c r="AP32" s="14">
        <f t="shared" si="13"/>
        <v>45986.721462500005</v>
      </c>
      <c r="AQ32" s="14">
        <f t="shared" si="14"/>
        <v>45986.721462500005</v>
      </c>
      <c r="AR32" s="14">
        <v>2811</v>
      </c>
      <c r="AS32" s="32"/>
      <c r="AT32" s="14"/>
      <c r="AU32" s="14">
        <f t="shared" si="15"/>
        <v>0.7735000000000001</v>
      </c>
      <c r="AV32" s="14">
        <f t="shared" si="16"/>
        <v>0.7735000000000001</v>
      </c>
      <c r="AW32" s="14"/>
      <c r="AX32" s="32"/>
      <c r="AY32" s="14"/>
      <c r="AZ32" s="14">
        <f t="shared" si="17"/>
        <v>469.1470875</v>
      </c>
      <c r="BA32" s="14">
        <f t="shared" si="18"/>
        <v>469.1470875</v>
      </c>
      <c r="BB32" s="14">
        <v>29</v>
      </c>
      <c r="BC32" s="32"/>
      <c r="BD32" s="14"/>
      <c r="BE32" s="14">
        <f t="shared" si="19"/>
        <v>264.2276</v>
      </c>
      <c r="BF32" s="14">
        <f t="shared" si="20"/>
        <v>264.2276</v>
      </c>
      <c r="BG32" s="14">
        <v>16</v>
      </c>
      <c r="BH32" s="32"/>
      <c r="BI32" s="14"/>
      <c r="BJ32" s="14">
        <f t="shared" si="21"/>
        <v>1699.2828125</v>
      </c>
      <c r="BK32" s="14">
        <f t="shared" si="22"/>
        <v>1699.2828125</v>
      </c>
      <c r="BL32" s="14">
        <v>104</v>
      </c>
      <c r="BM32" s="32"/>
      <c r="BN32" s="14"/>
      <c r="BO32" s="14">
        <f t="shared" si="23"/>
        <v>1097.5384875</v>
      </c>
      <c r="BP32" s="14">
        <f t="shared" si="24"/>
        <v>1097.5384875</v>
      </c>
      <c r="BQ32" s="14">
        <v>67</v>
      </c>
      <c r="BR32" s="14"/>
      <c r="BS32" s="14"/>
      <c r="BT32" s="14">
        <f t="shared" si="25"/>
        <v>4225.514475</v>
      </c>
      <c r="BU32" s="14">
        <f t="shared" si="26"/>
        <v>4225.514475</v>
      </c>
      <c r="BV32" s="14">
        <v>258</v>
      </c>
      <c r="BW32" s="32"/>
      <c r="BX32" s="14"/>
      <c r="BY32" s="14">
        <f t="shared" si="27"/>
        <v>269.10065000000003</v>
      </c>
      <c r="BZ32" s="14">
        <f t="shared" si="28"/>
        <v>269.10065000000003</v>
      </c>
      <c r="CA32" s="14">
        <v>16</v>
      </c>
      <c r="CB32" s="32"/>
      <c r="CC32" s="14"/>
      <c r="CD32" s="14">
        <f t="shared" si="29"/>
        <v>728.3469375</v>
      </c>
      <c r="CE32" s="14">
        <f t="shared" si="30"/>
        <v>728.3469375</v>
      </c>
      <c r="CF32" s="14">
        <v>45</v>
      </c>
      <c r="CG32" s="32"/>
      <c r="CH32" s="14"/>
      <c r="CI32" s="14">
        <f t="shared" si="31"/>
        <v>3067.4496125</v>
      </c>
      <c r="CJ32" s="14">
        <f t="shared" si="32"/>
        <v>3067.4496125</v>
      </c>
      <c r="CK32" s="14">
        <v>188</v>
      </c>
      <c r="CL32" s="32"/>
      <c r="CM32" s="14"/>
      <c r="CN32" s="14">
        <f t="shared" si="33"/>
        <v>138.804575</v>
      </c>
      <c r="CO32" s="14">
        <f t="shared" si="34"/>
        <v>138.804575</v>
      </c>
      <c r="CP32" s="14">
        <v>9</v>
      </c>
      <c r="CQ32" s="32"/>
      <c r="CR32" s="14"/>
      <c r="CS32" s="14">
        <f t="shared" si="35"/>
        <v>1961.4219625</v>
      </c>
      <c r="CT32" s="14">
        <f t="shared" si="36"/>
        <v>1961.4219625</v>
      </c>
      <c r="CU32" s="14">
        <v>120</v>
      </c>
      <c r="CV32" s="32"/>
      <c r="CW32" s="14"/>
      <c r="CX32" s="32">
        <f t="shared" si="37"/>
        <v>938.5649000000001</v>
      </c>
      <c r="CY32" s="14">
        <f t="shared" si="38"/>
        <v>938.5649000000001</v>
      </c>
      <c r="CZ32" s="14">
        <v>57</v>
      </c>
      <c r="DA32" s="32"/>
      <c r="DB32" s="14"/>
      <c r="DC32" s="14">
        <f t="shared" si="39"/>
        <v>1558.6605125</v>
      </c>
      <c r="DD32" s="14">
        <f t="shared" si="40"/>
        <v>1558.6605125</v>
      </c>
      <c r="DE32" s="14">
        <v>95</v>
      </c>
      <c r="DF32" s="32"/>
      <c r="DG32" s="14"/>
      <c r="DH32" s="14">
        <f t="shared" si="41"/>
        <v>4740.839512500001</v>
      </c>
      <c r="DI32" s="14">
        <f t="shared" si="42"/>
        <v>4740.839512500001</v>
      </c>
      <c r="DJ32" s="14">
        <v>290</v>
      </c>
      <c r="DK32" s="32"/>
      <c r="DL32" s="14"/>
      <c r="DM32" s="14">
        <f t="shared" si="43"/>
        <v>492.00401249999993</v>
      </c>
      <c r="DN32" s="14">
        <f t="shared" si="44"/>
        <v>492.00401249999993</v>
      </c>
      <c r="DO32" s="14">
        <v>30</v>
      </c>
      <c r="DP32" s="32"/>
      <c r="DQ32" s="14"/>
      <c r="DR32" s="14">
        <f t="shared" si="45"/>
        <v>248.6029</v>
      </c>
      <c r="DS32" s="14">
        <f t="shared" si="46"/>
        <v>248.6029</v>
      </c>
      <c r="DT32" s="14">
        <v>15</v>
      </c>
      <c r="DU32" s="32"/>
      <c r="DV32" s="14"/>
      <c r="DW32" s="14">
        <f t="shared" si="47"/>
        <v>66.0375625</v>
      </c>
      <c r="DX32" s="14">
        <f t="shared" si="48"/>
        <v>66.0375625</v>
      </c>
      <c r="DY32" s="14">
        <v>4</v>
      </c>
      <c r="DZ32" s="32"/>
      <c r="EA32" s="14"/>
      <c r="EB32" s="14">
        <f t="shared" si="49"/>
        <v>2158.4324125</v>
      </c>
      <c r="EC32" s="14">
        <f t="shared" si="50"/>
        <v>2158.4324125</v>
      </c>
      <c r="ED32" s="14">
        <v>132</v>
      </c>
      <c r="EE32" s="32"/>
      <c r="EF32" s="14"/>
      <c r="EG32" s="14">
        <f t="shared" si="51"/>
        <v>8810.145662500001</v>
      </c>
      <c r="EH32" s="14">
        <f t="shared" si="52"/>
        <v>8810.145662500001</v>
      </c>
      <c r="EI32" s="14">
        <v>539</v>
      </c>
      <c r="EJ32" s="32"/>
      <c r="EK32" s="14"/>
      <c r="EL32" s="14">
        <f t="shared" si="53"/>
        <v>146.4042125</v>
      </c>
      <c r="EM32" s="14">
        <f t="shared" si="54"/>
        <v>146.4042125</v>
      </c>
      <c r="EN32" s="14">
        <v>9</v>
      </c>
      <c r="EO32" s="32"/>
      <c r="EP32" s="14"/>
      <c r="EQ32" s="14">
        <f t="shared" si="55"/>
        <v>1773.1714000000002</v>
      </c>
      <c r="ER32" s="14">
        <f t="shared" si="56"/>
        <v>1773.1714000000002</v>
      </c>
      <c r="ES32" s="14">
        <v>108</v>
      </c>
      <c r="ET32" s="32"/>
      <c r="EU32" s="14"/>
      <c r="EV32" s="14">
        <f t="shared" si="57"/>
        <v>736.023925</v>
      </c>
      <c r="EW32" s="14">
        <f t="shared" si="58"/>
        <v>736.023925</v>
      </c>
      <c r="EX32" s="14">
        <v>45</v>
      </c>
      <c r="EY32" s="32"/>
    </row>
    <row r="33" spans="1:155" s="34" customFormat="1" ht="12.75">
      <c r="A33" s="33">
        <v>44652</v>
      </c>
      <c r="C33" s="21">
        <v>2515000</v>
      </c>
      <c r="D33" s="21">
        <v>196375</v>
      </c>
      <c r="E33" s="15">
        <f t="shared" si="0"/>
        <v>2711375</v>
      </c>
      <c r="F33" s="32"/>
      <c r="G33" s="21">
        <v>60000</v>
      </c>
      <c r="H33" s="21">
        <v>3000</v>
      </c>
      <c r="I33" s="15">
        <f t="shared" si="1"/>
        <v>63000</v>
      </c>
      <c r="J33" s="32"/>
      <c r="K33" s="21">
        <v>2455000</v>
      </c>
      <c r="L33" s="21">
        <v>193375</v>
      </c>
      <c r="M33" s="15">
        <f t="shared" si="2"/>
        <v>2648375</v>
      </c>
      <c r="N33" s="15"/>
      <c r="O33" s="32"/>
      <c r="P33" s="14">
        <f t="shared" si="59"/>
        <v>195434.93949999998</v>
      </c>
      <c r="Q33" s="14">
        <f t="shared" si="3"/>
        <v>15393.9842875</v>
      </c>
      <c r="R33" s="32">
        <f t="shared" si="4"/>
        <v>210828.92378749998</v>
      </c>
      <c r="S33" s="32">
        <v>941</v>
      </c>
      <c r="T33" s="32"/>
      <c r="U33" s="14">
        <f t="shared" si="60"/>
        <v>217553.0165</v>
      </c>
      <c r="V33" s="14">
        <f t="shared" si="5"/>
        <v>17136.1770125</v>
      </c>
      <c r="W33" s="14">
        <f t="shared" si="6"/>
        <v>234689.1935125</v>
      </c>
      <c r="X33" s="14">
        <v>1048</v>
      </c>
      <c r="Y33" s="32"/>
      <c r="Z33" s="32">
        <f t="shared" si="61"/>
        <v>80334.7195</v>
      </c>
      <c r="AA33" s="14">
        <f t="shared" si="7"/>
        <v>6327.7907875</v>
      </c>
      <c r="AB33" s="14">
        <f t="shared" si="8"/>
        <v>86662.5102875</v>
      </c>
      <c r="AC33" s="14">
        <v>387</v>
      </c>
      <c r="AD33" s="32"/>
      <c r="AE33" s="14">
        <f t="shared" si="62"/>
        <v>60015.66650000001</v>
      </c>
      <c r="AF33" s="14">
        <f t="shared" si="9"/>
        <v>4727.3032625000005</v>
      </c>
      <c r="AG33" s="14">
        <f t="shared" si="10"/>
        <v>64742.969762500004</v>
      </c>
      <c r="AH33" s="14">
        <v>289</v>
      </c>
      <c r="AI33" s="32"/>
      <c r="AJ33" s="14">
        <f t="shared" si="63"/>
        <v>79906.813</v>
      </c>
      <c r="AK33" s="14">
        <f t="shared" si="11"/>
        <v>6294.0855249999995</v>
      </c>
      <c r="AL33" s="14">
        <f t="shared" si="12"/>
        <v>86200.898525</v>
      </c>
      <c r="AM33" s="14">
        <v>385</v>
      </c>
      <c r="AN33" s="14"/>
      <c r="AO33" s="14">
        <f t="shared" si="64"/>
        <v>583826.2505000001</v>
      </c>
      <c r="AP33" s="14">
        <f t="shared" si="13"/>
        <v>45986.721462500005</v>
      </c>
      <c r="AQ33" s="14">
        <f t="shared" si="14"/>
        <v>629812.9719625001</v>
      </c>
      <c r="AR33" s="14">
        <v>2811</v>
      </c>
      <c r="AS33" s="32"/>
      <c r="AT33" s="14">
        <f t="shared" si="65"/>
        <v>9.82</v>
      </c>
      <c r="AU33" s="14">
        <f t="shared" si="15"/>
        <v>0.7735000000000001</v>
      </c>
      <c r="AV33" s="14">
        <f t="shared" si="16"/>
        <v>10.5935</v>
      </c>
      <c r="AW33" s="14"/>
      <c r="AX33" s="32"/>
      <c r="AY33" s="14">
        <f t="shared" si="66"/>
        <v>5956.075499999999</v>
      </c>
      <c r="AZ33" s="14">
        <f t="shared" si="17"/>
        <v>469.1470875</v>
      </c>
      <c r="BA33" s="14">
        <f t="shared" si="18"/>
        <v>6425.222587499999</v>
      </c>
      <c r="BB33" s="14">
        <v>29</v>
      </c>
      <c r="BC33" s="32"/>
      <c r="BD33" s="14">
        <f t="shared" si="67"/>
        <v>3354.512</v>
      </c>
      <c r="BE33" s="14">
        <f t="shared" si="19"/>
        <v>264.2276</v>
      </c>
      <c r="BF33" s="14">
        <f t="shared" si="20"/>
        <v>3618.7396000000003</v>
      </c>
      <c r="BG33" s="14">
        <v>16</v>
      </c>
      <c r="BH33" s="32"/>
      <c r="BI33" s="14">
        <f t="shared" si="68"/>
        <v>21573.3125</v>
      </c>
      <c r="BJ33" s="14">
        <f t="shared" si="21"/>
        <v>1699.2828125</v>
      </c>
      <c r="BK33" s="14">
        <f t="shared" si="22"/>
        <v>23272.5953125</v>
      </c>
      <c r="BL33" s="14">
        <v>104</v>
      </c>
      <c r="BM33" s="32"/>
      <c r="BN33" s="14">
        <f t="shared" si="69"/>
        <v>13933.8435</v>
      </c>
      <c r="BO33" s="14">
        <f t="shared" si="23"/>
        <v>1097.5384875</v>
      </c>
      <c r="BP33" s="14">
        <f t="shared" si="24"/>
        <v>15031.3819875</v>
      </c>
      <c r="BQ33" s="14">
        <v>67</v>
      </c>
      <c r="BR33" s="14"/>
      <c r="BS33" s="14">
        <f t="shared" si="70"/>
        <v>53645.187000000005</v>
      </c>
      <c r="BT33" s="14">
        <f t="shared" si="25"/>
        <v>4225.514475</v>
      </c>
      <c r="BU33" s="14">
        <f t="shared" si="26"/>
        <v>57870.70147500001</v>
      </c>
      <c r="BV33" s="14">
        <v>258</v>
      </c>
      <c r="BW33" s="32"/>
      <c r="BX33" s="14">
        <f t="shared" si="71"/>
        <v>3416.3779999999997</v>
      </c>
      <c r="BY33" s="14">
        <f t="shared" si="27"/>
        <v>269.10065000000003</v>
      </c>
      <c r="BZ33" s="14">
        <f t="shared" si="28"/>
        <v>3685.4786499999996</v>
      </c>
      <c r="CA33" s="14">
        <v>16</v>
      </c>
      <c r="CB33" s="32"/>
      <c r="CC33" s="14">
        <f t="shared" si="72"/>
        <v>9246.7575</v>
      </c>
      <c r="CD33" s="14">
        <f t="shared" si="29"/>
        <v>728.3469375</v>
      </c>
      <c r="CE33" s="14">
        <f t="shared" si="30"/>
        <v>9975.1044375</v>
      </c>
      <c r="CF33" s="14">
        <v>45</v>
      </c>
      <c r="CG33" s="32"/>
      <c r="CH33" s="14">
        <f t="shared" si="73"/>
        <v>38942.9285</v>
      </c>
      <c r="CI33" s="14">
        <f t="shared" si="31"/>
        <v>3067.4496125</v>
      </c>
      <c r="CJ33" s="14">
        <f t="shared" si="32"/>
        <v>42010.3781125</v>
      </c>
      <c r="CK33" s="14">
        <v>188</v>
      </c>
      <c r="CL33" s="32"/>
      <c r="CM33" s="14">
        <f t="shared" si="74"/>
        <v>1762.1989999999998</v>
      </c>
      <c r="CN33" s="14">
        <f t="shared" si="33"/>
        <v>138.804575</v>
      </c>
      <c r="CO33" s="14">
        <f t="shared" si="34"/>
        <v>1901.0035749999997</v>
      </c>
      <c r="CP33" s="14">
        <v>9</v>
      </c>
      <c r="CQ33" s="32"/>
      <c r="CR33" s="14">
        <f t="shared" si="75"/>
        <v>24901.310500000003</v>
      </c>
      <c r="CS33" s="14">
        <f t="shared" si="35"/>
        <v>1961.4219625</v>
      </c>
      <c r="CT33" s="14">
        <f t="shared" si="36"/>
        <v>26862.732462500004</v>
      </c>
      <c r="CU33" s="14">
        <v>120</v>
      </c>
      <c r="CV33" s="32"/>
      <c r="CW33" s="14">
        <f t="shared" si="76"/>
        <v>11915.588</v>
      </c>
      <c r="CX33" s="32">
        <f t="shared" si="37"/>
        <v>938.5649000000001</v>
      </c>
      <c r="CY33" s="14">
        <f t="shared" si="38"/>
        <v>12854.1529</v>
      </c>
      <c r="CZ33" s="14">
        <v>57</v>
      </c>
      <c r="DA33" s="32"/>
      <c r="DB33" s="14">
        <f t="shared" si="77"/>
        <v>19788.036500000002</v>
      </c>
      <c r="DC33" s="14">
        <f t="shared" si="39"/>
        <v>1558.6605125</v>
      </c>
      <c r="DD33" s="14">
        <f t="shared" si="40"/>
        <v>21346.6970125</v>
      </c>
      <c r="DE33" s="14">
        <v>95</v>
      </c>
      <c r="DF33" s="32"/>
      <c r="DG33" s="14">
        <f t="shared" si="78"/>
        <v>60187.516500000005</v>
      </c>
      <c r="DH33" s="14">
        <f t="shared" si="41"/>
        <v>4740.839512500001</v>
      </c>
      <c r="DI33" s="14">
        <f t="shared" si="42"/>
        <v>64928.35601250001</v>
      </c>
      <c r="DJ33" s="14">
        <v>290</v>
      </c>
      <c r="DK33" s="32"/>
      <c r="DL33" s="14">
        <f t="shared" si="79"/>
        <v>6246.2565</v>
      </c>
      <c r="DM33" s="14">
        <f t="shared" si="43"/>
        <v>492.00401249999993</v>
      </c>
      <c r="DN33" s="14">
        <f t="shared" si="44"/>
        <v>6738.2605125</v>
      </c>
      <c r="DO33" s="14">
        <v>30</v>
      </c>
      <c r="DP33" s="32"/>
      <c r="DQ33" s="14">
        <f t="shared" si="80"/>
        <v>3156.1480000000006</v>
      </c>
      <c r="DR33" s="14">
        <f t="shared" si="45"/>
        <v>248.6029</v>
      </c>
      <c r="DS33" s="14">
        <f t="shared" si="46"/>
        <v>3404.7509000000005</v>
      </c>
      <c r="DT33" s="14">
        <v>15</v>
      </c>
      <c r="DU33" s="32"/>
      <c r="DV33" s="14">
        <f t="shared" si="81"/>
        <v>838.3825</v>
      </c>
      <c r="DW33" s="14">
        <f t="shared" si="47"/>
        <v>66.0375625</v>
      </c>
      <c r="DX33" s="14">
        <f t="shared" si="48"/>
        <v>904.4200625000001</v>
      </c>
      <c r="DY33" s="14">
        <v>4</v>
      </c>
      <c r="DZ33" s="32"/>
      <c r="EA33" s="14">
        <f t="shared" si="82"/>
        <v>27402.464500000002</v>
      </c>
      <c r="EB33" s="14">
        <f t="shared" si="49"/>
        <v>2158.4324125</v>
      </c>
      <c r="EC33" s="14">
        <f t="shared" si="50"/>
        <v>29560.8969125</v>
      </c>
      <c r="ED33" s="14">
        <v>132</v>
      </c>
      <c r="EE33" s="32"/>
      <c r="EF33" s="14">
        <f t="shared" si="83"/>
        <v>111849.55450000001</v>
      </c>
      <c r="EG33" s="14">
        <f t="shared" si="51"/>
        <v>8810.145662500001</v>
      </c>
      <c r="EH33" s="14">
        <f t="shared" si="52"/>
        <v>120659.70016250001</v>
      </c>
      <c r="EI33" s="14">
        <v>539</v>
      </c>
      <c r="EJ33" s="32"/>
      <c r="EK33" s="14">
        <f t="shared" si="84"/>
        <v>1858.6805</v>
      </c>
      <c r="EL33" s="14">
        <f t="shared" si="53"/>
        <v>146.4042125</v>
      </c>
      <c r="EM33" s="14">
        <f t="shared" si="54"/>
        <v>2005.0847125</v>
      </c>
      <c r="EN33" s="14">
        <v>9</v>
      </c>
      <c r="EO33" s="32"/>
      <c r="EP33" s="14">
        <f t="shared" si="85"/>
        <v>22511.368</v>
      </c>
      <c r="EQ33" s="14">
        <f t="shared" si="55"/>
        <v>1773.1714000000002</v>
      </c>
      <c r="ER33" s="14">
        <f t="shared" si="56"/>
        <v>24284.539399999998</v>
      </c>
      <c r="ES33" s="14">
        <v>108</v>
      </c>
      <c r="ET33" s="32"/>
      <c r="EU33" s="14">
        <f t="shared" si="86"/>
        <v>9344.221</v>
      </c>
      <c r="EV33" s="14">
        <f t="shared" si="57"/>
        <v>736.023925</v>
      </c>
      <c r="EW33" s="14">
        <f t="shared" si="58"/>
        <v>10080.244924999999</v>
      </c>
      <c r="EX33" s="14">
        <v>45</v>
      </c>
      <c r="EY33" s="32"/>
    </row>
    <row r="34" spans="1:155" s="34" customFormat="1" ht="12.75">
      <c r="A34" s="33">
        <v>44835</v>
      </c>
      <c r="C34" s="21"/>
      <c r="D34" s="21">
        <v>133500</v>
      </c>
      <c r="E34" s="15">
        <f t="shared" si="0"/>
        <v>133500</v>
      </c>
      <c r="F34" s="32"/>
      <c r="G34" s="21"/>
      <c r="H34" s="21">
        <v>1500</v>
      </c>
      <c r="I34" s="15">
        <f t="shared" si="1"/>
        <v>1500</v>
      </c>
      <c r="J34" s="32"/>
      <c r="K34" s="21"/>
      <c r="L34" s="21">
        <v>132000</v>
      </c>
      <c r="M34" s="15">
        <f t="shared" si="2"/>
        <v>132000</v>
      </c>
      <c r="N34" s="15"/>
      <c r="O34" s="32"/>
      <c r="P34" s="14"/>
      <c r="Q34" s="14">
        <f t="shared" si="3"/>
        <v>10508.110799999999</v>
      </c>
      <c r="R34" s="32">
        <f t="shared" si="4"/>
        <v>10508.110799999999</v>
      </c>
      <c r="S34" s="32">
        <v>941</v>
      </c>
      <c r="T34" s="32"/>
      <c r="U34" s="14"/>
      <c r="V34" s="14">
        <f t="shared" si="5"/>
        <v>11697.3516</v>
      </c>
      <c r="W34" s="14">
        <f t="shared" si="6"/>
        <v>11697.3516</v>
      </c>
      <c r="X34" s="14">
        <v>1048</v>
      </c>
      <c r="Y34" s="32"/>
      <c r="Z34" s="32"/>
      <c r="AA34" s="14">
        <f t="shared" si="7"/>
        <v>4319.422799999999</v>
      </c>
      <c r="AB34" s="14">
        <f t="shared" si="8"/>
        <v>4319.422799999999</v>
      </c>
      <c r="AC34" s="14">
        <v>387</v>
      </c>
      <c r="AD34" s="32"/>
      <c r="AE34" s="14"/>
      <c r="AF34" s="14">
        <f t="shared" si="9"/>
        <v>3226.9116000000004</v>
      </c>
      <c r="AG34" s="14">
        <f t="shared" si="10"/>
        <v>3226.9116000000004</v>
      </c>
      <c r="AH34" s="14">
        <v>289</v>
      </c>
      <c r="AI34" s="32"/>
      <c r="AJ34" s="14"/>
      <c r="AK34" s="14">
        <f t="shared" si="11"/>
        <v>4296.4151999999995</v>
      </c>
      <c r="AL34" s="14">
        <f t="shared" si="12"/>
        <v>4296.4151999999995</v>
      </c>
      <c r="AM34" s="14">
        <v>385</v>
      </c>
      <c r="AN34" s="14"/>
      <c r="AO34" s="14"/>
      <c r="AP34" s="14">
        <f t="shared" si="13"/>
        <v>31391.0652</v>
      </c>
      <c r="AQ34" s="14">
        <f t="shared" si="14"/>
        <v>31391.0652</v>
      </c>
      <c r="AR34" s="14">
        <v>2811</v>
      </c>
      <c r="AS34" s="32"/>
      <c r="AT34" s="14"/>
      <c r="AU34" s="14">
        <f t="shared" si="15"/>
        <v>0.528</v>
      </c>
      <c r="AV34" s="14">
        <f t="shared" si="16"/>
        <v>0.528</v>
      </c>
      <c r="AW34" s="14"/>
      <c r="AX34" s="32"/>
      <c r="AY34" s="14"/>
      <c r="AZ34" s="14">
        <f t="shared" si="17"/>
        <v>320.2452</v>
      </c>
      <c r="BA34" s="14">
        <f t="shared" si="18"/>
        <v>320.2452</v>
      </c>
      <c r="BB34" s="14">
        <v>29</v>
      </c>
      <c r="BC34" s="32"/>
      <c r="BD34" s="14"/>
      <c r="BE34" s="14">
        <f t="shared" si="19"/>
        <v>180.36480000000003</v>
      </c>
      <c r="BF34" s="14">
        <f t="shared" si="20"/>
        <v>180.36480000000003</v>
      </c>
      <c r="BG34" s="14">
        <v>16</v>
      </c>
      <c r="BH34" s="32"/>
      <c r="BI34" s="14"/>
      <c r="BJ34" s="14">
        <f t="shared" si="21"/>
        <v>1159.95</v>
      </c>
      <c r="BK34" s="14">
        <f t="shared" si="22"/>
        <v>1159.95</v>
      </c>
      <c r="BL34" s="14">
        <v>104</v>
      </c>
      <c r="BM34" s="32"/>
      <c r="BN34" s="14"/>
      <c r="BO34" s="14">
        <f t="shared" si="23"/>
        <v>749.1924</v>
      </c>
      <c r="BP34" s="14">
        <f t="shared" si="24"/>
        <v>749.1924</v>
      </c>
      <c r="BQ34" s="14">
        <v>67</v>
      </c>
      <c r="BR34" s="14"/>
      <c r="BS34" s="14"/>
      <c r="BT34" s="14">
        <f t="shared" si="25"/>
        <v>2884.3848000000003</v>
      </c>
      <c r="BU34" s="14">
        <f t="shared" si="26"/>
        <v>2884.3848000000003</v>
      </c>
      <c r="BV34" s="14">
        <v>258</v>
      </c>
      <c r="BW34" s="32"/>
      <c r="BX34" s="14"/>
      <c r="BY34" s="14">
        <f t="shared" si="27"/>
        <v>183.69119999999998</v>
      </c>
      <c r="BZ34" s="14">
        <f t="shared" si="28"/>
        <v>183.69119999999998</v>
      </c>
      <c r="CA34" s="14">
        <v>16</v>
      </c>
      <c r="CB34" s="32"/>
      <c r="CC34" s="14"/>
      <c r="CD34" s="14">
        <f t="shared" si="29"/>
        <v>497.17799999999994</v>
      </c>
      <c r="CE34" s="14">
        <f t="shared" si="30"/>
        <v>497.17799999999994</v>
      </c>
      <c r="CF34" s="14">
        <v>45</v>
      </c>
      <c r="CG34" s="32"/>
      <c r="CH34" s="14"/>
      <c r="CI34" s="14">
        <f t="shared" si="31"/>
        <v>2093.8764</v>
      </c>
      <c r="CJ34" s="14">
        <f t="shared" si="32"/>
        <v>2093.8764</v>
      </c>
      <c r="CK34" s="14">
        <v>188</v>
      </c>
      <c r="CL34" s="32"/>
      <c r="CM34" s="14"/>
      <c r="CN34" s="14">
        <f t="shared" si="33"/>
        <v>94.74959999999999</v>
      </c>
      <c r="CO34" s="14">
        <f t="shared" si="34"/>
        <v>94.74959999999999</v>
      </c>
      <c r="CP34" s="14">
        <v>9</v>
      </c>
      <c r="CQ34" s="32"/>
      <c r="CR34" s="14"/>
      <c r="CS34" s="14">
        <f t="shared" si="35"/>
        <v>1338.8892</v>
      </c>
      <c r="CT34" s="14">
        <f t="shared" si="36"/>
        <v>1338.8892</v>
      </c>
      <c r="CU34" s="14">
        <v>120</v>
      </c>
      <c r="CV34" s="32"/>
      <c r="CW34" s="14"/>
      <c r="CX34" s="32">
        <f t="shared" si="37"/>
        <v>640.6752</v>
      </c>
      <c r="CY34" s="14">
        <f t="shared" si="38"/>
        <v>640.6752</v>
      </c>
      <c r="CZ34" s="14">
        <v>57</v>
      </c>
      <c r="DA34" s="32"/>
      <c r="DB34" s="14"/>
      <c r="DC34" s="14">
        <f t="shared" si="39"/>
        <v>1063.9596000000001</v>
      </c>
      <c r="DD34" s="14">
        <f t="shared" si="40"/>
        <v>1063.9596000000001</v>
      </c>
      <c r="DE34" s="14">
        <v>95</v>
      </c>
      <c r="DF34" s="32"/>
      <c r="DG34" s="14"/>
      <c r="DH34" s="14">
        <f t="shared" si="41"/>
        <v>3236.1516</v>
      </c>
      <c r="DI34" s="14">
        <f t="shared" si="42"/>
        <v>3236.1516</v>
      </c>
      <c r="DJ34" s="14">
        <v>290</v>
      </c>
      <c r="DK34" s="32"/>
      <c r="DL34" s="14"/>
      <c r="DM34" s="14">
        <f t="shared" si="43"/>
        <v>335.8476</v>
      </c>
      <c r="DN34" s="14">
        <f t="shared" si="44"/>
        <v>335.8476</v>
      </c>
      <c r="DO34" s="14">
        <v>30</v>
      </c>
      <c r="DP34" s="32"/>
      <c r="DQ34" s="14"/>
      <c r="DR34" s="14">
        <f t="shared" si="45"/>
        <v>169.69920000000002</v>
      </c>
      <c r="DS34" s="14">
        <f t="shared" si="46"/>
        <v>169.69920000000002</v>
      </c>
      <c r="DT34" s="14">
        <v>15</v>
      </c>
      <c r="DU34" s="32"/>
      <c r="DV34" s="14"/>
      <c r="DW34" s="14">
        <f t="shared" si="47"/>
        <v>45.078</v>
      </c>
      <c r="DX34" s="14">
        <f t="shared" si="48"/>
        <v>45.078</v>
      </c>
      <c r="DY34" s="14">
        <v>4</v>
      </c>
      <c r="DZ34" s="32"/>
      <c r="EA34" s="14"/>
      <c r="EB34" s="14">
        <f t="shared" si="49"/>
        <v>1473.3708000000001</v>
      </c>
      <c r="EC34" s="14">
        <f t="shared" si="50"/>
        <v>1473.3708000000001</v>
      </c>
      <c r="ED34" s="14">
        <v>132</v>
      </c>
      <c r="EE34" s="32"/>
      <c r="EF34" s="14"/>
      <c r="EG34" s="14">
        <f t="shared" si="51"/>
        <v>6013.906800000001</v>
      </c>
      <c r="EH34" s="14">
        <f t="shared" si="52"/>
        <v>6013.906800000001</v>
      </c>
      <c r="EI34" s="14">
        <v>539</v>
      </c>
      <c r="EJ34" s="32"/>
      <c r="EK34" s="14"/>
      <c r="EL34" s="14">
        <f t="shared" si="53"/>
        <v>99.93719999999999</v>
      </c>
      <c r="EM34" s="14">
        <f t="shared" si="54"/>
        <v>99.93719999999999</v>
      </c>
      <c r="EN34" s="14">
        <v>9</v>
      </c>
      <c r="EO34" s="32"/>
      <c r="EP34" s="14"/>
      <c r="EQ34" s="14">
        <f t="shared" si="55"/>
        <v>1210.3872000000001</v>
      </c>
      <c r="ER34" s="14">
        <f t="shared" si="56"/>
        <v>1210.3872000000001</v>
      </c>
      <c r="ES34" s="14">
        <v>108</v>
      </c>
      <c r="ET34" s="32"/>
      <c r="EU34" s="14"/>
      <c r="EV34" s="14">
        <f t="shared" si="57"/>
        <v>502.4184</v>
      </c>
      <c r="EW34" s="14">
        <f t="shared" si="58"/>
        <v>502.4184</v>
      </c>
      <c r="EX34" s="14">
        <v>45</v>
      </c>
      <c r="EY34" s="32"/>
    </row>
    <row r="35" spans="1:155" s="34" customFormat="1" ht="12.75">
      <c r="A35" s="33">
        <v>45017</v>
      </c>
      <c r="C35" s="21">
        <v>2635000</v>
      </c>
      <c r="D35" s="21">
        <v>133500</v>
      </c>
      <c r="E35" s="15">
        <f t="shared" si="0"/>
        <v>2768500</v>
      </c>
      <c r="F35" s="32"/>
      <c r="G35" s="21">
        <v>60000</v>
      </c>
      <c r="H35" s="21">
        <v>1500</v>
      </c>
      <c r="I35" s="15">
        <f t="shared" si="1"/>
        <v>61500</v>
      </c>
      <c r="J35" s="32"/>
      <c r="K35" s="21">
        <v>2575000</v>
      </c>
      <c r="L35" s="21">
        <v>132000</v>
      </c>
      <c r="M35" s="15">
        <f t="shared" si="2"/>
        <v>2707000</v>
      </c>
      <c r="N35" s="15"/>
      <c r="O35" s="32"/>
      <c r="P35" s="14">
        <f t="shared" si="59"/>
        <v>204987.7675</v>
      </c>
      <c r="Q35" s="14">
        <f t="shared" si="3"/>
        <v>10508.110799999999</v>
      </c>
      <c r="R35" s="32">
        <f t="shared" si="4"/>
        <v>215495.87829999998</v>
      </c>
      <c r="S35" s="32">
        <v>941</v>
      </c>
      <c r="T35" s="32"/>
      <c r="U35" s="14">
        <f t="shared" si="60"/>
        <v>228186.9725</v>
      </c>
      <c r="V35" s="14">
        <f t="shared" si="5"/>
        <v>11697.3516</v>
      </c>
      <c r="W35" s="14">
        <f t="shared" si="6"/>
        <v>239884.3241</v>
      </c>
      <c r="X35" s="14">
        <v>1048</v>
      </c>
      <c r="Y35" s="32"/>
      <c r="Z35" s="32">
        <f t="shared" si="61"/>
        <v>84261.4675</v>
      </c>
      <c r="AA35" s="14">
        <f t="shared" si="7"/>
        <v>4319.422799999999</v>
      </c>
      <c r="AB35" s="14">
        <f t="shared" si="8"/>
        <v>88580.8903</v>
      </c>
      <c r="AC35" s="14">
        <v>387</v>
      </c>
      <c r="AD35" s="32"/>
      <c r="AE35" s="14">
        <f t="shared" si="62"/>
        <v>62949.2225</v>
      </c>
      <c r="AF35" s="14">
        <f t="shared" si="9"/>
        <v>3226.9116000000004</v>
      </c>
      <c r="AG35" s="14">
        <f t="shared" si="10"/>
        <v>66176.13410000001</v>
      </c>
      <c r="AH35" s="14">
        <v>289</v>
      </c>
      <c r="AI35" s="32"/>
      <c r="AJ35" s="14">
        <f t="shared" si="63"/>
        <v>83812.645</v>
      </c>
      <c r="AK35" s="14">
        <f t="shared" si="11"/>
        <v>4296.4151999999995</v>
      </c>
      <c r="AL35" s="14">
        <f t="shared" si="12"/>
        <v>88109.0602</v>
      </c>
      <c r="AM35" s="14">
        <v>385</v>
      </c>
      <c r="AN35" s="14"/>
      <c r="AO35" s="14">
        <f t="shared" si="64"/>
        <v>612363.5825</v>
      </c>
      <c r="AP35" s="14">
        <f t="shared" si="13"/>
        <v>31391.0652</v>
      </c>
      <c r="AQ35" s="14">
        <f t="shared" si="14"/>
        <v>643754.6477</v>
      </c>
      <c r="AR35" s="14">
        <v>2811</v>
      </c>
      <c r="AS35" s="32"/>
      <c r="AT35" s="14">
        <f t="shared" si="65"/>
        <v>10.3</v>
      </c>
      <c r="AU35" s="14">
        <f t="shared" si="15"/>
        <v>0.528</v>
      </c>
      <c r="AV35" s="14">
        <f t="shared" si="16"/>
        <v>10.828000000000001</v>
      </c>
      <c r="AW35" s="14"/>
      <c r="AX35" s="32"/>
      <c r="AY35" s="14">
        <f t="shared" si="66"/>
        <v>6247.2075</v>
      </c>
      <c r="AZ35" s="14">
        <f t="shared" si="17"/>
        <v>320.2452</v>
      </c>
      <c r="BA35" s="14">
        <f t="shared" si="18"/>
        <v>6567.452700000001</v>
      </c>
      <c r="BB35" s="14">
        <v>29</v>
      </c>
      <c r="BC35" s="32"/>
      <c r="BD35" s="14">
        <f t="shared" si="67"/>
        <v>3518.4800000000005</v>
      </c>
      <c r="BE35" s="14">
        <f t="shared" si="19"/>
        <v>180.36480000000003</v>
      </c>
      <c r="BF35" s="14">
        <f t="shared" si="20"/>
        <v>3698.8448000000003</v>
      </c>
      <c r="BG35" s="14">
        <v>16</v>
      </c>
      <c r="BH35" s="32"/>
      <c r="BI35" s="14">
        <f t="shared" si="68"/>
        <v>22627.8125</v>
      </c>
      <c r="BJ35" s="14">
        <f t="shared" si="21"/>
        <v>1159.95</v>
      </c>
      <c r="BK35" s="14">
        <f t="shared" si="22"/>
        <v>23787.7625</v>
      </c>
      <c r="BL35" s="14">
        <v>104</v>
      </c>
      <c r="BM35" s="32"/>
      <c r="BN35" s="14">
        <f t="shared" si="69"/>
        <v>14614.9275</v>
      </c>
      <c r="BO35" s="14">
        <f t="shared" si="23"/>
        <v>749.1924</v>
      </c>
      <c r="BP35" s="14">
        <f t="shared" si="24"/>
        <v>15364.1199</v>
      </c>
      <c r="BQ35" s="14">
        <v>67</v>
      </c>
      <c r="BR35" s="14"/>
      <c r="BS35" s="14">
        <f t="shared" si="70"/>
        <v>56267.355</v>
      </c>
      <c r="BT35" s="14">
        <f t="shared" si="25"/>
        <v>2884.3848000000003</v>
      </c>
      <c r="BU35" s="14">
        <f t="shared" si="26"/>
        <v>59151.7398</v>
      </c>
      <c r="BV35" s="14">
        <v>258</v>
      </c>
      <c r="BW35" s="32"/>
      <c r="BX35" s="14">
        <f t="shared" si="71"/>
        <v>3583.37</v>
      </c>
      <c r="BY35" s="14">
        <f t="shared" si="27"/>
        <v>183.69119999999998</v>
      </c>
      <c r="BZ35" s="14">
        <f t="shared" si="28"/>
        <v>3767.0612</v>
      </c>
      <c r="CA35" s="14">
        <v>16</v>
      </c>
      <c r="CB35" s="32"/>
      <c r="CC35" s="14">
        <f t="shared" si="72"/>
        <v>9698.7375</v>
      </c>
      <c r="CD35" s="14">
        <f t="shared" si="29"/>
        <v>497.17799999999994</v>
      </c>
      <c r="CE35" s="14">
        <f t="shared" si="30"/>
        <v>10195.9155</v>
      </c>
      <c r="CF35" s="14">
        <v>45</v>
      </c>
      <c r="CG35" s="32"/>
      <c r="CH35" s="14">
        <f t="shared" si="73"/>
        <v>40846.4525</v>
      </c>
      <c r="CI35" s="14">
        <f t="shared" si="31"/>
        <v>2093.8764</v>
      </c>
      <c r="CJ35" s="14">
        <f t="shared" si="32"/>
        <v>42940.3289</v>
      </c>
      <c r="CK35" s="14">
        <v>188</v>
      </c>
      <c r="CL35" s="32"/>
      <c r="CM35" s="14">
        <f t="shared" si="74"/>
        <v>1848.335</v>
      </c>
      <c r="CN35" s="14">
        <f t="shared" si="33"/>
        <v>94.74959999999999</v>
      </c>
      <c r="CO35" s="14">
        <f t="shared" si="34"/>
        <v>1943.0846000000001</v>
      </c>
      <c r="CP35" s="14">
        <v>9</v>
      </c>
      <c r="CQ35" s="32"/>
      <c r="CR35" s="14">
        <f t="shared" si="75"/>
        <v>26118.4825</v>
      </c>
      <c r="CS35" s="14">
        <f t="shared" si="35"/>
        <v>1338.8892</v>
      </c>
      <c r="CT35" s="14">
        <f t="shared" si="36"/>
        <v>27457.3717</v>
      </c>
      <c r="CU35" s="14">
        <v>120</v>
      </c>
      <c r="CV35" s="32"/>
      <c r="CW35" s="14">
        <f t="shared" si="76"/>
        <v>12498.02</v>
      </c>
      <c r="CX35" s="32">
        <f t="shared" si="37"/>
        <v>640.6752</v>
      </c>
      <c r="CY35" s="14">
        <f t="shared" si="38"/>
        <v>13138.6952</v>
      </c>
      <c r="CZ35" s="14">
        <v>57</v>
      </c>
      <c r="DA35" s="32"/>
      <c r="DB35" s="14">
        <f t="shared" si="77"/>
        <v>20755.2725</v>
      </c>
      <c r="DC35" s="14">
        <f t="shared" si="39"/>
        <v>1063.9596000000001</v>
      </c>
      <c r="DD35" s="14">
        <f t="shared" si="40"/>
        <v>21819.2321</v>
      </c>
      <c r="DE35" s="14">
        <v>95</v>
      </c>
      <c r="DF35" s="32"/>
      <c r="DG35" s="14">
        <f t="shared" si="78"/>
        <v>63129.47250000001</v>
      </c>
      <c r="DH35" s="14">
        <f t="shared" si="41"/>
        <v>3236.1516</v>
      </c>
      <c r="DI35" s="14">
        <f t="shared" si="42"/>
        <v>66365.62410000002</v>
      </c>
      <c r="DJ35" s="14">
        <v>290</v>
      </c>
      <c r="DK35" s="32"/>
      <c r="DL35" s="14">
        <f t="shared" si="79"/>
        <v>6551.5725</v>
      </c>
      <c r="DM35" s="14">
        <f t="shared" si="43"/>
        <v>335.8476</v>
      </c>
      <c r="DN35" s="14">
        <f t="shared" si="44"/>
        <v>6887.4201</v>
      </c>
      <c r="DO35" s="14">
        <v>30</v>
      </c>
      <c r="DP35" s="32"/>
      <c r="DQ35" s="14">
        <f t="shared" si="80"/>
        <v>3310.42</v>
      </c>
      <c r="DR35" s="14">
        <f t="shared" si="45"/>
        <v>169.69920000000002</v>
      </c>
      <c r="DS35" s="14">
        <f t="shared" si="46"/>
        <v>3480.1192</v>
      </c>
      <c r="DT35" s="14">
        <v>15</v>
      </c>
      <c r="DU35" s="32"/>
      <c r="DV35" s="14">
        <f t="shared" si="81"/>
        <v>879.3625</v>
      </c>
      <c r="DW35" s="14">
        <f t="shared" si="47"/>
        <v>45.078</v>
      </c>
      <c r="DX35" s="14">
        <f t="shared" si="48"/>
        <v>924.4404999999999</v>
      </c>
      <c r="DY35" s="14">
        <v>4</v>
      </c>
      <c r="DZ35" s="32"/>
      <c r="EA35" s="14">
        <f t="shared" si="82"/>
        <v>28741.8925</v>
      </c>
      <c r="EB35" s="14">
        <f t="shared" si="49"/>
        <v>1473.3708000000001</v>
      </c>
      <c r="EC35" s="14">
        <f t="shared" si="50"/>
        <v>30215.263300000002</v>
      </c>
      <c r="ED35" s="14">
        <v>132</v>
      </c>
      <c r="EE35" s="32"/>
      <c r="EF35" s="14">
        <f t="shared" si="83"/>
        <v>117316.74250000002</v>
      </c>
      <c r="EG35" s="14">
        <f t="shared" si="51"/>
        <v>6013.906800000001</v>
      </c>
      <c r="EH35" s="14">
        <f t="shared" si="52"/>
        <v>123330.64930000002</v>
      </c>
      <c r="EI35" s="14">
        <v>539</v>
      </c>
      <c r="EJ35" s="32"/>
      <c r="EK35" s="14">
        <f t="shared" si="84"/>
        <v>1949.5325</v>
      </c>
      <c r="EL35" s="14">
        <f t="shared" si="53"/>
        <v>99.93719999999999</v>
      </c>
      <c r="EM35" s="14">
        <f t="shared" si="54"/>
        <v>2049.4697</v>
      </c>
      <c r="EN35" s="14">
        <v>9</v>
      </c>
      <c r="EO35" s="32"/>
      <c r="EP35" s="14">
        <f t="shared" si="85"/>
        <v>23611.72</v>
      </c>
      <c r="EQ35" s="14">
        <f t="shared" si="55"/>
        <v>1210.3872000000001</v>
      </c>
      <c r="ER35" s="14">
        <f t="shared" si="56"/>
        <v>24822.107200000002</v>
      </c>
      <c r="ES35" s="14">
        <v>108</v>
      </c>
      <c r="ET35" s="32"/>
      <c r="EU35" s="14">
        <f t="shared" si="86"/>
        <v>9800.965</v>
      </c>
      <c r="EV35" s="14">
        <f t="shared" si="57"/>
        <v>502.4184</v>
      </c>
      <c r="EW35" s="14">
        <f t="shared" si="58"/>
        <v>10303.3834</v>
      </c>
      <c r="EX35" s="14">
        <v>45</v>
      </c>
      <c r="EY35" s="32"/>
    </row>
    <row r="36" spans="1:155" s="34" customFormat="1" ht="12.75">
      <c r="A36" s="33">
        <v>45200</v>
      </c>
      <c r="C36" s="21"/>
      <c r="D36" s="21">
        <v>67625</v>
      </c>
      <c r="E36" s="15">
        <f t="shared" si="0"/>
        <v>67625</v>
      </c>
      <c r="F36" s="32"/>
      <c r="G36" s="21"/>
      <c r="H36" s="21"/>
      <c r="I36" s="15"/>
      <c r="J36" s="32"/>
      <c r="K36" s="21"/>
      <c r="L36" s="21">
        <v>67625</v>
      </c>
      <c r="M36" s="15">
        <f t="shared" si="2"/>
        <v>67625</v>
      </c>
      <c r="N36" s="15"/>
      <c r="O36" s="32"/>
      <c r="P36" s="14"/>
      <c r="Q36" s="14">
        <f t="shared" si="3"/>
        <v>5383.4166125</v>
      </c>
      <c r="R36" s="32">
        <f t="shared" si="4"/>
        <v>5383.4166125</v>
      </c>
      <c r="S36" s="32">
        <v>941</v>
      </c>
      <c r="T36" s="32"/>
      <c r="U36" s="14"/>
      <c r="V36" s="14">
        <f t="shared" si="5"/>
        <v>5992.6772875</v>
      </c>
      <c r="W36" s="14">
        <f t="shared" si="6"/>
        <v>5992.6772875</v>
      </c>
      <c r="X36" s="14">
        <v>1048</v>
      </c>
      <c r="Y36" s="32"/>
      <c r="Z36" s="32"/>
      <c r="AA36" s="14">
        <f t="shared" si="7"/>
        <v>2212.8861125</v>
      </c>
      <c r="AB36" s="14">
        <f t="shared" si="8"/>
        <v>2212.8861125</v>
      </c>
      <c r="AC36" s="14">
        <v>387</v>
      </c>
      <c r="AD36" s="32"/>
      <c r="AE36" s="14"/>
      <c r="AF36" s="14">
        <f t="shared" si="9"/>
        <v>1653.1810375</v>
      </c>
      <c r="AG36" s="14">
        <f t="shared" si="10"/>
        <v>1653.1810375</v>
      </c>
      <c r="AH36" s="14">
        <v>289</v>
      </c>
      <c r="AI36" s="32"/>
      <c r="AJ36" s="14"/>
      <c r="AK36" s="14">
        <f t="shared" si="11"/>
        <v>2201.099075</v>
      </c>
      <c r="AL36" s="14">
        <f t="shared" si="12"/>
        <v>2201.099075</v>
      </c>
      <c r="AM36" s="14">
        <v>385</v>
      </c>
      <c r="AN36" s="14"/>
      <c r="AO36" s="14"/>
      <c r="AP36" s="14">
        <f t="shared" si="13"/>
        <v>16081.975637500002</v>
      </c>
      <c r="AQ36" s="14">
        <f t="shared" si="14"/>
        <v>16081.975637500002</v>
      </c>
      <c r="AR36" s="14">
        <v>2811</v>
      </c>
      <c r="AS36" s="32"/>
      <c r="AT36" s="14"/>
      <c r="AU36" s="14">
        <f t="shared" si="15"/>
        <v>0.2705</v>
      </c>
      <c r="AV36" s="14">
        <f t="shared" si="16"/>
        <v>0.2705</v>
      </c>
      <c r="AW36" s="14"/>
      <c r="AX36" s="32"/>
      <c r="AY36" s="14"/>
      <c r="AZ36" s="14">
        <f t="shared" si="17"/>
        <v>164.06501250000002</v>
      </c>
      <c r="BA36" s="14">
        <f t="shared" si="18"/>
        <v>164.06501250000002</v>
      </c>
      <c r="BB36" s="14">
        <v>29</v>
      </c>
      <c r="BC36" s="32"/>
      <c r="BD36" s="14"/>
      <c r="BE36" s="14">
        <f t="shared" si="19"/>
        <v>92.40280000000001</v>
      </c>
      <c r="BF36" s="14">
        <f t="shared" si="20"/>
        <v>92.40280000000001</v>
      </c>
      <c r="BG36" s="14">
        <v>16</v>
      </c>
      <c r="BH36" s="32"/>
      <c r="BI36" s="14"/>
      <c r="BJ36" s="14">
        <f t="shared" si="21"/>
        <v>594.2546875</v>
      </c>
      <c r="BK36" s="14">
        <f t="shared" si="22"/>
        <v>594.2546875</v>
      </c>
      <c r="BL36" s="14">
        <v>104</v>
      </c>
      <c r="BM36" s="32"/>
      <c r="BN36" s="14"/>
      <c r="BO36" s="14">
        <f t="shared" si="23"/>
        <v>383.8192125</v>
      </c>
      <c r="BP36" s="14">
        <f t="shared" si="24"/>
        <v>383.8192125</v>
      </c>
      <c r="BQ36" s="14">
        <v>67</v>
      </c>
      <c r="BR36" s="14"/>
      <c r="BS36" s="14"/>
      <c r="BT36" s="14">
        <f t="shared" si="25"/>
        <v>1477.700925</v>
      </c>
      <c r="BU36" s="14">
        <f t="shared" si="26"/>
        <v>1477.700925</v>
      </c>
      <c r="BV36" s="14">
        <v>258</v>
      </c>
      <c r="BW36" s="32"/>
      <c r="BX36" s="14"/>
      <c r="BY36" s="14">
        <f t="shared" si="27"/>
        <v>94.10695</v>
      </c>
      <c r="BZ36" s="14">
        <f t="shared" si="28"/>
        <v>94.10695</v>
      </c>
      <c r="CA36" s="14">
        <v>16</v>
      </c>
      <c r="CB36" s="32"/>
      <c r="CC36" s="14"/>
      <c r="CD36" s="14">
        <f t="shared" si="29"/>
        <v>254.7095625</v>
      </c>
      <c r="CE36" s="14">
        <f t="shared" si="30"/>
        <v>254.7095625</v>
      </c>
      <c r="CF36" s="14">
        <v>45</v>
      </c>
      <c r="CG36" s="32"/>
      <c r="CH36" s="14"/>
      <c r="CI36" s="14">
        <f t="shared" si="31"/>
        <v>1072.7150875</v>
      </c>
      <c r="CJ36" s="14">
        <f t="shared" si="32"/>
        <v>1072.7150875</v>
      </c>
      <c r="CK36" s="14">
        <v>188</v>
      </c>
      <c r="CL36" s="32"/>
      <c r="CM36" s="14"/>
      <c r="CN36" s="14">
        <f t="shared" si="33"/>
        <v>48.541225</v>
      </c>
      <c r="CO36" s="14">
        <f t="shared" si="34"/>
        <v>48.541225</v>
      </c>
      <c r="CP36" s="14">
        <v>2</v>
      </c>
      <c r="CQ36" s="32"/>
      <c r="CR36" s="14"/>
      <c r="CS36" s="14">
        <f t="shared" si="35"/>
        <v>685.9271375000001</v>
      </c>
      <c r="CT36" s="14">
        <f t="shared" si="36"/>
        <v>685.9271375000001</v>
      </c>
      <c r="CU36" s="14">
        <v>120</v>
      </c>
      <c r="CV36" s="32"/>
      <c r="CW36" s="14"/>
      <c r="CX36" s="32">
        <f t="shared" si="37"/>
        <v>328.2247</v>
      </c>
      <c r="CY36" s="14">
        <f t="shared" si="38"/>
        <v>328.2247</v>
      </c>
      <c r="CZ36" s="14">
        <v>57</v>
      </c>
      <c r="DA36" s="32"/>
      <c r="DB36" s="14"/>
      <c r="DC36" s="14">
        <f t="shared" si="39"/>
        <v>545.0777875</v>
      </c>
      <c r="DD36" s="14">
        <f t="shared" si="40"/>
        <v>545.0777875</v>
      </c>
      <c r="DE36" s="14">
        <v>95</v>
      </c>
      <c r="DF36" s="32"/>
      <c r="DG36" s="14"/>
      <c r="DH36" s="14">
        <f t="shared" si="41"/>
        <v>1657.9147875</v>
      </c>
      <c r="DI36" s="14">
        <f t="shared" si="42"/>
        <v>1657.9147875</v>
      </c>
      <c r="DJ36" s="14">
        <v>290</v>
      </c>
      <c r="DK36" s="32"/>
      <c r="DL36" s="14"/>
      <c r="DM36" s="14">
        <f t="shared" si="43"/>
        <v>172.0582875</v>
      </c>
      <c r="DN36" s="14">
        <f t="shared" si="44"/>
        <v>172.0582875</v>
      </c>
      <c r="DO36" s="14">
        <v>30</v>
      </c>
      <c r="DP36" s="32"/>
      <c r="DQ36" s="14"/>
      <c r="DR36" s="14">
        <f t="shared" si="45"/>
        <v>86.93870000000001</v>
      </c>
      <c r="DS36" s="14">
        <f t="shared" si="46"/>
        <v>86.93870000000001</v>
      </c>
      <c r="DT36" s="14">
        <v>15</v>
      </c>
      <c r="DU36" s="32"/>
      <c r="DV36" s="14"/>
      <c r="DW36" s="14">
        <f t="shared" si="47"/>
        <v>23.093937500000003</v>
      </c>
      <c r="DX36" s="14">
        <f t="shared" si="48"/>
        <v>23.093937500000003</v>
      </c>
      <c r="DY36" s="14">
        <v>4</v>
      </c>
      <c r="DZ36" s="32"/>
      <c r="EA36" s="14"/>
      <c r="EB36" s="14">
        <f t="shared" si="49"/>
        <v>754.8234875</v>
      </c>
      <c r="EC36" s="14">
        <f t="shared" si="50"/>
        <v>754.8234875</v>
      </c>
      <c r="ED36" s="14">
        <v>132</v>
      </c>
      <c r="EE36" s="32"/>
      <c r="EF36" s="14"/>
      <c r="EG36" s="14">
        <f t="shared" si="51"/>
        <v>3080.9882375</v>
      </c>
      <c r="EH36" s="14">
        <f t="shared" si="52"/>
        <v>3080.9882375</v>
      </c>
      <c r="EI36" s="14">
        <v>539</v>
      </c>
      <c r="EJ36" s="32"/>
      <c r="EK36" s="14"/>
      <c r="EL36" s="14">
        <f t="shared" si="53"/>
        <v>51.1988875</v>
      </c>
      <c r="EM36" s="14">
        <f t="shared" si="54"/>
        <v>51.1988875</v>
      </c>
      <c r="EN36" s="14">
        <v>9</v>
      </c>
      <c r="EO36" s="32"/>
      <c r="EP36" s="14"/>
      <c r="EQ36" s="14">
        <f t="shared" si="55"/>
        <v>620.0942</v>
      </c>
      <c r="ER36" s="14">
        <f t="shared" si="56"/>
        <v>620.0942</v>
      </c>
      <c r="ES36" s="14">
        <v>108</v>
      </c>
      <c r="ET36" s="32"/>
      <c r="EU36" s="14"/>
      <c r="EV36" s="14">
        <f t="shared" si="57"/>
        <v>257.394275</v>
      </c>
      <c r="EW36" s="14">
        <f t="shared" si="58"/>
        <v>257.394275</v>
      </c>
      <c r="EX36" s="14">
        <v>45</v>
      </c>
      <c r="EY36" s="32"/>
    </row>
    <row r="37" spans="1:155" s="34" customFormat="1" ht="12.75">
      <c r="A37" s="33">
        <v>45383</v>
      </c>
      <c r="C37" s="21">
        <v>2705000</v>
      </c>
      <c r="D37" s="21">
        <v>67625</v>
      </c>
      <c r="E37" s="15">
        <f t="shared" si="0"/>
        <v>2772625</v>
      </c>
      <c r="F37" s="32"/>
      <c r="G37" s="21"/>
      <c r="H37" s="21"/>
      <c r="I37" s="15"/>
      <c r="J37" s="32"/>
      <c r="K37" s="21">
        <v>2705000</v>
      </c>
      <c r="L37" s="21">
        <v>67625</v>
      </c>
      <c r="M37" s="15">
        <f t="shared" si="2"/>
        <v>2772625</v>
      </c>
      <c r="N37" s="15"/>
      <c r="O37" s="32"/>
      <c r="P37" s="14">
        <f t="shared" si="59"/>
        <v>215336.66449999998</v>
      </c>
      <c r="Q37" s="14">
        <f t="shared" si="3"/>
        <v>5383.4166125</v>
      </c>
      <c r="R37" s="32">
        <f t="shared" si="4"/>
        <v>220720.0811125</v>
      </c>
      <c r="S37" s="32">
        <v>944</v>
      </c>
      <c r="T37" s="32"/>
      <c r="U37" s="14">
        <f t="shared" si="60"/>
        <v>239707.09149999998</v>
      </c>
      <c r="V37" s="14">
        <f t="shared" si="5"/>
        <v>5992.6772875</v>
      </c>
      <c r="W37" s="14">
        <f t="shared" si="6"/>
        <v>245699.76878749998</v>
      </c>
      <c r="X37" s="14">
        <v>1036</v>
      </c>
      <c r="Y37" s="32"/>
      <c r="Z37" s="32">
        <f t="shared" si="61"/>
        <v>88515.4445</v>
      </c>
      <c r="AA37" s="14">
        <f t="shared" si="7"/>
        <v>2212.8861125</v>
      </c>
      <c r="AB37" s="14">
        <f t="shared" si="8"/>
        <v>90728.3306125</v>
      </c>
      <c r="AC37" s="14">
        <v>382</v>
      </c>
      <c r="AD37" s="32"/>
      <c r="AE37" s="14">
        <f t="shared" si="62"/>
        <v>66127.2415</v>
      </c>
      <c r="AF37" s="14">
        <f t="shared" si="9"/>
        <v>1653.1810375</v>
      </c>
      <c r="AG37" s="14">
        <f t="shared" si="10"/>
        <v>67780.42253750001</v>
      </c>
      <c r="AH37" s="14">
        <v>289</v>
      </c>
      <c r="AI37" s="32"/>
      <c r="AJ37" s="14">
        <f t="shared" si="63"/>
        <v>88043.96299999999</v>
      </c>
      <c r="AK37" s="14">
        <f t="shared" si="11"/>
        <v>2201.099075</v>
      </c>
      <c r="AL37" s="14">
        <f t="shared" si="12"/>
        <v>90245.062075</v>
      </c>
      <c r="AM37" s="14">
        <v>378</v>
      </c>
      <c r="AN37" s="14"/>
      <c r="AO37" s="14">
        <f t="shared" si="64"/>
        <v>643279.0255</v>
      </c>
      <c r="AP37" s="14">
        <f t="shared" si="13"/>
        <v>16081.975637500002</v>
      </c>
      <c r="AQ37" s="14">
        <f t="shared" si="14"/>
        <v>659361.0011375</v>
      </c>
      <c r="AR37" s="14">
        <v>2823</v>
      </c>
      <c r="AS37" s="32"/>
      <c r="AT37" s="14">
        <f t="shared" si="65"/>
        <v>10.82</v>
      </c>
      <c r="AU37" s="14">
        <f t="shared" si="15"/>
        <v>0.2705</v>
      </c>
      <c r="AV37" s="14">
        <f t="shared" si="16"/>
        <v>11.0905</v>
      </c>
      <c r="AW37" s="14"/>
      <c r="AX37" s="32"/>
      <c r="AY37" s="14">
        <f t="shared" si="66"/>
        <v>6562.6005</v>
      </c>
      <c r="AZ37" s="14">
        <f t="shared" si="17"/>
        <v>164.06501250000002</v>
      </c>
      <c r="BA37" s="14">
        <f t="shared" si="18"/>
        <v>6726.6655125</v>
      </c>
      <c r="BB37" s="14">
        <v>19</v>
      </c>
      <c r="BC37" s="32"/>
      <c r="BD37" s="14">
        <f t="shared" si="67"/>
        <v>3696.112</v>
      </c>
      <c r="BE37" s="14">
        <f t="shared" si="19"/>
        <v>92.40280000000001</v>
      </c>
      <c r="BF37" s="14">
        <f t="shared" si="20"/>
        <v>3788.5148</v>
      </c>
      <c r="BG37" s="14">
        <v>21</v>
      </c>
      <c r="BH37" s="32"/>
      <c r="BI37" s="14">
        <f t="shared" si="68"/>
        <v>23770.1875</v>
      </c>
      <c r="BJ37" s="14">
        <f t="shared" si="21"/>
        <v>594.2546875</v>
      </c>
      <c r="BK37" s="14">
        <f t="shared" si="22"/>
        <v>24364.4421875</v>
      </c>
      <c r="BL37" s="14">
        <v>100</v>
      </c>
      <c r="BM37" s="32"/>
      <c r="BN37" s="14">
        <f t="shared" si="69"/>
        <v>15352.7685</v>
      </c>
      <c r="BO37" s="14">
        <f t="shared" si="23"/>
        <v>383.8192125</v>
      </c>
      <c r="BP37" s="14">
        <f t="shared" si="24"/>
        <v>15736.5877125</v>
      </c>
      <c r="BQ37" s="14">
        <v>70</v>
      </c>
      <c r="BR37" s="14"/>
      <c r="BS37" s="14">
        <f t="shared" si="70"/>
        <v>59108.037000000004</v>
      </c>
      <c r="BT37" s="14">
        <f t="shared" si="25"/>
        <v>1477.700925</v>
      </c>
      <c r="BU37" s="14">
        <f t="shared" si="26"/>
        <v>60585.737925</v>
      </c>
      <c r="BV37" s="14">
        <v>268</v>
      </c>
      <c r="BW37" s="32"/>
      <c r="BX37" s="14">
        <f t="shared" si="71"/>
        <v>3764.278</v>
      </c>
      <c r="BY37" s="14">
        <f t="shared" si="27"/>
        <v>94.10695</v>
      </c>
      <c r="BZ37" s="14">
        <f t="shared" si="28"/>
        <v>3858.3849499999997</v>
      </c>
      <c r="CA37" s="14">
        <v>30</v>
      </c>
      <c r="CB37" s="32"/>
      <c r="CC37" s="14">
        <f t="shared" si="72"/>
        <v>10188.3825</v>
      </c>
      <c r="CD37" s="14">
        <f t="shared" si="29"/>
        <v>254.7095625</v>
      </c>
      <c r="CE37" s="14">
        <f t="shared" si="30"/>
        <v>10443.0920625</v>
      </c>
      <c r="CF37" s="14">
        <v>30</v>
      </c>
      <c r="CG37" s="32"/>
      <c r="CH37" s="14">
        <f t="shared" si="73"/>
        <v>42908.603500000005</v>
      </c>
      <c r="CI37" s="14">
        <f t="shared" si="31"/>
        <v>1072.7150875</v>
      </c>
      <c r="CJ37" s="14">
        <f t="shared" si="32"/>
        <v>43981.318587500005</v>
      </c>
      <c r="CK37" s="14">
        <v>173</v>
      </c>
      <c r="CL37" s="32"/>
      <c r="CM37" s="14">
        <f t="shared" si="74"/>
        <v>1941.649</v>
      </c>
      <c r="CN37" s="14">
        <f t="shared" si="33"/>
        <v>48.541225</v>
      </c>
      <c r="CO37" s="14">
        <f t="shared" si="34"/>
        <v>1990.1902249999998</v>
      </c>
      <c r="CP37" s="14"/>
      <c r="CQ37" s="32"/>
      <c r="CR37" s="14">
        <f t="shared" si="75"/>
        <v>27437.0855</v>
      </c>
      <c r="CS37" s="14">
        <f t="shared" si="35"/>
        <v>685.9271375000001</v>
      </c>
      <c r="CT37" s="14">
        <f t="shared" si="36"/>
        <v>28123.0126375</v>
      </c>
      <c r="CU37" s="14">
        <v>117</v>
      </c>
      <c r="CV37" s="32"/>
      <c r="CW37" s="14">
        <f t="shared" si="76"/>
        <v>13128.988000000001</v>
      </c>
      <c r="CX37" s="32">
        <f t="shared" si="37"/>
        <v>328.2247</v>
      </c>
      <c r="CY37" s="14">
        <f t="shared" si="38"/>
        <v>13457.212700000002</v>
      </c>
      <c r="CZ37" s="14">
        <v>69</v>
      </c>
      <c r="DA37" s="32"/>
      <c r="DB37" s="14">
        <f t="shared" si="77"/>
        <v>21803.1115</v>
      </c>
      <c r="DC37" s="14">
        <f t="shared" si="39"/>
        <v>545.0777875</v>
      </c>
      <c r="DD37" s="14">
        <f t="shared" si="40"/>
        <v>22348.189287499998</v>
      </c>
      <c r="DE37" s="14">
        <v>104</v>
      </c>
      <c r="DF37" s="32"/>
      <c r="DG37" s="14">
        <f t="shared" si="78"/>
        <v>66316.59150000001</v>
      </c>
      <c r="DH37" s="14">
        <f t="shared" si="41"/>
        <v>1657.9147875</v>
      </c>
      <c r="DI37" s="14">
        <f t="shared" si="42"/>
        <v>67974.50628750001</v>
      </c>
      <c r="DJ37" s="14">
        <v>285</v>
      </c>
      <c r="DK37" s="32"/>
      <c r="DL37" s="14">
        <f t="shared" si="79"/>
        <v>6882.3315</v>
      </c>
      <c r="DM37" s="14">
        <f t="shared" si="43"/>
        <v>172.0582875</v>
      </c>
      <c r="DN37" s="14">
        <f t="shared" si="44"/>
        <v>7054.3897875</v>
      </c>
      <c r="DO37" s="14">
        <v>33</v>
      </c>
      <c r="DP37" s="32"/>
      <c r="DQ37" s="14">
        <f t="shared" si="80"/>
        <v>3477.5480000000007</v>
      </c>
      <c r="DR37" s="14">
        <f t="shared" si="45"/>
        <v>86.93870000000001</v>
      </c>
      <c r="DS37" s="14">
        <f t="shared" si="46"/>
        <v>3564.486700000001</v>
      </c>
      <c r="DT37" s="14">
        <v>21</v>
      </c>
      <c r="DU37" s="32"/>
      <c r="DV37" s="14">
        <f t="shared" si="81"/>
        <v>923.7575</v>
      </c>
      <c r="DW37" s="14">
        <f t="shared" si="47"/>
        <v>23.093937500000003</v>
      </c>
      <c r="DX37" s="14">
        <f t="shared" si="48"/>
        <v>946.8514375000001</v>
      </c>
      <c r="DY37" s="14">
        <v>5</v>
      </c>
      <c r="DZ37" s="32"/>
      <c r="EA37" s="14">
        <f t="shared" si="82"/>
        <v>30192.9395</v>
      </c>
      <c r="EB37" s="14">
        <f t="shared" si="49"/>
        <v>754.8234875</v>
      </c>
      <c r="EC37" s="14">
        <f t="shared" si="50"/>
        <v>30947.762987500002</v>
      </c>
      <c r="ED37" s="14">
        <v>131</v>
      </c>
      <c r="EE37" s="32"/>
      <c r="EF37" s="14">
        <f t="shared" si="83"/>
        <v>123239.5295</v>
      </c>
      <c r="EG37" s="14">
        <f t="shared" si="51"/>
        <v>3080.9882375</v>
      </c>
      <c r="EH37" s="14">
        <f t="shared" si="52"/>
        <v>126320.5177375</v>
      </c>
      <c r="EI37" s="14">
        <v>526</v>
      </c>
      <c r="EJ37" s="32"/>
      <c r="EK37" s="14">
        <f t="shared" si="84"/>
        <v>2047.9554999999998</v>
      </c>
      <c r="EL37" s="14">
        <f t="shared" si="53"/>
        <v>51.1988875</v>
      </c>
      <c r="EM37" s="14">
        <f t="shared" si="54"/>
        <v>2099.1543874999998</v>
      </c>
      <c r="EN37" s="14">
        <v>7</v>
      </c>
      <c r="EO37" s="32"/>
      <c r="EP37" s="14">
        <f t="shared" si="85"/>
        <v>24803.767999999996</v>
      </c>
      <c r="EQ37" s="14">
        <f t="shared" si="55"/>
        <v>620.0942</v>
      </c>
      <c r="ER37" s="14">
        <f t="shared" si="56"/>
        <v>25423.862199999996</v>
      </c>
      <c r="ES37" s="14">
        <v>121</v>
      </c>
      <c r="ET37" s="32"/>
      <c r="EU37" s="14">
        <f t="shared" si="86"/>
        <v>10295.771</v>
      </c>
      <c r="EV37" s="14">
        <f t="shared" si="57"/>
        <v>257.394275</v>
      </c>
      <c r="EW37" s="14">
        <f t="shared" si="58"/>
        <v>10553.165275000001</v>
      </c>
      <c r="EX37" s="14">
        <v>45</v>
      </c>
      <c r="EY37" s="32"/>
    </row>
    <row r="38" ht="12.75">
      <c r="Z38" s="32"/>
    </row>
    <row r="39" spans="1:154" ht="13.5" thickBot="1">
      <c r="A39" s="12" t="s">
        <v>0</v>
      </c>
      <c r="C39" s="31">
        <f>SUM(C8:C38)</f>
        <v>30470000</v>
      </c>
      <c r="D39" s="31">
        <f>SUM(D8:D38)</f>
        <v>13338628</v>
      </c>
      <c r="E39" s="31">
        <f>SUM(E8:E38)</f>
        <v>43808628</v>
      </c>
      <c r="G39" s="31">
        <f>SUM(G8:G38)</f>
        <v>890000</v>
      </c>
      <c r="H39" s="31">
        <f>SUM(H8:H38)</f>
        <v>326252</v>
      </c>
      <c r="I39" s="31">
        <f>SUM(I8:I38)</f>
        <v>1216252</v>
      </c>
      <c r="K39" s="31">
        <f>SUM(K8:K38)</f>
        <v>29580000</v>
      </c>
      <c r="L39" s="31">
        <f>SUM(L8:L38)</f>
        <v>13012376</v>
      </c>
      <c r="M39" s="31">
        <f>SUM(M8:M38)</f>
        <v>42592376</v>
      </c>
      <c r="N39" s="21"/>
      <c r="P39" s="31">
        <f>SUM(P8:P38)</f>
        <v>2354772.102</v>
      </c>
      <c r="Q39" s="31">
        <f>SUM(Q8:Q38)</f>
        <v>1035874.9149944001</v>
      </c>
      <c r="R39" s="31">
        <f>SUM(R8:R38)</f>
        <v>3390647.0169943995</v>
      </c>
      <c r="S39" s="31">
        <f>SUM(S8:S38)</f>
        <v>28233</v>
      </c>
      <c r="U39" s="31">
        <f>SUM(U8:U38)</f>
        <v>2621270.1540000006</v>
      </c>
      <c r="V39" s="31">
        <f>SUM(V8:V38)</f>
        <v>1153108.6153287995</v>
      </c>
      <c r="W39" s="31">
        <f>SUM(W8:W38)</f>
        <v>3774378.7693288</v>
      </c>
      <c r="X39" s="31">
        <f>SUM(X8:X38)</f>
        <v>31428</v>
      </c>
      <c r="Z39" s="31">
        <f>SUM(Z8:Z38)</f>
        <v>967943.382</v>
      </c>
      <c r="AA39" s="31">
        <f>SUM(AA8:AA38)</f>
        <v>425802.6786103999</v>
      </c>
      <c r="AB39" s="31">
        <f>SUM(AB8:AB38)</f>
        <v>1393746.0606103998</v>
      </c>
      <c r="AC39" s="31">
        <f>SUM(AC8:AC38)</f>
        <v>11605</v>
      </c>
      <c r="AE39" s="31">
        <f>SUM(AE8:AE38)</f>
        <v>723121.5540000001</v>
      </c>
      <c r="AF39" s="31">
        <f>SUM(AF8:AF38)</f>
        <v>318104.4474087999</v>
      </c>
      <c r="AG39" s="31">
        <f>SUM(AG8:AG38)</f>
        <v>1041226.0014088001</v>
      </c>
      <c r="AH39" s="31">
        <f>SUM(AH8:AH38)</f>
        <v>8670</v>
      </c>
      <c r="AJ39" s="31">
        <f>SUM(AJ8:AJ38)</f>
        <v>962787.5880000001</v>
      </c>
      <c r="AK39" s="31">
        <f>SUM(AK8:AK38)</f>
        <v>423534.6214735999</v>
      </c>
      <c r="AL39" s="31">
        <f>SUM(AL8:AL38)</f>
        <v>1386322.2094736001</v>
      </c>
      <c r="AM39" s="31">
        <f>SUM(AM8:AM38)</f>
        <v>11543</v>
      </c>
      <c r="AN39" s="31"/>
      <c r="AO39" s="31">
        <f>SUM(AO8:AO38)</f>
        <v>7034452.3379999995</v>
      </c>
      <c r="AP39" s="31">
        <f>SUM(AP8:AP38)</f>
        <v>3094487.4501736006</v>
      </c>
      <c r="AQ39" s="31">
        <f>SUM(AQ8:AQ38)</f>
        <v>10128939.788173601</v>
      </c>
      <c r="AR39" s="31">
        <f>SUM(AR8:AR38)</f>
        <v>84342</v>
      </c>
      <c r="AT39" s="31">
        <f>SUM(AT8:AT38)</f>
        <v>118.32000000000002</v>
      </c>
      <c r="AU39" s="31">
        <f>SUM(AU8:AU38)</f>
        <v>52.049504000000006</v>
      </c>
      <c r="AV39" s="31">
        <f>SUM(AV8:AV38)</f>
        <v>170.369504</v>
      </c>
      <c r="AW39" s="31">
        <f>SUM(AW8:AW38)</f>
        <v>0</v>
      </c>
      <c r="AY39" s="31">
        <f>SUM(AY8:AY38)</f>
        <v>71764.038</v>
      </c>
      <c r="AZ39" s="31">
        <f>SUM(AZ8:AZ38)</f>
        <v>31569.32541360001</v>
      </c>
      <c r="BA39" s="31">
        <f>SUM(BA8:BA38)</f>
        <v>103333.3634136</v>
      </c>
      <c r="BB39" s="31">
        <f>SUM(BB8:BB38)</f>
        <v>860</v>
      </c>
      <c r="BD39" s="31">
        <f>SUM(BD8:BD38)</f>
        <v>40418.11200000001</v>
      </c>
      <c r="BE39" s="31">
        <f>SUM(BE8:BE38)</f>
        <v>17780.110566399995</v>
      </c>
      <c r="BF39" s="31">
        <f>SUM(BF8:BF38)</f>
        <v>58198.22256639999</v>
      </c>
      <c r="BG39" s="31">
        <f>SUM(BG8:BG38)</f>
        <v>485</v>
      </c>
      <c r="BI39" s="31">
        <f>SUM(BI8:BI38)</f>
        <v>259934.25</v>
      </c>
      <c r="BJ39" s="31">
        <f>SUM(BJ8:BJ38)</f>
        <v>114346.25409999996</v>
      </c>
      <c r="BK39" s="31">
        <f>SUM(BK8:BK38)</f>
        <v>374280.5041000001</v>
      </c>
      <c r="BL39" s="31">
        <f>SUM(BL8:BL38)</f>
        <v>3116</v>
      </c>
      <c r="BN39" s="31">
        <f>SUM(BN8:BN38)</f>
        <v>167887.20599999998</v>
      </c>
      <c r="BO39" s="31">
        <f>SUM(BO8:BO38)</f>
        <v>73854.34246320001</v>
      </c>
      <c r="BP39" s="31">
        <f>SUM(BP8:BP38)</f>
        <v>241741.54846320002</v>
      </c>
      <c r="BQ39" s="31">
        <f>SUM(BQ8:BQ38)</f>
        <v>2013</v>
      </c>
      <c r="BR39" s="21"/>
      <c r="BS39" s="31">
        <f>SUM(BS8:BS38)</f>
        <v>646364.412</v>
      </c>
      <c r="BT39" s="31">
        <f>SUM(BT8:BT38)</f>
        <v>284338.63292640005</v>
      </c>
      <c r="BU39" s="31">
        <f>SUM(BU8:BU38)</f>
        <v>930703.0449264001</v>
      </c>
      <c r="BV39" s="31">
        <f>SUM(BV8:BV38)</f>
        <v>7750</v>
      </c>
      <c r="BX39" s="31">
        <f>SUM(BX8:BX38)</f>
        <v>41163.528</v>
      </c>
      <c r="BY39" s="31">
        <f>SUM(BY8:BY38)</f>
        <v>18108.022441600002</v>
      </c>
      <c r="BZ39" s="31">
        <f>SUM(BZ8:BZ38)</f>
        <v>59271.5504416</v>
      </c>
      <c r="CA39" s="31">
        <f>SUM(CA8:CA38)</f>
        <v>494</v>
      </c>
      <c r="CC39" s="31">
        <f>SUM(CC8:CC38)</f>
        <v>111413.06999999998</v>
      </c>
      <c r="CD39" s="31">
        <f>SUM(CD8:CD38)</f>
        <v>49011.11420400001</v>
      </c>
      <c r="CE39" s="31">
        <f>SUM(CE8:CE38)</f>
        <v>160424.184204</v>
      </c>
      <c r="CF39" s="31">
        <f>SUM(CF8:CF38)</f>
        <v>1335</v>
      </c>
      <c r="CH39" s="31">
        <f>SUM(CH8:CH38)</f>
        <v>469218.6660000001</v>
      </c>
      <c r="CI39" s="31">
        <f>SUM(CI8:CI38)</f>
        <v>206411.41677520002</v>
      </c>
      <c r="CJ39" s="31">
        <f>SUM(CJ8:CJ38)</f>
        <v>675630.0827751999</v>
      </c>
      <c r="CK39" s="31">
        <f>SUM(CK8:CK38)</f>
        <v>5625</v>
      </c>
      <c r="CM39" s="31">
        <f>SUM(CM8:CM38)</f>
        <v>21232.523999999998</v>
      </c>
      <c r="CN39" s="31">
        <f>SUM(CN8:CN38)</f>
        <v>9340.2834928</v>
      </c>
      <c r="CO39" s="31">
        <f>SUM(CO8:CO38)</f>
        <v>30572.8074928</v>
      </c>
      <c r="CP39" s="31">
        <f>SUM(CP8:CP38)</f>
        <v>254</v>
      </c>
      <c r="CR39" s="31">
        <f>SUM(CR8:CR38)</f>
        <v>300032.898</v>
      </c>
      <c r="CS39" s="31">
        <f>SUM(CS8:CS38)</f>
        <v>131985.8310056</v>
      </c>
      <c r="CT39" s="31">
        <f>SUM(CT8:CT38)</f>
        <v>432018.7290056001</v>
      </c>
      <c r="CU39" s="31">
        <f>SUM(CU8:CU38)</f>
        <v>3597</v>
      </c>
      <c r="CW39" s="31">
        <f>SUM(CW8:CW38)</f>
        <v>143569.488</v>
      </c>
      <c r="CX39" s="31">
        <f>SUM(CX8:CX38)</f>
        <v>63156.86815359998</v>
      </c>
      <c r="CY39" s="31">
        <f>SUM(CY8:CY38)</f>
        <v>206726.35615359998</v>
      </c>
      <c r="CZ39" s="31">
        <f>SUM(CZ8:CZ38)</f>
        <v>1722</v>
      </c>
      <c r="DB39" s="31">
        <f>SUM(DB8:DB38)</f>
        <v>238423.67400000003</v>
      </c>
      <c r="DC39" s="31">
        <f>SUM(DC8:DC38)</f>
        <v>104883.65427280003</v>
      </c>
      <c r="DD39" s="31">
        <f>SUM(DD8:DD38)</f>
        <v>343307.3282728</v>
      </c>
      <c r="DE39" s="31">
        <f>SUM(DE8:DE38)</f>
        <v>2859</v>
      </c>
      <c r="DG39" s="31">
        <f>SUM(DG8:DG38)</f>
        <v>725192.1540000001</v>
      </c>
      <c r="DH39" s="31">
        <f>SUM(DH8:DH38)</f>
        <v>319015.31372879987</v>
      </c>
      <c r="DI39" s="31">
        <f>SUM(DI8:DI38)</f>
        <v>1044207.4677288</v>
      </c>
      <c r="DJ39" s="31">
        <f>SUM(DJ8:DJ38)</f>
        <v>8695</v>
      </c>
      <c r="DL39" s="31">
        <f>SUM(DL8:DL38)</f>
        <v>75260.39399999999</v>
      </c>
      <c r="DM39" s="31">
        <f>SUM(DM8:DM38)</f>
        <v>33107.38825680001</v>
      </c>
      <c r="DN39" s="31">
        <f>SUM(DN8:DN38)</f>
        <v>108367.78225679997</v>
      </c>
      <c r="DO39" s="31">
        <f>SUM(DO8:DO38)</f>
        <v>903</v>
      </c>
      <c r="DQ39" s="31">
        <f>SUM(DQ8:DQ38)</f>
        <v>38028.048</v>
      </c>
      <c r="DR39" s="31">
        <f>SUM(DR8:DR38)</f>
        <v>16728.710585599998</v>
      </c>
      <c r="DS39" s="31">
        <f>SUM(DS8:DS38)</f>
        <v>54756.7585856</v>
      </c>
      <c r="DT39" s="31">
        <f>SUM(DT8:DT38)</f>
        <v>456</v>
      </c>
      <c r="DV39" s="31">
        <f>SUM(DV8:DV38)</f>
        <v>10101.569999999998</v>
      </c>
      <c r="DW39" s="31">
        <f>SUM(DW8:DW38)</f>
        <v>4443.726404</v>
      </c>
      <c r="DX39" s="31">
        <f>SUM(DX8:DX38)</f>
        <v>14545.296403999999</v>
      </c>
      <c r="DY39" s="31">
        <f>SUM(DY8:DY38)</f>
        <v>121</v>
      </c>
      <c r="EA39" s="31">
        <f>SUM(EA8:EA38)</f>
        <v>330169.00200000004</v>
      </c>
      <c r="EB39" s="31">
        <f>SUM(EB8:EB38)</f>
        <v>145242.8396744</v>
      </c>
      <c r="EC39" s="31">
        <f>SUM(EC8:EC38)</f>
        <v>475411.84167439997</v>
      </c>
      <c r="ED39" s="31">
        <f>SUM(ED8:ED38)</f>
        <v>3959</v>
      </c>
      <c r="EF39" s="31">
        <f>SUM(EF8:EF38)</f>
        <v>1347661.8420000002</v>
      </c>
      <c r="EG39" s="31">
        <f>SUM(EG8:EG38)</f>
        <v>592842.5493224001</v>
      </c>
      <c r="EH39" s="31">
        <f>SUM(EH8:EH38)</f>
        <v>1940504.3913223995</v>
      </c>
      <c r="EI39" s="31">
        <f>SUM(EI8:EI38)</f>
        <v>16157</v>
      </c>
      <c r="EK39" s="31">
        <f>SUM(EK8:EK38)</f>
        <v>22395.018</v>
      </c>
      <c r="EL39" s="31">
        <f>SUM(EL8:EL38)</f>
        <v>9851.669869600002</v>
      </c>
      <c r="EM39" s="31">
        <f>SUM(EM8:EM38)</f>
        <v>32246.687869600006</v>
      </c>
      <c r="EN39" s="31">
        <f>SUM(EN8:EN38)</f>
        <v>268</v>
      </c>
      <c r="EP39" s="31">
        <f>SUM(EP8:EP38)</f>
        <v>271236.768</v>
      </c>
      <c r="EQ39" s="31">
        <f>SUM(EQ8:EQ38)</f>
        <v>119318.28296960003</v>
      </c>
      <c r="ER39" s="31">
        <f>SUM(ER8:ER38)</f>
        <v>390555.0509695999</v>
      </c>
      <c r="ES39" s="31">
        <f>SUM(ES8:ES38)</f>
        <v>3253</v>
      </c>
      <c r="EU39" s="31">
        <f>SUM(EU8:EU38)</f>
        <v>112587.39599999998</v>
      </c>
      <c r="EV39" s="31">
        <f>SUM(EV8:EV38)</f>
        <v>49527.70553120001</v>
      </c>
      <c r="EW39" s="31">
        <f>SUM(EW8:EW38)</f>
        <v>162115.1015312</v>
      </c>
      <c r="EX39" s="31">
        <f>SUM(EX8:EX38)</f>
        <v>1350</v>
      </c>
    </row>
    <row r="40" ht="13.5" thickTop="1"/>
    <row r="51" spans="1:14" ht="12.75">
      <c r="A51"/>
      <c r="C51"/>
      <c r="D51"/>
      <c r="E51"/>
      <c r="F51"/>
      <c r="G51"/>
      <c r="H51"/>
      <c r="I51"/>
      <c r="J51"/>
      <c r="K51"/>
      <c r="L51"/>
      <c r="M51"/>
      <c r="N51"/>
    </row>
    <row r="52" spans="1:14" ht="12.75">
      <c r="A52"/>
      <c r="C52"/>
      <c r="D52"/>
      <c r="E52"/>
      <c r="F52"/>
      <c r="G52"/>
      <c r="H52"/>
      <c r="I52"/>
      <c r="J52"/>
      <c r="K52"/>
      <c r="L52"/>
      <c r="M52"/>
      <c r="N52"/>
    </row>
    <row r="53" spans="1:3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12.75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ht="12.75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ht="12.75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ht="12.75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ht="12.75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ht="12.75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5:32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5:32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</sheetData>
  <sheetProtection/>
  <printOptions/>
  <pageMargins left="0.75" right="0.75" top="0.25" bottom="0.5" header="0.25" footer="0.25"/>
  <pageSetup horizontalDpi="600" verticalDpi="600" orientation="landscape" scale="85" r:id="rId1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2009-05-07T15:10:17Z</cp:lastPrinted>
  <dcterms:created xsi:type="dcterms:W3CDTF">1998-02-23T20:58:01Z</dcterms:created>
  <dcterms:modified xsi:type="dcterms:W3CDTF">2009-12-09T21:57:19Z</dcterms:modified>
  <cp:category/>
  <cp:version/>
  <cp:contentType/>
  <cp:contentStatus/>
</cp:coreProperties>
</file>