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0" windowWidth="7680" windowHeight="4830" tabRatio="903" activeTab="0"/>
  </bookViews>
  <sheets>
    <sheet name="2005A" sheetId="1" r:id="rId1"/>
    <sheet name="Academic Project" sheetId="2" r:id="rId2"/>
  </sheets>
  <definedNames>
    <definedName name="_xlnm.Print_Titles" localSheetId="0">'2005A'!$A:$A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<sst xmlns="http://schemas.openxmlformats.org/spreadsheetml/2006/main" count="413" uniqueCount="62">
  <si>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</si>
  <si>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</si>
  <si>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</si>
  <si>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</si>
  <si>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</si>
  <si>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</si>
  <si>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</si>
  <si>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</si>
  <si>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</si>
  <si>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     UMES Utilities Upgrade (Academic)</t>
  </si>
  <si>
    <t xml:space="preserve"> UMBC Equip Information Tech Bldg (Academic)</t>
  </si>
  <si>
    <t xml:space="preserve">     UMCP Health Center Addition (Auxiliary)</t>
  </si>
  <si>
    <t>UMCP South Campus Parking Garage (Auxiliary)</t>
  </si>
  <si>
    <t xml:space="preserve">   UMCP Queen Anne's Hall Renov (Auxiliary)</t>
  </si>
  <si>
    <t xml:space="preserve">        UMES Facilities Renewal (Academic)</t>
  </si>
  <si>
    <t xml:space="preserve">        BSU Facilities Renewal (Academic)</t>
  </si>
  <si>
    <t xml:space="preserve">        CSU Facilities Renewal (Academic)</t>
  </si>
  <si>
    <t xml:space="preserve">        FSU Facilities Renewal (Academic)</t>
  </si>
  <si>
    <t xml:space="preserve">        SU Facilities Renewal (Academic)</t>
  </si>
  <si>
    <t xml:space="preserve">         TU Fine Arts Center (Academic)</t>
  </si>
  <si>
    <t xml:space="preserve">          TU New Child Care Center (Auxiliary)</t>
  </si>
  <si>
    <t xml:space="preserve">        UB New Student Center (Auxiliary)</t>
  </si>
  <si>
    <t xml:space="preserve">      Total Debt Services - 2005 Series A</t>
  </si>
  <si>
    <t xml:space="preserve">    1995 Series A Bonds Refinanced on 2005A</t>
  </si>
  <si>
    <t xml:space="preserve">          Total New Money - 2005 Series A</t>
  </si>
  <si>
    <t xml:space="preserve">           Total Academic Projects - 2005A</t>
  </si>
  <si>
    <t xml:space="preserve">           Total Auxiliary Projects - 2005A</t>
  </si>
  <si>
    <t xml:space="preserve">    1996 Series A Bonds Refinanced on 2005A</t>
  </si>
  <si>
    <t xml:space="preserve">    1997 Series A Bonds Refinanced on 2005A</t>
  </si>
  <si>
    <t xml:space="preserve">    1998 Series A Bonds Refinanced on 2005A</t>
  </si>
  <si>
    <t xml:space="preserve">    1999 Series A Bonds Refinanced on 2005A</t>
  </si>
  <si>
    <t xml:space="preserve">    2000 Series A Bonds Refinanced on 2005A</t>
  </si>
  <si>
    <t>2005 Series A Bond Funded Projects</t>
  </si>
  <si>
    <t xml:space="preserve">   UMCP Emergency Fund Projects (Academic)</t>
  </si>
  <si>
    <t xml:space="preserve">           UMB Facilities Renewal (Academic)</t>
  </si>
  <si>
    <t xml:space="preserve">          UMB New Dental School (Academic)</t>
  </si>
  <si>
    <t xml:space="preserve"> UMES Social Sci/Education Health (Academic)</t>
  </si>
  <si>
    <t xml:space="preserve">      UMBC Facilities Renewal (Academic)</t>
  </si>
  <si>
    <t xml:space="preserve">   UMBC Emergency Fund Projects (Academic)</t>
  </si>
  <si>
    <t xml:space="preserve">      CEES Facilities Renewal (Academic)</t>
  </si>
  <si>
    <t xml:space="preserve">    USM Emergency Fund Projects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</si>
  <si>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</si>
  <si>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</si>
  <si>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</si>
  <si>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UMB Pine Street Annex  (Auxiliary)</t>
  </si>
  <si>
    <t xml:space="preserve">     UMES Murphy Hall Renovation  (Auxiliary)</t>
  </si>
  <si>
    <t xml:space="preserve">        UMES New Residence Hall  (Auxiliary)</t>
  </si>
  <si>
    <t xml:space="preserve"> UMES New Student Services Center 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</si>
  <si>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</si>
  <si>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</si>
  <si>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</si>
  <si>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</si>
  <si>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</si>
  <si>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BSU Holmes Hall/Tubman Hall Renov (Auxiliary)</t>
  </si>
  <si>
    <t xml:space="preserve">        TU 7800 York Road Garage (Auxiliary)</t>
  </si>
  <si>
    <t xml:space="preserve"> </t>
  </si>
  <si>
    <t xml:space="preserve">         TU Towsontown Garage (Auxiliary)</t>
  </si>
  <si>
    <t xml:space="preserve">      TU Towson Center Arena (Auxiliary)</t>
  </si>
  <si>
    <t xml:space="preserve">     CEES Aquaculture Building (Academic)</t>
  </si>
  <si>
    <t>Amort of</t>
  </si>
  <si>
    <t>Premium</t>
  </si>
  <si>
    <t>Loss on Refunding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</si>
</sst>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67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41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81"/>
  <sheetViews>
    <sheetView tabSelected="1" zoomScalePageLayoutView="0" workbookViewId="0" topLeftCell="A1">
      <pane xSplit="1" ySplit="7" topLeftCell="B3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34" sqref="F34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6" customWidth="1"/>
    <col min="7" max="7" width="16.8515625" style="16" customWidth="1"/>
    <col min="8" max="8" width="3.7109375" style="15" customWidth="1"/>
    <col min="9" max="13" width="13.7109375" style="15" hidden="1" customWidth="1"/>
    <col min="14" max="14" width="3.7109375" style="15" hidden="1" customWidth="1"/>
    <col min="15" max="18" width="13.7109375" style="15" hidden="1" customWidth="1"/>
    <col min="19" max="19" width="15.8515625" style="15" hidden="1" customWidth="1"/>
    <col min="20" max="20" width="3.7109375" style="15" hidden="1" customWidth="1"/>
    <col min="21" max="24" width="13.7109375" style="15" customWidth="1"/>
    <col min="25" max="25" width="16.57421875" style="15" customWidth="1"/>
    <col min="26" max="26" width="3.7109375" style="15" customWidth="1"/>
    <col min="27" max="30" width="13.7109375" style="15" customWidth="1"/>
    <col min="31" max="31" width="16.00390625" style="15" customWidth="1"/>
    <col min="32" max="32" width="3.7109375" style="15" customWidth="1"/>
    <col min="33" max="36" width="13.7109375" style="15" customWidth="1"/>
    <col min="37" max="37" width="16.57421875" style="15" customWidth="1"/>
    <col min="38" max="38" width="3.7109375" style="15" customWidth="1"/>
    <col min="39" max="42" width="13.7109375" style="15" customWidth="1"/>
    <col min="43" max="43" width="16.140625" style="15" customWidth="1"/>
    <col min="44" max="44" width="3.7109375" style="15" customWidth="1"/>
    <col min="45" max="48" width="13.7109375" style="15" customWidth="1"/>
    <col min="49" max="49" width="3.7109375" style="15" customWidth="1"/>
    <col min="50" max="53" width="13.7109375" style="15" customWidth="1"/>
    <col min="54" max="54" width="3.7109375" style="15" customWidth="1"/>
    <col min="55" max="58" width="13.7109375" style="0" customWidth="1"/>
    <col min="59" max="59" width="3.7109375" style="15" customWidth="1"/>
    <col min="60" max="63" width="13.7109375" style="0" customWidth="1"/>
    <col min="64" max="64" width="3.7109375" style="0" customWidth="1"/>
    <col min="65" max="68" width="13.7109375" style="0" customWidth="1"/>
    <col min="69" max="69" width="3.7109375" style="0" customWidth="1"/>
    <col min="70" max="73" width="13.7109375" style="0" customWidth="1"/>
    <col min="74" max="74" width="3.7109375" style="0" customWidth="1"/>
    <col min="75" max="78" width="13.7109375" style="0" customWidth="1"/>
    <col min="79" max="79" width="3.7109375" style="3" customWidth="1"/>
    <col min="80" max="83" width="13.7109375" style="3" customWidth="1"/>
    <col min="84" max="84" width="3.7109375" style="3" customWidth="1"/>
    <col min="85" max="88" width="13.7109375" style="3" customWidth="1"/>
    <col min="89" max="89" width="3.7109375" style="3" customWidth="1"/>
    <col min="90" max="93" width="13.7109375" style="3" customWidth="1"/>
    <col min="94" max="94" width="3.7109375" style="3" customWidth="1"/>
    <col min="95" max="98" width="13.7109375" style="3" customWidth="1"/>
    <col min="99" max="99" width="3.7109375" style="3" customWidth="1"/>
    <col min="100" max="103" width="13.7109375" style="3" customWidth="1"/>
    <col min="104" max="104" width="3.7109375" style="3" customWidth="1"/>
    <col min="105" max="108" width="13.7109375" style="3" customWidth="1"/>
    <col min="109" max="109" width="3.7109375" style="3" customWidth="1"/>
    <col min="110" max="113" width="13.7109375" style="3" customWidth="1"/>
    <col min="114" max="114" width="3.7109375" style="3" customWidth="1"/>
    <col min="115" max="118" width="13.7109375" style="3" customWidth="1"/>
    <col min="119" max="119" width="3.7109375" style="3" customWidth="1"/>
    <col min="120" max="123" width="13.7109375" style="3" customWidth="1"/>
    <col min="124" max="124" width="3.7109375" style="3" customWidth="1"/>
    <col min="125" max="128" width="13.7109375" style="3" customWidth="1"/>
    <col min="129" max="129" width="3.7109375" style="3" customWidth="1"/>
    <col min="130" max="133" width="13.7109375" style="3" customWidth="1"/>
    <col min="134" max="134" width="3.7109375" style="3" customWidth="1"/>
    <col min="135" max="138" width="13.7109375" style="3" customWidth="1"/>
    <col min="139" max="139" width="3.7109375" style="3" customWidth="1"/>
    <col min="140" max="143" width="13.7109375" style="3" customWidth="1"/>
    <col min="144" max="144" width="3.7109375" style="3" customWidth="1"/>
    <col min="145" max="148" width="13.7109375" style="3" customWidth="1"/>
    <col min="149" max="149" width="3.7109375" style="3" customWidth="1"/>
    <col min="150" max="153" width="13.7109375" style="3" customWidth="1"/>
    <col min="154" max="154" width="3.7109375" style="3" customWidth="1"/>
    <col min="155" max="158" width="13.7109375" style="3" customWidth="1"/>
    <col min="159" max="159" width="3.7109375" style="0" customWidth="1"/>
  </cols>
  <sheetData>
    <row r="1" spans="1:160" ht="12.75">
      <c r="A1" s="24"/>
      <c r="B1" s="12"/>
      <c r="C1" s="23"/>
      <c r="D1" s="25"/>
      <c r="I1" s="25" t="s">
        <v>6</v>
      </c>
      <c r="AA1" s="25" t="s">
        <v>6</v>
      </c>
      <c r="AS1" s="25" t="s">
        <v>6</v>
      </c>
      <c r="BC1" s="25"/>
      <c r="BH1" s="25" t="s">
        <v>6</v>
      </c>
      <c r="BR1" s="25"/>
      <c r="BW1" s="25" t="s">
        <v>6</v>
      </c>
      <c r="CG1" s="25"/>
      <c r="CL1" s="25" t="s">
        <v>6</v>
      </c>
      <c r="CV1" s="25"/>
      <c r="DA1" s="25" t="s">
        <v>6</v>
      </c>
      <c r="DK1" s="25"/>
      <c r="DP1" s="25" t="s">
        <v>6</v>
      </c>
      <c r="DZ1" s="25"/>
      <c r="EE1" s="25" t="s">
        <v>6</v>
      </c>
      <c r="EO1" s="25"/>
      <c r="ET1" s="25" t="s">
        <v>6</v>
      </c>
      <c r="FD1" s="25"/>
    </row>
    <row r="2" spans="1:160" ht="12.75">
      <c r="A2" s="24"/>
      <c r="B2" s="12"/>
      <c r="C2" s="23"/>
      <c r="D2" s="25"/>
      <c r="I2" s="25" t="s">
        <v>5</v>
      </c>
      <c r="AA2" s="25" t="s">
        <v>5</v>
      </c>
      <c r="AS2" s="25" t="s">
        <v>5</v>
      </c>
      <c r="BC2" s="25"/>
      <c r="BH2" s="25" t="s">
        <v>5</v>
      </c>
      <c r="BR2" s="25"/>
      <c r="BW2" s="25" t="s">
        <v>5</v>
      </c>
      <c r="CG2" s="25"/>
      <c r="CL2" s="25" t="s">
        <v>5</v>
      </c>
      <c r="CV2" s="25"/>
      <c r="DA2" s="25" t="s">
        <v>5</v>
      </c>
      <c r="DK2" s="25"/>
      <c r="DP2" s="25" t="s">
        <v>5</v>
      </c>
      <c r="DZ2" s="25"/>
      <c r="EE2" s="25" t="s">
        <v>5</v>
      </c>
      <c r="EO2" s="25"/>
      <c r="ET2" s="25" t="s">
        <v>5</v>
      </c>
      <c r="FD2" s="25"/>
    </row>
    <row r="3" spans="1:160" ht="12.75">
      <c r="A3" s="24"/>
      <c r="B3" s="12"/>
      <c r="C3" s="23"/>
      <c r="D3" s="23"/>
      <c r="I3" s="25" t="s">
        <v>32</v>
      </c>
      <c r="AA3" s="25" t="s">
        <v>32</v>
      </c>
      <c r="AS3" s="25" t="s">
        <v>32</v>
      </c>
      <c r="BC3" s="25"/>
      <c r="BD3" s="1"/>
      <c r="BH3" s="25" t="s">
        <v>32</v>
      </c>
      <c r="BR3" s="25"/>
      <c r="BW3" s="25" t="s">
        <v>32</v>
      </c>
      <c r="CG3" s="25"/>
      <c r="CL3" s="25" t="s">
        <v>32</v>
      </c>
      <c r="CV3" s="25"/>
      <c r="DA3" s="25" t="s">
        <v>32</v>
      </c>
      <c r="DK3" s="25"/>
      <c r="DM3" s="45"/>
      <c r="DP3" s="25" t="s">
        <v>32</v>
      </c>
      <c r="DZ3" s="25"/>
      <c r="EE3" s="25" t="s">
        <v>32</v>
      </c>
      <c r="EO3" s="25"/>
      <c r="ET3" s="25" t="s">
        <v>32</v>
      </c>
      <c r="FD3" s="25"/>
    </row>
    <row r="4" spans="1:4" ht="12.75">
      <c r="A4" s="24"/>
      <c r="B4" s="12"/>
      <c r="C4" s="23"/>
      <c r="D4" s="25"/>
    </row>
    <row r="5" spans="1:158" ht="12.75">
      <c r="A5" s="4" t="s">
        <v>1</v>
      </c>
      <c r="C5" s="29" t="s">
        <v>22</v>
      </c>
      <c r="D5" s="30"/>
      <c r="E5" s="31"/>
      <c r="F5" s="21"/>
      <c r="G5" s="21"/>
      <c r="I5" s="17" t="s">
        <v>23</v>
      </c>
      <c r="J5" s="18"/>
      <c r="K5" s="19"/>
      <c r="L5" s="21"/>
      <c r="M5" s="21"/>
      <c r="O5" s="17" t="s">
        <v>27</v>
      </c>
      <c r="P5" s="18"/>
      <c r="Q5" s="19"/>
      <c r="R5" s="21"/>
      <c r="S5" s="21"/>
      <c r="U5" s="17" t="s">
        <v>28</v>
      </c>
      <c r="V5" s="18"/>
      <c r="W5" s="19"/>
      <c r="X5" s="21"/>
      <c r="Y5" s="21"/>
      <c r="AA5" s="17" t="s">
        <v>29</v>
      </c>
      <c r="AB5" s="18"/>
      <c r="AC5" s="19"/>
      <c r="AD5" s="21"/>
      <c r="AE5" s="21"/>
      <c r="AG5" s="17" t="s">
        <v>30</v>
      </c>
      <c r="AH5" s="18"/>
      <c r="AI5" s="19"/>
      <c r="AJ5" s="21"/>
      <c r="AK5" s="21"/>
      <c r="AM5" s="17" t="s">
        <v>31</v>
      </c>
      <c r="AN5" s="18"/>
      <c r="AO5" s="19"/>
      <c r="AP5" s="21"/>
      <c r="AQ5" s="21"/>
      <c r="AS5" s="17" t="s">
        <v>24</v>
      </c>
      <c r="AT5" s="18"/>
      <c r="AU5" s="19"/>
      <c r="AV5" s="21"/>
      <c r="AX5" s="17" t="s">
        <v>25</v>
      </c>
      <c r="AY5" s="18"/>
      <c r="AZ5" s="19"/>
      <c r="BA5" s="21"/>
      <c r="BC5" s="17" t="s">
        <v>26</v>
      </c>
      <c r="BD5" s="18"/>
      <c r="BE5" s="19"/>
      <c r="BF5" s="21"/>
      <c r="BH5" s="5" t="s">
        <v>11</v>
      </c>
      <c r="BI5" s="6"/>
      <c r="BJ5" s="7"/>
      <c r="BK5" s="21"/>
      <c r="BM5" s="5" t="s">
        <v>13</v>
      </c>
      <c r="BN5" s="6"/>
      <c r="BO5" s="7"/>
      <c r="BP5" s="21"/>
      <c r="BR5" s="5" t="s">
        <v>12</v>
      </c>
      <c r="BS5" s="6"/>
      <c r="BT5" s="7"/>
      <c r="BU5" s="21"/>
      <c r="BW5" s="5" t="s">
        <v>43</v>
      </c>
      <c r="BX5" s="6"/>
      <c r="BY5" s="7"/>
      <c r="BZ5" s="21"/>
      <c r="CB5" s="5" t="s">
        <v>44</v>
      </c>
      <c r="CC5" s="6"/>
      <c r="CD5" s="7"/>
      <c r="CE5" s="21"/>
      <c r="CG5" s="5" t="s">
        <v>45</v>
      </c>
      <c r="CH5" s="6"/>
      <c r="CI5" s="7"/>
      <c r="CJ5" s="21"/>
      <c r="CL5" s="5" t="s">
        <v>46</v>
      </c>
      <c r="CM5" s="6"/>
      <c r="CN5" s="7"/>
      <c r="CO5" s="21"/>
      <c r="CQ5" s="5" t="s">
        <v>47</v>
      </c>
      <c r="CR5" s="6"/>
      <c r="CS5" s="7"/>
      <c r="CT5" s="21"/>
      <c r="CV5" s="5" t="s">
        <v>48</v>
      </c>
      <c r="CW5" s="6"/>
      <c r="CX5" s="7"/>
      <c r="CY5" s="21"/>
      <c r="DA5" s="5" t="s">
        <v>49</v>
      </c>
      <c r="DB5" s="6"/>
      <c r="DC5" s="7"/>
      <c r="DD5" s="21"/>
      <c r="DF5" s="37" t="s">
        <v>50</v>
      </c>
      <c r="DG5" s="6"/>
      <c r="DH5" s="7"/>
      <c r="DI5" s="21"/>
      <c r="DK5" s="5" t="s">
        <v>51</v>
      </c>
      <c r="DL5" s="6"/>
      <c r="DM5" s="7"/>
      <c r="DN5" s="21"/>
      <c r="DP5" s="5" t="s">
        <v>52</v>
      </c>
      <c r="DQ5" s="6"/>
      <c r="DR5" s="7"/>
      <c r="DS5" s="21"/>
      <c r="DU5" s="37" t="s">
        <v>53</v>
      </c>
      <c r="DV5" s="6"/>
      <c r="DW5" s="7"/>
      <c r="DX5" s="21"/>
      <c r="DZ5" s="5" t="s">
        <v>20</v>
      </c>
      <c r="EA5" s="6"/>
      <c r="EB5" s="7"/>
      <c r="EC5" s="21"/>
      <c r="EE5" s="5" t="s">
        <v>56</v>
      </c>
      <c r="EF5" s="6"/>
      <c r="EG5" s="7"/>
      <c r="EH5" s="21"/>
      <c r="EI5" s="43"/>
      <c r="EJ5" s="5" t="s">
        <v>57</v>
      </c>
      <c r="EK5" s="6"/>
      <c r="EL5" s="7"/>
      <c r="EM5" s="21"/>
      <c r="EO5" s="5" t="s">
        <v>54</v>
      </c>
      <c r="EP5" s="6"/>
      <c r="EQ5" s="7"/>
      <c r="ER5" s="21"/>
      <c r="ET5" s="5" t="s">
        <v>21</v>
      </c>
      <c r="EU5" s="6"/>
      <c r="EV5" s="7"/>
      <c r="EW5" s="21"/>
      <c r="EY5" s="37" t="s">
        <v>7</v>
      </c>
      <c r="EZ5" s="6"/>
      <c r="FA5" s="7"/>
      <c r="FB5" s="21"/>
    </row>
    <row r="6" spans="1:158" s="1" customFormat="1" ht="12.75">
      <c r="A6" s="26" t="s">
        <v>2</v>
      </c>
      <c r="C6" s="20"/>
      <c r="D6" s="18"/>
      <c r="E6" s="19"/>
      <c r="F6" s="21" t="s">
        <v>59</v>
      </c>
      <c r="G6" s="21" t="s">
        <v>59</v>
      </c>
      <c r="H6" s="15"/>
      <c r="I6" s="20"/>
      <c r="J6" s="18"/>
      <c r="K6" s="19"/>
      <c r="L6" s="21" t="s">
        <v>59</v>
      </c>
      <c r="M6" s="21" t="s">
        <v>59</v>
      </c>
      <c r="N6" s="15"/>
      <c r="O6" s="20"/>
      <c r="P6" s="18"/>
      <c r="Q6" s="19"/>
      <c r="R6" s="21" t="s">
        <v>59</v>
      </c>
      <c r="S6" s="21" t="s">
        <v>59</v>
      </c>
      <c r="T6" s="15"/>
      <c r="U6" s="20"/>
      <c r="V6" s="18"/>
      <c r="W6" s="19"/>
      <c r="X6" s="21" t="s">
        <v>59</v>
      </c>
      <c r="Y6" s="21" t="s">
        <v>59</v>
      </c>
      <c r="Z6" s="15"/>
      <c r="AA6" s="20"/>
      <c r="AB6" s="18"/>
      <c r="AC6" s="19"/>
      <c r="AD6" s="21" t="s">
        <v>59</v>
      </c>
      <c r="AE6" s="21" t="s">
        <v>59</v>
      </c>
      <c r="AF6" s="15"/>
      <c r="AG6" s="20"/>
      <c r="AH6" s="18"/>
      <c r="AI6" s="19"/>
      <c r="AJ6" s="21" t="s">
        <v>59</v>
      </c>
      <c r="AK6" s="21" t="s">
        <v>59</v>
      </c>
      <c r="AL6" s="15"/>
      <c r="AM6" s="20"/>
      <c r="AN6" s="18"/>
      <c r="AO6" s="19"/>
      <c r="AP6" s="21" t="s">
        <v>59</v>
      </c>
      <c r="AQ6" s="21" t="s">
        <v>59</v>
      </c>
      <c r="AR6" s="15"/>
      <c r="AS6" s="20"/>
      <c r="AT6" s="38"/>
      <c r="AU6" s="19"/>
      <c r="AV6" s="21" t="s">
        <v>59</v>
      </c>
      <c r="AW6" s="15"/>
      <c r="AX6" s="20"/>
      <c r="AY6" s="42">
        <v>0.5605926</v>
      </c>
      <c r="AZ6" s="19"/>
      <c r="BA6" s="21" t="s">
        <v>59</v>
      </c>
      <c r="BB6" s="15"/>
      <c r="BC6" s="20"/>
      <c r="BD6" s="36">
        <f>BI6+BN6+BS6+BX6+CC6+CH6+CM6+CR6+CW6+DB6+DG6+DL6+DQ6+DV6+EA6+EF6+EK6+EZ6+EP6+EU6</f>
        <v>0.4394074</v>
      </c>
      <c r="BE6" s="19"/>
      <c r="BF6" s="21" t="s">
        <v>59</v>
      </c>
      <c r="BG6" s="15"/>
      <c r="BH6" s="27"/>
      <c r="BI6" s="14">
        <v>0.0074748</v>
      </c>
      <c r="BJ6" s="28"/>
      <c r="BK6" s="21" t="s">
        <v>59</v>
      </c>
      <c r="BM6" s="27"/>
      <c r="BN6" s="14">
        <v>0.0034282</v>
      </c>
      <c r="BO6" s="28"/>
      <c r="BP6" s="21" t="s">
        <v>59</v>
      </c>
      <c r="BR6" s="27"/>
      <c r="BS6" s="14">
        <v>0.0007099</v>
      </c>
      <c r="BT6" s="28"/>
      <c r="BU6" s="21" t="s">
        <v>59</v>
      </c>
      <c r="BW6" s="27"/>
      <c r="BX6" s="14">
        <v>0.0758946</v>
      </c>
      <c r="BY6" s="28"/>
      <c r="BZ6" s="21" t="s">
        <v>59</v>
      </c>
      <c r="CB6" s="27"/>
      <c r="CC6" s="14">
        <v>0.0004174</v>
      </c>
      <c r="CD6" s="28"/>
      <c r="CE6" s="21" t="s">
        <v>59</v>
      </c>
      <c r="CG6" s="27"/>
      <c r="CH6" s="14">
        <v>0.0004407</v>
      </c>
      <c r="CI6" s="28"/>
      <c r="CJ6" s="21" t="s">
        <v>59</v>
      </c>
      <c r="CL6" s="27"/>
      <c r="CM6" s="14">
        <v>0.0001236</v>
      </c>
      <c r="CN6" s="28"/>
      <c r="CO6" s="21" t="s">
        <v>59</v>
      </c>
      <c r="CQ6" s="27"/>
      <c r="CR6" s="14">
        <v>0.0022776</v>
      </c>
      <c r="CS6" s="28"/>
      <c r="CT6" s="21" t="s">
        <v>59</v>
      </c>
      <c r="CV6" s="27"/>
      <c r="CW6" s="14">
        <v>0.003395</v>
      </c>
      <c r="CX6" s="28"/>
      <c r="CY6" s="21" t="s">
        <v>59</v>
      </c>
      <c r="DA6" s="27"/>
      <c r="DB6" s="14">
        <v>0.04</v>
      </c>
      <c r="DC6" s="28"/>
      <c r="DD6" s="21" t="s">
        <v>59</v>
      </c>
      <c r="DF6" s="27"/>
      <c r="DG6" s="14">
        <v>0.0019842</v>
      </c>
      <c r="DH6" s="28"/>
      <c r="DI6" s="21" t="s">
        <v>59</v>
      </c>
      <c r="DK6" s="27"/>
      <c r="DL6" s="14">
        <v>0.0158629</v>
      </c>
      <c r="DM6" s="28"/>
      <c r="DN6" s="21" t="s">
        <v>59</v>
      </c>
      <c r="DP6" s="27"/>
      <c r="DQ6" s="14">
        <v>0.0086838</v>
      </c>
      <c r="DR6" s="28"/>
      <c r="DS6" s="21" t="s">
        <v>59</v>
      </c>
      <c r="DU6" s="27"/>
      <c r="DV6" s="14">
        <v>0.0008615</v>
      </c>
      <c r="DW6" s="28"/>
      <c r="DX6" s="21" t="s">
        <v>59</v>
      </c>
      <c r="DZ6" s="27"/>
      <c r="EA6" s="14">
        <v>0.061203</v>
      </c>
      <c r="EB6" s="28"/>
      <c r="EC6" s="21" t="s">
        <v>59</v>
      </c>
      <c r="EE6" s="27"/>
      <c r="EF6" s="14">
        <v>0.0144306</v>
      </c>
      <c r="EG6" s="28"/>
      <c r="EH6" s="21" t="s">
        <v>59</v>
      </c>
      <c r="EI6" s="11"/>
      <c r="EJ6" s="27"/>
      <c r="EK6" s="14">
        <v>0.0024027</v>
      </c>
      <c r="EL6" s="28"/>
      <c r="EM6" s="21" t="s">
        <v>59</v>
      </c>
      <c r="EO6" s="27"/>
      <c r="EP6" s="14">
        <v>0.0025862</v>
      </c>
      <c r="EQ6" s="28"/>
      <c r="ER6" s="21" t="s">
        <v>59</v>
      </c>
      <c r="ET6" s="27"/>
      <c r="EU6" s="14">
        <v>0.1972307</v>
      </c>
      <c r="EV6" s="28"/>
      <c r="EW6" s="21" t="s">
        <v>59</v>
      </c>
      <c r="EY6" s="27"/>
      <c r="EZ6" s="14"/>
      <c r="FA6" s="28"/>
      <c r="FB6" s="21" t="s">
        <v>59</v>
      </c>
    </row>
    <row r="7" spans="1:158" ht="12.75">
      <c r="A7" s="8"/>
      <c r="C7" s="21" t="s">
        <v>3</v>
      </c>
      <c r="D7" s="21" t="s">
        <v>4</v>
      </c>
      <c r="E7" s="21" t="s">
        <v>0</v>
      </c>
      <c r="F7" s="21" t="s">
        <v>60</v>
      </c>
      <c r="G7" s="21" t="s">
        <v>61</v>
      </c>
      <c r="I7" s="21" t="s">
        <v>3</v>
      </c>
      <c r="J7" s="21" t="s">
        <v>4</v>
      </c>
      <c r="K7" s="21" t="s">
        <v>0</v>
      </c>
      <c r="L7" s="21" t="s">
        <v>60</v>
      </c>
      <c r="M7" s="21" t="s">
        <v>61</v>
      </c>
      <c r="O7" s="21" t="s">
        <v>3</v>
      </c>
      <c r="P7" s="21" t="s">
        <v>4</v>
      </c>
      <c r="Q7" s="21" t="s">
        <v>0</v>
      </c>
      <c r="R7" s="21" t="s">
        <v>60</v>
      </c>
      <c r="S7" s="21" t="s">
        <v>61</v>
      </c>
      <c r="U7" s="21" t="s">
        <v>3</v>
      </c>
      <c r="V7" s="21" t="s">
        <v>4</v>
      </c>
      <c r="W7" s="21" t="s">
        <v>0</v>
      </c>
      <c r="X7" s="21" t="s">
        <v>60</v>
      </c>
      <c r="Y7" s="21" t="s">
        <v>61</v>
      </c>
      <c r="AA7" s="21" t="s">
        <v>3</v>
      </c>
      <c r="AB7" s="21" t="s">
        <v>4</v>
      </c>
      <c r="AC7" s="21" t="s">
        <v>0</v>
      </c>
      <c r="AD7" s="21" t="s">
        <v>60</v>
      </c>
      <c r="AE7" s="21" t="s">
        <v>61</v>
      </c>
      <c r="AG7" s="21" t="s">
        <v>3</v>
      </c>
      <c r="AH7" s="21" t="s">
        <v>4</v>
      </c>
      <c r="AI7" s="21" t="s">
        <v>0</v>
      </c>
      <c r="AJ7" s="21" t="s">
        <v>60</v>
      </c>
      <c r="AK7" s="21" t="s">
        <v>61</v>
      </c>
      <c r="AM7" s="21" t="s">
        <v>3</v>
      </c>
      <c r="AN7" s="21" t="s">
        <v>4</v>
      </c>
      <c r="AO7" s="21" t="s">
        <v>0</v>
      </c>
      <c r="AP7" s="21" t="s">
        <v>60</v>
      </c>
      <c r="AQ7" s="21" t="s">
        <v>61</v>
      </c>
      <c r="AS7" s="21" t="s">
        <v>3</v>
      </c>
      <c r="AT7" s="21" t="s">
        <v>4</v>
      </c>
      <c r="AU7" s="21" t="s">
        <v>0</v>
      </c>
      <c r="AV7" s="21" t="s">
        <v>60</v>
      </c>
      <c r="AX7" s="21" t="s">
        <v>3</v>
      </c>
      <c r="AY7" s="21" t="s">
        <v>4</v>
      </c>
      <c r="AZ7" s="21" t="s">
        <v>0</v>
      </c>
      <c r="BA7" s="21" t="s">
        <v>60</v>
      </c>
      <c r="BC7" s="21" t="s">
        <v>3</v>
      </c>
      <c r="BD7" s="21" t="s">
        <v>4</v>
      </c>
      <c r="BE7" s="21" t="s">
        <v>0</v>
      </c>
      <c r="BF7" s="21" t="s">
        <v>60</v>
      </c>
      <c r="BH7" s="9" t="s">
        <v>3</v>
      </c>
      <c r="BI7" s="9" t="s">
        <v>4</v>
      </c>
      <c r="BJ7" s="9" t="s">
        <v>0</v>
      </c>
      <c r="BK7" s="21" t="s">
        <v>60</v>
      </c>
      <c r="BM7" s="9" t="s">
        <v>3</v>
      </c>
      <c r="BN7" s="9" t="s">
        <v>4</v>
      </c>
      <c r="BO7" s="9" t="s">
        <v>0</v>
      </c>
      <c r="BP7" s="21" t="s">
        <v>60</v>
      </c>
      <c r="BR7" s="9" t="s">
        <v>3</v>
      </c>
      <c r="BS7" s="9" t="s">
        <v>4</v>
      </c>
      <c r="BT7" s="9" t="s">
        <v>0</v>
      </c>
      <c r="BU7" s="21" t="s">
        <v>60</v>
      </c>
      <c r="BW7" s="9" t="s">
        <v>3</v>
      </c>
      <c r="BX7" s="9" t="s">
        <v>4</v>
      </c>
      <c r="BY7" s="9" t="s">
        <v>0</v>
      </c>
      <c r="BZ7" s="21" t="s">
        <v>60</v>
      </c>
      <c r="CB7" s="9" t="s">
        <v>3</v>
      </c>
      <c r="CC7" s="9" t="s">
        <v>4</v>
      </c>
      <c r="CD7" s="9" t="s">
        <v>0</v>
      </c>
      <c r="CE7" s="21" t="s">
        <v>60</v>
      </c>
      <c r="CG7" s="9" t="s">
        <v>3</v>
      </c>
      <c r="CH7" s="9" t="s">
        <v>4</v>
      </c>
      <c r="CI7" s="9" t="s">
        <v>0</v>
      </c>
      <c r="CJ7" s="21" t="s">
        <v>60</v>
      </c>
      <c r="CL7" s="9" t="s">
        <v>3</v>
      </c>
      <c r="CM7" s="9" t="s">
        <v>4</v>
      </c>
      <c r="CN7" s="9" t="s">
        <v>0</v>
      </c>
      <c r="CO7" s="21" t="s">
        <v>60</v>
      </c>
      <c r="CQ7" s="9" t="s">
        <v>3</v>
      </c>
      <c r="CR7" s="9" t="s">
        <v>4</v>
      </c>
      <c r="CS7" s="9" t="s">
        <v>0</v>
      </c>
      <c r="CT7" s="21" t="s">
        <v>60</v>
      </c>
      <c r="CV7" s="9" t="s">
        <v>3</v>
      </c>
      <c r="CW7" s="9" t="s">
        <v>4</v>
      </c>
      <c r="CX7" s="9" t="s">
        <v>0</v>
      </c>
      <c r="CY7" s="21" t="s">
        <v>60</v>
      </c>
      <c r="DA7" s="9" t="s">
        <v>3</v>
      </c>
      <c r="DB7" s="9" t="s">
        <v>4</v>
      </c>
      <c r="DC7" s="9" t="s">
        <v>0</v>
      </c>
      <c r="DD7" s="21" t="s">
        <v>60</v>
      </c>
      <c r="DF7" s="9" t="s">
        <v>3</v>
      </c>
      <c r="DG7" s="9" t="s">
        <v>4</v>
      </c>
      <c r="DH7" s="9" t="s">
        <v>0</v>
      </c>
      <c r="DI7" s="21" t="s">
        <v>60</v>
      </c>
      <c r="DK7" s="9" t="s">
        <v>3</v>
      </c>
      <c r="DL7" s="9" t="s">
        <v>4</v>
      </c>
      <c r="DM7" s="9" t="s">
        <v>0</v>
      </c>
      <c r="DN7" s="21" t="s">
        <v>60</v>
      </c>
      <c r="DP7" s="9" t="s">
        <v>3</v>
      </c>
      <c r="DQ7" s="9" t="s">
        <v>4</v>
      </c>
      <c r="DR7" s="9" t="s">
        <v>0</v>
      </c>
      <c r="DS7" s="21" t="s">
        <v>60</v>
      </c>
      <c r="DU7" s="9" t="s">
        <v>3</v>
      </c>
      <c r="DV7" s="9" t="s">
        <v>4</v>
      </c>
      <c r="DW7" s="9" t="s">
        <v>0</v>
      </c>
      <c r="DX7" s="21" t="s">
        <v>60</v>
      </c>
      <c r="DZ7" s="9" t="s">
        <v>3</v>
      </c>
      <c r="EA7" s="9" t="s">
        <v>4</v>
      </c>
      <c r="EB7" s="9" t="s">
        <v>0</v>
      </c>
      <c r="EC7" s="21" t="s">
        <v>60</v>
      </c>
      <c r="EE7" s="9" t="s">
        <v>3</v>
      </c>
      <c r="EF7" s="9" t="s">
        <v>4</v>
      </c>
      <c r="EG7" s="9" t="s">
        <v>0</v>
      </c>
      <c r="EH7" s="21" t="s">
        <v>60</v>
      </c>
      <c r="EI7" s="44"/>
      <c r="EJ7" s="9" t="s">
        <v>3</v>
      </c>
      <c r="EK7" s="9" t="s">
        <v>4</v>
      </c>
      <c r="EL7" s="9" t="s">
        <v>0</v>
      </c>
      <c r="EM7" s="21" t="s">
        <v>60</v>
      </c>
      <c r="EO7" s="9" t="s">
        <v>3</v>
      </c>
      <c r="EP7" s="9" t="s">
        <v>4</v>
      </c>
      <c r="EQ7" s="9" t="s">
        <v>0</v>
      </c>
      <c r="ER7" s="21" t="s">
        <v>60</v>
      </c>
      <c r="ET7" s="9" t="s">
        <v>3</v>
      </c>
      <c r="EU7" s="9" t="s">
        <v>4</v>
      </c>
      <c r="EV7" s="9" t="s">
        <v>0</v>
      </c>
      <c r="EW7" s="21" t="s">
        <v>60</v>
      </c>
      <c r="EY7" s="9" t="s">
        <v>3</v>
      </c>
      <c r="EZ7" s="9" t="s">
        <v>4</v>
      </c>
      <c r="FA7" s="9" t="s">
        <v>0</v>
      </c>
      <c r="FB7" s="21" t="s">
        <v>60</v>
      </c>
    </row>
    <row r="8" spans="1:159" ht="12.75">
      <c r="A8" s="2">
        <v>40087</v>
      </c>
      <c r="C8" s="46"/>
      <c r="D8" s="46">
        <v>3483909</v>
      </c>
      <c r="E8" s="46">
        <f aca="true" t="shared" si="0" ref="E8:E39">C8+D8</f>
        <v>3483909</v>
      </c>
      <c r="F8" s="46">
        <f aca="true" t="shared" si="1" ref="F8:F39">L8+R8+X8+AD8+AJ8+AP8+AV8</f>
        <v>445850</v>
      </c>
      <c r="G8" s="46">
        <f aca="true" t="shared" si="2" ref="G8:G39">M8+S8+Y8+AE8+AK8+AQ8</f>
        <v>195867</v>
      </c>
      <c r="H8" s="47"/>
      <c r="I8" s="46"/>
      <c r="J8" s="46"/>
      <c r="K8" s="46"/>
      <c r="L8" s="46"/>
      <c r="M8" s="46"/>
      <c r="N8" s="47"/>
      <c r="O8" s="47"/>
      <c r="P8" s="47"/>
      <c r="Q8" s="47"/>
      <c r="R8" s="47"/>
      <c r="S8" s="47"/>
      <c r="T8" s="47"/>
      <c r="U8" s="47"/>
      <c r="V8" s="47">
        <v>573975</v>
      </c>
      <c r="W8" s="47">
        <f aca="true" t="shared" si="3" ref="W8:W25">U8+V8</f>
        <v>573975</v>
      </c>
      <c r="X8" s="47">
        <v>100291</v>
      </c>
      <c r="Y8" s="47">
        <v>71504</v>
      </c>
      <c r="Z8" s="47"/>
      <c r="AA8" s="47"/>
      <c r="AB8" s="47">
        <v>802825</v>
      </c>
      <c r="AC8" s="47">
        <f aca="true" t="shared" si="4" ref="AC8:AC27">AA8+AB8</f>
        <v>802825</v>
      </c>
      <c r="AD8" s="47">
        <v>106692</v>
      </c>
      <c r="AE8" s="47">
        <v>38692</v>
      </c>
      <c r="AF8" s="47"/>
      <c r="AG8" s="47"/>
      <c r="AH8" s="47">
        <v>237250</v>
      </c>
      <c r="AI8" s="47">
        <f aca="true" t="shared" si="5" ref="AI8:AI19">AG8+AH8</f>
        <v>237250</v>
      </c>
      <c r="AJ8" s="47">
        <v>44322</v>
      </c>
      <c r="AK8" s="47">
        <v>1708</v>
      </c>
      <c r="AL8" s="47"/>
      <c r="AM8" s="47"/>
      <c r="AN8" s="47">
        <v>932125</v>
      </c>
      <c r="AO8" s="47">
        <f aca="true" t="shared" si="6" ref="AO8:AO31">AM8+AN8</f>
        <v>932125</v>
      </c>
      <c r="AP8" s="47">
        <v>97908</v>
      </c>
      <c r="AQ8" s="47">
        <v>83963</v>
      </c>
      <c r="AR8" s="47"/>
      <c r="AS8" s="46"/>
      <c r="AT8" s="46">
        <v>937734</v>
      </c>
      <c r="AU8" s="46">
        <f aca="true" t="shared" si="7" ref="AU8:AU39">AS8+AT8</f>
        <v>937734</v>
      </c>
      <c r="AV8" s="46">
        <f aca="true" t="shared" si="8" ref="AV8:AV39">BA8+BF8</f>
        <v>96637</v>
      </c>
      <c r="AW8" s="47"/>
      <c r="AX8" s="48"/>
      <c r="AY8" s="48">
        <v>525687</v>
      </c>
      <c r="AZ8" s="48">
        <f aca="true" t="shared" si="9" ref="AZ8:AZ39">AX8+AY8</f>
        <v>525687</v>
      </c>
      <c r="BA8" s="48">
        <v>53259</v>
      </c>
      <c r="BB8" s="47"/>
      <c r="BC8" s="47"/>
      <c r="BD8" s="49">
        <f aca="true" t="shared" si="10" ref="BD8:BD39">BI8+BN8+BS8+BX8+CC8+CH8+CM8+CR8+CW8+DB8+DG8+DL8+DQ8+DV8+EA8+EF8+EK8+EZ8+EP8+EU8</f>
        <v>412047.25883159996</v>
      </c>
      <c r="BE8" s="47">
        <f aca="true" t="shared" si="11" ref="BE8:BE39">BC8+BD8</f>
        <v>412047.25883159996</v>
      </c>
      <c r="BF8" s="47">
        <f aca="true" t="shared" si="12" ref="BF8:BF39">BK8+BP8+BU8+BZ8+CE8+CJ8+CO8+CT8+CY8+DD8+DI8+DN8+DS8+DX8+EC8+EH8+EM8+ER8+EW8+FB8</f>
        <v>43378</v>
      </c>
      <c r="BG8" s="47"/>
      <c r="BH8" s="48"/>
      <c r="BI8" s="49">
        <f aca="true" t="shared" si="13" ref="BI8:BI39">AT8*0.74748/100</f>
        <v>7009.3741032</v>
      </c>
      <c r="BJ8" s="48">
        <f aca="true" t="shared" si="14" ref="BJ8:BJ39">BH8+BI8</f>
        <v>7009.3741032</v>
      </c>
      <c r="BK8" s="48">
        <v>727</v>
      </c>
      <c r="BL8" s="47"/>
      <c r="BM8" s="48"/>
      <c r="BN8" s="48">
        <f aca="true" t="shared" si="15" ref="BN8:BN39">AT8*0.34282/100</f>
        <v>3214.7396988</v>
      </c>
      <c r="BO8" s="47">
        <f aca="true" t="shared" si="16" ref="BO8:BO39">BM8+BN8</f>
        <v>3214.7396988</v>
      </c>
      <c r="BP8" s="47">
        <v>343</v>
      </c>
      <c r="BQ8" s="47"/>
      <c r="BR8" s="48"/>
      <c r="BS8" s="48">
        <f aca="true" t="shared" si="17" ref="BS8:BS39">AT8*0.07099/100</f>
        <v>665.6973665999999</v>
      </c>
      <c r="BT8" s="47">
        <f aca="true" t="shared" si="18" ref="BT8:BT39">BR8+BS8</f>
        <v>665.6973665999999</v>
      </c>
      <c r="BU8" s="47">
        <v>71</v>
      </c>
      <c r="BV8" s="47"/>
      <c r="BW8" s="48"/>
      <c r="BX8" s="48">
        <f aca="true" t="shared" si="19" ref="BX8:BX39">AT8*7.58946/100</f>
        <v>71168.94683639999</v>
      </c>
      <c r="BY8" s="47">
        <f aca="true" t="shared" si="20" ref="BY8:BY39">BW8+BX8</f>
        <v>71168.94683639999</v>
      </c>
      <c r="BZ8" s="47">
        <v>7431</v>
      </c>
      <c r="CA8" s="47"/>
      <c r="CB8" s="48"/>
      <c r="CC8" s="48">
        <f aca="true" t="shared" si="21" ref="CC8:CC39">AT8*0.04174/100</f>
        <v>391.41017159999996</v>
      </c>
      <c r="CD8" s="47">
        <f aca="true" t="shared" si="22" ref="CD8:CD39">CB8+CC8</f>
        <v>391.41017159999996</v>
      </c>
      <c r="CE8" s="47">
        <v>42</v>
      </c>
      <c r="CF8" s="47"/>
      <c r="CG8" s="48"/>
      <c r="CH8" s="48">
        <f aca="true" t="shared" si="23" ref="CH8:CH39">AT8*0.04407/100</f>
        <v>413.25937379999993</v>
      </c>
      <c r="CI8" s="47">
        <f aca="true" t="shared" si="24" ref="CI8:CI39">CG8+CH8</f>
        <v>413.25937379999993</v>
      </c>
      <c r="CJ8" s="47">
        <v>44</v>
      </c>
      <c r="CK8" s="47"/>
      <c r="CL8" s="48"/>
      <c r="CM8" s="48">
        <f aca="true" t="shared" si="25" ref="CM8:CM39">AT8*0.01236/100</f>
        <v>115.9039224</v>
      </c>
      <c r="CN8" s="47">
        <f aca="true" t="shared" si="26" ref="CN8:CN39">CL8+CM8</f>
        <v>115.9039224</v>
      </c>
      <c r="CO8" s="47">
        <v>12</v>
      </c>
      <c r="CP8" s="47"/>
      <c r="CQ8" s="48"/>
      <c r="CR8" s="48">
        <f aca="true" t="shared" si="27" ref="CR8:CR39">AT8*0.22776/100</f>
        <v>2135.7829583999996</v>
      </c>
      <c r="CS8" s="47">
        <f aca="true" t="shared" si="28" ref="CS8:CS39">CQ8+CR8</f>
        <v>2135.7829583999996</v>
      </c>
      <c r="CT8" s="47">
        <v>228</v>
      </c>
      <c r="CU8" s="47"/>
      <c r="CV8" s="48"/>
      <c r="CW8" s="48">
        <f aca="true" t="shared" si="29" ref="CW8:CW39">AT8*0.3395/100</f>
        <v>3183.6069300000004</v>
      </c>
      <c r="CX8" s="47">
        <f aca="true" t="shared" si="30" ref="CX8:CX39">CV8+CW8</f>
        <v>3183.6069300000004</v>
      </c>
      <c r="CY8" s="47">
        <v>335</v>
      </c>
      <c r="CZ8" s="47"/>
      <c r="DA8" s="48"/>
      <c r="DB8" s="48">
        <f aca="true" t="shared" si="31" ref="DB8:DB39">AT8*4/100</f>
        <v>37509.36</v>
      </c>
      <c r="DC8" s="47">
        <f aca="true" t="shared" si="32" ref="DC8:DC39">DA8+DB8</f>
        <v>37509.36</v>
      </c>
      <c r="DD8" s="47">
        <v>4005</v>
      </c>
      <c r="DE8" s="47"/>
      <c r="DF8" s="48"/>
      <c r="DG8" s="48">
        <f aca="true" t="shared" si="33" ref="DG8:DG39">AT8*0.19842/100</f>
        <v>1860.6518028</v>
      </c>
      <c r="DH8" s="47">
        <f aca="true" t="shared" si="34" ref="DH8:DH39">DF8+DG8</f>
        <v>1860.6518028</v>
      </c>
      <c r="DI8" s="47">
        <v>189</v>
      </c>
      <c r="DJ8" s="47"/>
      <c r="DK8" s="48"/>
      <c r="DL8" s="48">
        <f aca="true" t="shared" si="35" ref="DL8:DL39">AT8*1.58629/100</f>
        <v>14875.180668599998</v>
      </c>
      <c r="DM8" s="47">
        <f aca="true" t="shared" si="36" ref="DM8:DM39">DK8+DL8</f>
        <v>14875.180668599998</v>
      </c>
      <c r="DN8" s="47">
        <v>1573</v>
      </c>
      <c r="DO8" s="47"/>
      <c r="DP8" s="48"/>
      <c r="DQ8" s="48">
        <f aca="true" t="shared" si="37" ref="DQ8:DQ39">AT8*0.86838/100</f>
        <v>8143.094509200001</v>
      </c>
      <c r="DR8" s="47">
        <f aca="true" t="shared" si="38" ref="DR8:DR39">DP8+DQ8</f>
        <v>8143.094509200001</v>
      </c>
      <c r="DS8" s="47">
        <v>867</v>
      </c>
      <c r="DT8" s="47"/>
      <c r="DU8" s="48"/>
      <c r="DV8" s="48">
        <f aca="true" t="shared" si="39" ref="DV8:DV39">AT8*0.08615/100</f>
        <v>807.857841</v>
      </c>
      <c r="DW8" s="47">
        <f aca="true" t="shared" si="40" ref="DW8:DW39">DU8+DV8</f>
        <v>807.857841</v>
      </c>
      <c r="DX8" s="47">
        <v>85</v>
      </c>
      <c r="DY8" s="47"/>
      <c r="DZ8" s="48"/>
      <c r="EA8" s="48">
        <f aca="true" t="shared" si="41" ref="EA8:EA39">AT8*6.1203/100</f>
        <v>57392.134002</v>
      </c>
      <c r="EB8" s="47">
        <f aca="true" t="shared" si="42" ref="EB8:EB39">DZ8+EA8</f>
        <v>57392.134002</v>
      </c>
      <c r="EC8" s="47">
        <v>5888</v>
      </c>
      <c r="ED8" s="47"/>
      <c r="EE8" s="48"/>
      <c r="EF8" s="48">
        <f aca="true" t="shared" si="43" ref="EF8:EF39">AT8*1.44306/100</f>
        <v>13532.0642604</v>
      </c>
      <c r="EG8" s="47">
        <f aca="true" t="shared" si="44" ref="EG8:EG39">EE8+EF8</f>
        <v>13532.0642604</v>
      </c>
      <c r="EH8" s="47">
        <v>1397</v>
      </c>
      <c r="EI8" s="47"/>
      <c r="EJ8" s="47"/>
      <c r="EK8" s="47">
        <f aca="true" t="shared" si="45" ref="EK8:EK39">AT8*0.24027/100</f>
        <v>2253.0934818</v>
      </c>
      <c r="EL8" s="47">
        <f aca="true" t="shared" si="46" ref="EL8:EL39">EJ8+EK8</f>
        <v>2253.0934818</v>
      </c>
      <c r="EM8" s="47">
        <v>230</v>
      </c>
      <c r="EN8" s="47"/>
      <c r="EO8" s="48"/>
      <c r="EP8" s="48">
        <f aca="true" t="shared" si="47" ref="EP8:EP39">AT8*0.25862/100</f>
        <v>2425.1676708</v>
      </c>
      <c r="EQ8" s="47">
        <f aca="true" t="shared" si="48" ref="EQ8:EQ39">EO8+EP8</f>
        <v>2425.1676708</v>
      </c>
      <c r="ER8" s="47">
        <v>259</v>
      </c>
      <c r="ES8" s="47"/>
      <c r="ET8" s="48"/>
      <c r="EU8" s="48">
        <f aca="true" t="shared" si="49" ref="EU8:EU39">AT8*19.72307/100</f>
        <v>184949.9332338</v>
      </c>
      <c r="EV8" s="47">
        <f aca="true" t="shared" si="50" ref="EV8:EV39">ET8+EU8</f>
        <v>184949.9332338</v>
      </c>
      <c r="EW8" s="47">
        <v>19652</v>
      </c>
      <c r="EX8" s="47"/>
      <c r="EY8" s="47"/>
      <c r="EZ8" s="47"/>
      <c r="FA8" s="47">
        <f aca="true" t="shared" si="51" ref="FA8:FA39">EY8+EZ8</f>
        <v>0</v>
      </c>
      <c r="FB8" s="47"/>
      <c r="FC8" s="47"/>
    </row>
    <row r="9" spans="1:159" ht="12.75">
      <c r="A9" s="2">
        <v>40269</v>
      </c>
      <c r="B9" t="s">
        <v>55</v>
      </c>
      <c r="C9" s="46">
        <v>7405000</v>
      </c>
      <c r="D9" s="46">
        <v>3483909</v>
      </c>
      <c r="E9" s="46">
        <f t="shared" si="0"/>
        <v>10888909</v>
      </c>
      <c r="F9" s="46">
        <f t="shared" si="1"/>
        <v>445850</v>
      </c>
      <c r="G9" s="46">
        <f t="shared" si="2"/>
        <v>195867</v>
      </c>
      <c r="H9" s="47"/>
      <c r="I9" s="46"/>
      <c r="J9" s="46"/>
      <c r="K9" s="46"/>
      <c r="L9" s="46"/>
      <c r="M9" s="46"/>
      <c r="N9" s="47"/>
      <c r="O9" s="47"/>
      <c r="P9" s="47"/>
      <c r="Q9" s="47"/>
      <c r="R9" s="47"/>
      <c r="S9" s="47"/>
      <c r="T9" s="47"/>
      <c r="U9" s="47">
        <v>2400000</v>
      </c>
      <c r="V9" s="47">
        <v>573975</v>
      </c>
      <c r="W9" s="47">
        <f t="shared" si="3"/>
        <v>2973975</v>
      </c>
      <c r="X9" s="47">
        <v>100291</v>
      </c>
      <c r="Y9" s="47">
        <v>71504</v>
      </c>
      <c r="Z9" s="47"/>
      <c r="AA9" s="47">
        <v>2985000</v>
      </c>
      <c r="AB9" s="47">
        <v>802825</v>
      </c>
      <c r="AC9" s="47">
        <f t="shared" si="4"/>
        <v>3787825</v>
      </c>
      <c r="AD9" s="47">
        <v>106692</v>
      </c>
      <c r="AE9" s="47">
        <v>38692</v>
      </c>
      <c r="AF9" s="47"/>
      <c r="AG9" s="47"/>
      <c r="AH9" s="47">
        <v>237250</v>
      </c>
      <c r="AI9" s="47">
        <f t="shared" si="5"/>
        <v>237250</v>
      </c>
      <c r="AJ9" s="47">
        <v>44322</v>
      </c>
      <c r="AK9" s="47">
        <v>1708</v>
      </c>
      <c r="AL9" s="47"/>
      <c r="AM9" s="47">
        <v>85000</v>
      </c>
      <c r="AN9" s="47">
        <v>932125</v>
      </c>
      <c r="AO9" s="47">
        <f t="shared" si="6"/>
        <v>1017125</v>
      </c>
      <c r="AP9" s="47">
        <v>97908</v>
      </c>
      <c r="AQ9" s="47">
        <v>83963</v>
      </c>
      <c r="AR9" s="47"/>
      <c r="AS9" s="46">
        <v>1935000</v>
      </c>
      <c r="AT9" s="46">
        <v>937734</v>
      </c>
      <c r="AU9" s="46">
        <f t="shared" si="7"/>
        <v>2872734</v>
      </c>
      <c r="AV9" s="46">
        <f t="shared" si="8"/>
        <v>96637</v>
      </c>
      <c r="AW9" s="47"/>
      <c r="AX9" s="48">
        <v>1084747</v>
      </c>
      <c r="AY9" s="48">
        <v>525687</v>
      </c>
      <c r="AZ9" s="48">
        <f t="shared" si="9"/>
        <v>1610434</v>
      </c>
      <c r="BA9" s="48">
        <v>53259</v>
      </c>
      <c r="BB9" s="47"/>
      <c r="BC9" s="47">
        <f aca="true" t="shared" si="52" ref="BC9:BC39">BH9+BM9+BR9+BW9+CB9+CG9+CL9+CQ9+CV9+DA9+DF9+DK9+DP9+DU9+DZ9+EE9+EJ9+EY9+EO9+ET9</f>
        <v>850253.319</v>
      </c>
      <c r="BD9" s="49">
        <f t="shared" si="10"/>
        <v>412047.25883159996</v>
      </c>
      <c r="BE9" s="47">
        <f t="shared" si="11"/>
        <v>1262300.5778315999</v>
      </c>
      <c r="BF9" s="47">
        <f t="shared" si="12"/>
        <v>43378</v>
      </c>
      <c r="BG9" s="47"/>
      <c r="BH9" s="48">
        <f aca="true" t="shared" si="53" ref="BH9:BH39">AS9*0.74748/100</f>
        <v>14463.738000000001</v>
      </c>
      <c r="BI9" s="49">
        <f t="shared" si="13"/>
        <v>7009.3741032</v>
      </c>
      <c r="BJ9" s="48">
        <f t="shared" si="14"/>
        <v>21473.1121032</v>
      </c>
      <c r="BK9" s="48">
        <v>727</v>
      </c>
      <c r="BL9" s="47"/>
      <c r="BM9" s="48">
        <f aca="true" t="shared" si="54" ref="BM9:BM39">AS9*0.34282/100</f>
        <v>6633.567000000001</v>
      </c>
      <c r="BN9" s="48">
        <f t="shared" si="15"/>
        <v>3214.7396988</v>
      </c>
      <c r="BO9" s="47">
        <f t="shared" si="16"/>
        <v>9848.306698800001</v>
      </c>
      <c r="BP9" s="47">
        <v>343</v>
      </c>
      <c r="BQ9" s="47"/>
      <c r="BR9" s="48">
        <f aca="true" t="shared" si="55" ref="BR9:BR39">AS9*0.07099/100</f>
        <v>1373.6565</v>
      </c>
      <c r="BS9" s="48">
        <f t="shared" si="17"/>
        <v>665.6973665999999</v>
      </c>
      <c r="BT9" s="47">
        <f t="shared" si="18"/>
        <v>2039.3538666</v>
      </c>
      <c r="BU9" s="47">
        <v>71</v>
      </c>
      <c r="BV9" s="47"/>
      <c r="BW9" s="48">
        <f aca="true" t="shared" si="56" ref="BW9:BW39">AS9*7.58946/100</f>
        <v>146856.051</v>
      </c>
      <c r="BX9" s="48">
        <f t="shared" si="19"/>
        <v>71168.94683639999</v>
      </c>
      <c r="BY9" s="47">
        <f t="shared" si="20"/>
        <v>218024.9978364</v>
      </c>
      <c r="BZ9" s="47">
        <v>7431</v>
      </c>
      <c r="CA9" s="47"/>
      <c r="CB9" s="48">
        <f aca="true" t="shared" si="57" ref="CB9:CB39">AS9*0.04174/100</f>
        <v>807.669</v>
      </c>
      <c r="CC9" s="48">
        <f t="shared" si="21"/>
        <v>391.41017159999996</v>
      </c>
      <c r="CD9" s="47">
        <f t="shared" si="22"/>
        <v>1199.0791715999999</v>
      </c>
      <c r="CE9" s="47">
        <v>42</v>
      </c>
      <c r="CF9" s="47"/>
      <c r="CG9" s="48">
        <f aca="true" t="shared" si="58" ref="CG9:CG39">AS9*0.04407/100</f>
        <v>852.7545</v>
      </c>
      <c r="CH9" s="48">
        <f t="shared" si="23"/>
        <v>413.25937379999993</v>
      </c>
      <c r="CI9" s="47">
        <f t="shared" si="24"/>
        <v>1266.0138738</v>
      </c>
      <c r="CJ9" s="47">
        <v>44</v>
      </c>
      <c r="CK9" s="47"/>
      <c r="CL9" s="48">
        <f aca="true" t="shared" si="59" ref="CL9:CL39">AS9*0.01236/100</f>
        <v>239.166</v>
      </c>
      <c r="CM9" s="48">
        <f t="shared" si="25"/>
        <v>115.9039224</v>
      </c>
      <c r="CN9" s="47">
        <f t="shared" si="26"/>
        <v>355.0699224</v>
      </c>
      <c r="CO9" s="47">
        <v>12</v>
      </c>
      <c r="CP9" s="47"/>
      <c r="CQ9" s="48">
        <f aca="true" t="shared" si="60" ref="CQ9:CQ39">AS9*0.22776/100</f>
        <v>4407.156</v>
      </c>
      <c r="CR9" s="48">
        <f t="shared" si="27"/>
        <v>2135.7829583999996</v>
      </c>
      <c r="CS9" s="47">
        <f t="shared" si="28"/>
        <v>6542.9389584</v>
      </c>
      <c r="CT9" s="47">
        <v>228</v>
      </c>
      <c r="CU9" s="47"/>
      <c r="CV9" s="48">
        <f aca="true" t="shared" si="61" ref="CV9:CV39">AS9*0.3395/100</f>
        <v>6569.325</v>
      </c>
      <c r="CW9" s="48">
        <f t="shared" si="29"/>
        <v>3183.6069300000004</v>
      </c>
      <c r="CX9" s="47">
        <f t="shared" si="30"/>
        <v>9752.93193</v>
      </c>
      <c r="CY9" s="47">
        <v>335</v>
      </c>
      <c r="CZ9" s="47"/>
      <c r="DA9" s="48">
        <f aca="true" t="shared" si="62" ref="DA9:DA39">AS9*4/100</f>
        <v>77400</v>
      </c>
      <c r="DB9" s="48">
        <f t="shared" si="31"/>
        <v>37509.36</v>
      </c>
      <c r="DC9" s="47">
        <f t="shared" si="32"/>
        <v>114909.36</v>
      </c>
      <c r="DD9" s="47">
        <v>4005</v>
      </c>
      <c r="DE9" s="47"/>
      <c r="DF9" s="48">
        <f aca="true" t="shared" si="63" ref="DF9:DF39">AS9*0.19842/100</f>
        <v>3839.427</v>
      </c>
      <c r="DG9" s="48">
        <f t="shared" si="33"/>
        <v>1860.6518028</v>
      </c>
      <c r="DH9" s="47">
        <f t="shared" si="34"/>
        <v>5700.078802800001</v>
      </c>
      <c r="DI9" s="47">
        <v>189</v>
      </c>
      <c r="DJ9" s="47"/>
      <c r="DK9" s="48">
        <f aca="true" t="shared" si="64" ref="DK9:DK39">AS9*1.58629/100</f>
        <v>30694.711499999998</v>
      </c>
      <c r="DL9" s="48">
        <f t="shared" si="35"/>
        <v>14875.180668599998</v>
      </c>
      <c r="DM9" s="47">
        <f t="shared" si="36"/>
        <v>45569.892168599996</v>
      </c>
      <c r="DN9" s="47">
        <v>1573</v>
      </c>
      <c r="DO9" s="47"/>
      <c r="DP9" s="48">
        <f aca="true" t="shared" si="65" ref="DP9:DP39">AS9*0.86838/100</f>
        <v>16803.153000000002</v>
      </c>
      <c r="DQ9" s="48">
        <f t="shared" si="37"/>
        <v>8143.094509200001</v>
      </c>
      <c r="DR9" s="47">
        <f t="shared" si="38"/>
        <v>24946.247509200002</v>
      </c>
      <c r="DS9" s="47">
        <v>867</v>
      </c>
      <c r="DT9" s="47"/>
      <c r="DU9" s="48">
        <f aca="true" t="shared" si="66" ref="DU9:DU39">AS9*0.08615/100</f>
        <v>1667.0025</v>
      </c>
      <c r="DV9" s="48">
        <f t="shared" si="39"/>
        <v>807.857841</v>
      </c>
      <c r="DW9" s="47">
        <f t="shared" si="40"/>
        <v>2474.860341</v>
      </c>
      <c r="DX9" s="47">
        <v>85</v>
      </c>
      <c r="DY9" s="47"/>
      <c r="DZ9" s="48">
        <f aca="true" t="shared" si="67" ref="DZ9:DZ39">AS9*6.1203/100</f>
        <v>118427.805</v>
      </c>
      <c r="EA9" s="48">
        <f t="shared" si="41"/>
        <v>57392.134002</v>
      </c>
      <c r="EB9" s="47">
        <f t="shared" si="42"/>
        <v>175819.939002</v>
      </c>
      <c r="EC9" s="47">
        <v>5888</v>
      </c>
      <c r="ED9" s="47"/>
      <c r="EE9" s="48">
        <f aca="true" t="shared" si="68" ref="EE9:EE39">AS9*1.44306/100</f>
        <v>27923.211</v>
      </c>
      <c r="EF9" s="48">
        <f t="shared" si="43"/>
        <v>13532.0642604</v>
      </c>
      <c r="EG9" s="47">
        <f t="shared" si="44"/>
        <v>41455.2752604</v>
      </c>
      <c r="EH9" s="47">
        <v>1397</v>
      </c>
      <c r="EI9" s="47"/>
      <c r="EJ9" s="47">
        <f aca="true" t="shared" si="69" ref="EJ9:EJ39">AS9*0.24027/100</f>
        <v>4649.2245</v>
      </c>
      <c r="EK9" s="47">
        <f t="shared" si="45"/>
        <v>2253.0934818</v>
      </c>
      <c r="EL9" s="47">
        <f t="shared" si="46"/>
        <v>6902.317981800001</v>
      </c>
      <c r="EM9" s="47">
        <v>230</v>
      </c>
      <c r="EN9" s="47"/>
      <c r="EO9" s="48">
        <f aca="true" t="shared" si="70" ref="EO9:EO39">AS9*0.25862/100</f>
        <v>5004.2970000000005</v>
      </c>
      <c r="EP9" s="48">
        <f t="shared" si="47"/>
        <v>2425.1676708</v>
      </c>
      <c r="EQ9" s="47">
        <f t="shared" si="48"/>
        <v>7429.4646708</v>
      </c>
      <c r="ER9" s="47">
        <v>259</v>
      </c>
      <c r="ES9" s="47"/>
      <c r="ET9" s="48">
        <f aca="true" t="shared" si="71" ref="ET9:ET39">AS9*19.72307/100</f>
        <v>381641.4045</v>
      </c>
      <c r="EU9" s="48">
        <f t="shared" si="49"/>
        <v>184949.9332338</v>
      </c>
      <c r="EV9" s="47">
        <f t="shared" si="50"/>
        <v>566591.3377338</v>
      </c>
      <c r="EW9" s="47">
        <v>19652</v>
      </c>
      <c r="EX9" s="47"/>
      <c r="EY9" s="47"/>
      <c r="EZ9" s="47"/>
      <c r="FA9" s="47">
        <f t="shared" si="51"/>
        <v>0</v>
      </c>
      <c r="FB9" s="47"/>
      <c r="FC9" s="47"/>
    </row>
    <row r="10" spans="1:159" ht="12.75">
      <c r="A10" s="2">
        <v>40452</v>
      </c>
      <c r="C10" s="46"/>
      <c r="D10" s="46">
        <v>3372834</v>
      </c>
      <c r="E10" s="46">
        <f t="shared" si="0"/>
        <v>3372834</v>
      </c>
      <c r="F10" s="46">
        <f t="shared" si="1"/>
        <v>445850</v>
      </c>
      <c r="G10" s="46">
        <f t="shared" si="2"/>
        <v>195867</v>
      </c>
      <c r="H10" s="47"/>
      <c r="I10" s="46"/>
      <c r="J10" s="46"/>
      <c r="K10" s="46"/>
      <c r="L10" s="46"/>
      <c r="M10" s="46"/>
      <c r="N10" s="47"/>
      <c r="O10" s="47"/>
      <c r="P10" s="47"/>
      <c r="Q10" s="47"/>
      <c r="R10" s="47"/>
      <c r="S10" s="47"/>
      <c r="T10" s="47"/>
      <c r="U10" s="47"/>
      <c r="V10" s="47">
        <v>537975</v>
      </c>
      <c r="W10" s="47">
        <f t="shared" si="3"/>
        <v>537975</v>
      </c>
      <c r="X10" s="47">
        <v>100291</v>
      </c>
      <c r="Y10" s="47">
        <v>71504</v>
      </c>
      <c r="Z10" s="47"/>
      <c r="AA10" s="47"/>
      <c r="AB10" s="47">
        <v>758050</v>
      </c>
      <c r="AC10" s="47">
        <f t="shared" si="4"/>
        <v>758050</v>
      </c>
      <c r="AD10" s="47">
        <v>106692</v>
      </c>
      <c r="AE10" s="47">
        <v>38692</v>
      </c>
      <c r="AF10" s="47"/>
      <c r="AG10" s="47"/>
      <c r="AH10" s="47">
        <v>237250</v>
      </c>
      <c r="AI10" s="47">
        <f t="shared" si="5"/>
        <v>237250</v>
      </c>
      <c r="AJ10" s="47">
        <v>44322</v>
      </c>
      <c r="AK10" s="47">
        <v>1708</v>
      </c>
      <c r="AL10" s="47"/>
      <c r="AM10" s="47"/>
      <c r="AN10" s="47">
        <v>930850</v>
      </c>
      <c r="AO10" s="47">
        <f t="shared" si="6"/>
        <v>930850</v>
      </c>
      <c r="AP10" s="47">
        <v>97908</v>
      </c>
      <c r="AQ10" s="47">
        <v>83963</v>
      </c>
      <c r="AR10" s="47"/>
      <c r="AS10" s="46"/>
      <c r="AT10" s="46">
        <v>908709</v>
      </c>
      <c r="AU10" s="46">
        <f t="shared" si="7"/>
        <v>908709</v>
      </c>
      <c r="AV10" s="46">
        <f t="shared" si="8"/>
        <v>96637</v>
      </c>
      <c r="AW10" s="47"/>
      <c r="AX10" s="48"/>
      <c r="AY10" s="48">
        <v>509416</v>
      </c>
      <c r="AZ10" s="48">
        <f t="shared" si="9"/>
        <v>509416</v>
      </c>
      <c r="BA10" s="48">
        <v>53259</v>
      </c>
      <c r="BB10" s="47"/>
      <c r="BC10" s="47"/>
      <c r="BD10" s="49">
        <f t="shared" si="10"/>
        <v>399293.45904660004</v>
      </c>
      <c r="BE10" s="47">
        <f t="shared" si="11"/>
        <v>399293.45904660004</v>
      </c>
      <c r="BF10" s="47">
        <f t="shared" si="12"/>
        <v>43378</v>
      </c>
      <c r="BG10" s="47"/>
      <c r="BH10" s="48"/>
      <c r="BI10" s="49">
        <f t="shared" si="13"/>
        <v>6792.4180332000005</v>
      </c>
      <c r="BJ10" s="48">
        <f t="shared" si="14"/>
        <v>6792.4180332000005</v>
      </c>
      <c r="BK10" s="48">
        <v>727</v>
      </c>
      <c r="BL10" s="47"/>
      <c r="BM10" s="48"/>
      <c r="BN10" s="48">
        <f t="shared" si="15"/>
        <v>3115.2361938</v>
      </c>
      <c r="BO10" s="47">
        <f t="shared" si="16"/>
        <v>3115.2361938</v>
      </c>
      <c r="BP10" s="47">
        <v>343</v>
      </c>
      <c r="BQ10" s="47"/>
      <c r="BR10" s="48"/>
      <c r="BS10" s="48">
        <f t="shared" si="17"/>
        <v>645.0925191</v>
      </c>
      <c r="BT10" s="47">
        <f t="shared" si="18"/>
        <v>645.0925191</v>
      </c>
      <c r="BU10" s="47">
        <v>71</v>
      </c>
      <c r="BV10" s="47"/>
      <c r="BW10" s="48"/>
      <c r="BX10" s="48">
        <f t="shared" si="19"/>
        <v>68966.1060714</v>
      </c>
      <c r="BY10" s="47">
        <f t="shared" si="20"/>
        <v>68966.1060714</v>
      </c>
      <c r="BZ10" s="47">
        <v>7431</v>
      </c>
      <c r="CA10" s="47"/>
      <c r="CB10" s="48"/>
      <c r="CC10" s="48">
        <f t="shared" si="21"/>
        <v>379.2951366</v>
      </c>
      <c r="CD10" s="47">
        <f t="shared" si="22"/>
        <v>379.2951366</v>
      </c>
      <c r="CE10" s="47">
        <v>42</v>
      </c>
      <c r="CF10" s="47"/>
      <c r="CG10" s="48"/>
      <c r="CH10" s="48">
        <f t="shared" si="23"/>
        <v>400.46805629999994</v>
      </c>
      <c r="CI10" s="47">
        <f t="shared" si="24"/>
        <v>400.46805629999994</v>
      </c>
      <c r="CJ10" s="47">
        <v>44</v>
      </c>
      <c r="CK10" s="47"/>
      <c r="CL10" s="48"/>
      <c r="CM10" s="48">
        <f t="shared" si="25"/>
        <v>112.3164324</v>
      </c>
      <c r="CN10" s="47">
        <f t="shared" si="26"/>
        <v>112.3164324</v>
      </c>
      <c r="CO10" s="47">
        <v>12</v>
      </c>
      <c r="CP10" s="47"/>
      <c r="CQ10" s="48"/>
      <c r="CR10" s="48">
        <f t="shared" si="27"/>
        <v>2069.6756183999996</v>
      </c>
      <c r="CS10" s="47">
        <f t="shared" si="28"/>
        <v>2069.6756183999996</v>
      </c>
      <c r="CT10" s="47">
        <v>228</v>
      </c>
      <c r="CU10" s="47"/>
      <c r="CV10" s="48"/>
      <c r="CW10" s="48">
        <f t="shared" si="29"/>
        <v>3085.0670550000004</v>
      </c>
      <c r="CX10" s="47">
        <f t="shared" si="30"/>
        <v>3085.0670550000004</v>
      </c>
      <c r="CY10" s="47">
        <v>335</v>
      </c>
      <c r="CZ10" s="47"/>
      <c r="DA10" s="48"/>
      <c r="DB10" s="48">
        <f t="shared" si="31"/>
        <v>36348.36</v>
      </c>
      <c r="DC10" s="47">
        <f t="shared" si="32"/>
        <v>36348.36</v>
      </c>
      <c r="DD10" s="47">
        <v>4005</v>
      </c>
      <c r="DE10" s="47"/>
      <c r="DF10" s="48"/>
      <c r="DG10" s="48">
        <f t="shared" si="33"/>
        <v>1803.0603978000001</v>
      </c>
      <c r="DH10" s="47">
        <f t="shared" si="34"/>
        <v>1803.0603978000001</v>
      </c>
      <c r="DI10" s="47">
        <v>189</v>
      </c>
      <c r="DJ10" s="47"/>
      <c r="DK10" s="48"/>
      <c r="DL10" s="48">
        <f t="shared" si="35"/>
        <v>14414.759996100001</v>
      </c>
      <c r="DM10" s="47">
        <f t="shared" si="36"/>
        <v>14414.759996100001</v>
      </c>
      <c r="DN10" s="47">
        <v>1573</v>
      </c>
      <c r="DO10" s="47"/>
      <c r="DP10" s="48"/>
      <c r="DQ10" s="48">
        <f t="shared" si="37"/>
        <v>7891.047214200001</v>
      </c>
      <c r="DR10" s="47">
        <f t="shared" si="38"/>
        <v>7891.047214200001</v>
      </c>
      <c r="DS10" s="47">
        <v>867</v>
      </c>
      <c r="DT10" s="47"/>
      <c r="DU10" s="48"/>
      <c r="DV10" s="48">
        <f t="shared" si="39"/>
        <v>782.8528035</v>
      </c>
      <c r="DW10" s="47">
        <f t="shared" si="40"/>
        <v>782.8528035</v>
      </c>
      <c r="DX10" s="47">
        <v>85</v>
      </c>
      <c r="DY10" s="47"/>
      <c r="DZ10" s="48"/>
      <c r="EA10" s="48">
        <f t="shared" si="41"/>
        <v>55615.716927</v>
      </c>
      <c r="EB10" s="47">
        <f t="shared" si="42"/>
        <v>55615.716927</v>
      </c>
      <c r="EC10" s="47">
        <v>5888</v>
      </c>
      <c r="ED10" s="47"/>
      <c r="EE10" s="48"/>
      <c r="EF10" s="48">
        <f t="shared" si="43"/>
        <v>13113.216095400001</v>
      </c>
      <c r="EG10" s="47">
        <f t="shared" si="44"/>
        <v>13113.216095400001</v>
      </c>
      <c r="EH10" s="47">
        <v>1397</v>
      </c>
      <c r="EI10" s="47"/>
      <c r="EJ10" s="47"/>
      <c r="EK10" s="47">
        <f t="shared" si="45"/>
        <v>2183.3551143</v>
      </c>
      <c r="EL10" s="47">
        <f t="shared" si="46"/>
        <v>2183.3551143</v>
      </c>
      <c r="EM10" s="47">
        <v>230</v>
      </c>
      <c r="EN10" s="47"/>
      <c r="EO10" s="48"/>
      <c r="EP10" s="48">
        <f t="shared" si="47"/>
        <v>2350.1032158000003</v>
      </c>
      <c r="EQ10" s="47">
        <f t="shared" si="48"/>
        <v>2350.1032158000003</v>
      </c>
      <c r="ER10" s="47">
        <v>259</v>
      </c>
      <c r="ES10" s="47"/>
      <c r="ET10" s="48"/>
      <c r="EU10" s="48">
        <f t="shared" si="49"/>
        <v>179225.31216630002</v>
      </c>
      <c r="EV10" s="47">
        <f t="shared" si="50"/>
        <v>179225.31216630002</v>
      </c>
      <c r="EW10" s="47">
        <v>19652</v>
      </c>
      <c r="EX10" s="47"/>
      <c r="EY10" s="47"/>
      <c r="EZ10" s="47"/>
      <c r="FA10" s="47">
        <f t="shared" si="51"/>
        <v>0</v>
      </c>
      <c r="FB10" s="47"/>
      <c r="FC10" s="47"/>
    </row>
    <row r="11" spans="1:159" ht="12.75">
      <c r="A11" s="2">
        <v>40634</v>
      </c>
      <c r="C11" s="46">
        <v>7630000</v>
      </c>
      <c r="D11" s="46">
        <v>3372834</v>
      </c>
      <c r="E11" s="46">
        <f t="shared" si="0"/>
        <v>11002834</v>
      </c>
      <c r="F11" s="46">
        <f t="shared" si="1"/>
        <v>445850</v>
      </c>
      <c r="G11" s="46">
        <f t="shared" si="2"/>
        <v>195867</v>
      </c>
      <c r="H11" s="47"/>
      <c r="I11" s="46"/>
      <c r="J11" s="46"/>
      <c r="K11" s="46"/>
      <c r="L11" s="46"/>
      <c r="M11" s="46"/>
      <c r="N11" s="47"/>
      <c r="O11" s="47"/>
      <c r="P11" s="47"/>
      <c r="Q11" s="47"/>
      <c r="R11" s="47"/>
      <c r="S11" s="47"/>
      <c r="T11" s="47"/>
      <c r="U11" s="47">
        <v>2470000</v>
      </c>
      <c r="V11" s="47">
        <v>537975</v>
      </c>
      <c r="W11" s="47">
        <f t="shared" si="3"/>
        <v>3007975</v>
      </c>
      <c r="X11" s="47">
        <v>100291</v>
      </c>
      <c r="Y11" s="47">
        <v>71504</v>
      </c>
      <c r="Z11" s="47"/>
      <c r="AA11" s="47">
        <v>3075000</v>
      </c>
      <c r="AB11" s="47">
        <v>758050</v>
      </c>
      <c r="AC11" s="47">
        <f t="shared" si="4"/>
        <v>3833050</v>
      </c>
      <c r="AD11" s="47">
        <v>106692</v>
      </c>
      <c r="AE11" s="47">
        <v>38692</v>
      </c>
      <c r="AF11" s="47"/>
      <c r="AG11" s="47"/>
      <c r="AH11" s="47">
        <v>237250</v>
      </c>
      <c r="AI11" s="47">
        <f t="shared" si="5"/>
        <v>237250</v>
      </c>
      <c r="AJ11" s="47">
        <v>44322</v>
      </c>
      <c r="AK11" s="47">
        <v>1708</v>
      </c>
      <c r="AL11" s="47"/>
      <c r="AM11" s="47">
        <v>90000</v>
      </c>
      <c r="AN11" s="47">
        <v>930850</v>
      </c>
      <c r="AO11" s="47">
        <f t="shared" si="6"/>
        <v>1020850</v>
      </c>
      <c r="AP11" s="47">
        <v>97908</v>
      </c>
      <c r="AQ11" s="47">
        <v>83963</v>
      </c>
      <c r="AR11" s="47"/>
      <c r="AS11" s="46">
        <v>1995000</v>
      </c>
      <c r="AT11" s="46">
        <v>908709</v>
      </c>
      <c r="AU11" s="46">
        <f t="shared" si="7"/>
        <v>2903709</v>
      </c>
      <c r="AV11" s="46">
        <f t="shared" si="8"/>
        <v>96637</v>
      </c>
      <c r="AW11" s="47"/>
      <c r="AX11" s="48">
        <v>1118382</v>
      </c>
      <c r="AY11" s="48">
        <v>509416</v>
      </c>
      <c r="AZ11" s="48">
        <f t="shared" si="9"/>
        <v>1627798</v>
      </c>
      <c r="BA11" s="48">
        <v>53259</v>
      </c>
      <c r="BB11" s="47"/>
      <c r="BC11" s="47">
        <f t="shared" si="52"/>
        <v>876617.763</v>
      </c>
      <c r="BD11" s="49">
        <f t="shared" si="10"/>
        <v>399293.45904660004</v>
      </c>
      <c r="BE11" s="47">
        <f t="shared" si="11"/>
        <v>1275911.2220466002</v>
      </c>
      <c r="BF11" s="47">
        <f t="shared" si="12"/>
        <v>43378</v>
      </c>
      <c r="BG11" s="47"/>
      <c r="BH11" s="48">
        <f t="shared" si="53"/>
        <v>14912.226</v>
      </c>
      <c r="BI11" s="49">
        <f t="shared" si="13"/>
        <v>6792.4180332000005</v>
      </c>
      <c r="BJ11" s="48">
        <f t="shared" si="14"/>
        <v>21704.644033200002</v>
      </c>
      <c r="BK11" s="48">
        <v>727</v>
      </c>
      <c r="BL11" s="47"/>
      <c r="BM11" s="48">
        <f t="shared" si="54"/>
        <v>6839.259</v>
      </c>
      <c r="BN11" s="48">
        <f t="shared" si="15"/>
        <v>3115.2361938</v>
      </c>
      <c r="BO11" s="47">
        <f t="shared" si="16"/>
        <v>9954.4951938</v>
      </c>
      <c r="BP11" s="47">
        <v>343</v>
      </c>
      <c r="BQ11" s="47"/>
      <c r="BR11" s="48">
        <f t="shared" si="55"/>
        <v>1416.2504999999999</v>
      </c>
      <c r="BS11" s="48">
        <f t="shared" si="17"/>
        <v>645.0925191</v>
      </c>
      <c r="BT11" s="47">
        <f t="shared" si="18"/>
        <v>2061.3430190999998</v>
      </c>
      <c r="BU11" s="47">
        <v>71</v>
      </c>
      <c r="BV11" s="47"/>
      <c r="BW11" s="48">
        <f t="shared" si="56"/>
        <v>151409.72699999998</v>
      </c>
      <c r="BX11" s="48">
        <f t="shared" si="19"/>
        <v>68966.1060714</v>
      </c>
      <c r="BY11" s="47">
        <f t="shared" si="20"/>
        <v>220375.8330714</v>
      </c>
      <c r="BZ11" s="47">
        <v>7431</v>
      </c>
      <c r="CA11" s="47"/>
      <c r="CB11" s="48">
        <f t="shared" si="57"/>
        <v>832.7130000000001</v>
      </c>
      <c r="CC11" s="48">
        <f t="shared" si="21"/>
        <v>379.2951366</v>
      </c>
      <c r="CD11" s="47">
        <f t="shared" si="22"/>
        <v>1212.0081366</v>
      </c>
      <c r="CE11" s="47">
        <v>42</v>
      </c>
      <c r="CF11" s="47"/>
      <c r="CG11" s="48">
        <f t="shared" si="58"/>
        <v>879.1964999999999</v>
      </c>
      <c r="CH11" s="48">
        <f t="shared" si="23"/>
        <v>400.46805629999994</v>
      </c>
      <c r="CI11" s="47">
        <f t="shared" si="24"/>
        <v>1279.6645562999997</v>
      </c>
      <c r="CJ11" s="47">
        <v>44</v>
      </c>
      <c r="CK11" s="47"/>
      <c r="CL11" s="48">
        <f t="shared" si="59"/>
        <v>246.582</v>
      </c>
      <c r="CM11" s="48">
        <f t="shared" si="25"/>
        <v>112.3164324</v>
      </c>
      <c r="CN11" s="47">
        <f t="shared" si="26"/>
        <v>358.8984324</v>
      </c>
      <c r="CO11" s="47">
        <v>12</v>
      </c>
      <c r="CP11" s="47"/>
      <c r="CQ11" s="48">
        <f t="shared" si="60"/>
        <v>4543.812</v>
      </c>
      <c r="CR11" s="48">
        <f t="shared" si="27"/>
        <v>2069.6756183999996</v>
      </c>
      <c r="CS11" s="47">
        <f t="shared" si="28"/>
        <v>6613.4876183999995</v>
      </c>
      <c r="CT11" s="47">
        <v>228</v>
      </c>
      <c r="CU11" s="47"/>
      <c r="CV11" s="48">
        <f t="shared" si="61"/>
        <v>6773.025</v>
      </c>
      <c r="CW11" s="48">
        <f t="shared" si="29"/>
        <v>3085.0670550000004</v>
      </c>
      <c r="CX11" s="47">
        <f t="shared" si="30"/>
        <v>9858.092055000001</v>
      </c>
      <c r="CY11" s="47">
        <v>335</v>
      </c>
      <c r="CZ11" s="47"/>
      <c r="DA11" s="48">
        <f t="shared" si="62"/>
        <v>79800</v>
      </c>
      <c r="DB11" s="48">
        <f t="shared" si="31"/>
        <v>36348.36</v>
      </c>
      <c r="DC11" s="47">
        <f t="shared" si="32"/>
        <v>116148.36</v>
      </c>
      <c r="DD11" s="47">
        <v>4005</v>
      </c>
      <c r="DE11" s="47"/>
      <c r="DF11" s="48">
        <f t="shared" si="63"/>
        <v>3958.4790000000003</v>
      </c>
      <c r="DG11" s="48">
        <f t="shared" si="33"/>
        <v>1803.0603978000001</v>
      </c>
      <c r="DH11" s="47">
        <f t="shared" si="34"/>
        <v>5761.5393978</v>
      </c>
      <c r="DI11" s="47">
        <v>189</v>
      </c>
      <c r="DJ11" s="47"/>
      <c r="DK11" s="48">
        <f t="shared" si="64"/>
        <v>31646.4855</v>
      </c>
      <c r="DL11" s="48">
        <f t="shared" si="35"/>
        <v>14414.759996100001</v>
      </c>
      <c r="DM11" s="47">
        <f t="shared" si="36"/>
        <v>46061.245496100004</v>
      </c>
      <c r="DN11" s="47">
        <v>1573</v>
      </c>
      <c r="DO11" s="47"/>
      <c r="DP11" s="48">
        <f t="shared" si="65"/>
        <v>17324.181</v>
      </c>
      <c r="DQ11" s="48">
        <f t="shared" si="37"/>
        <v>7891.047214200001</v>
      </c>
      <c r="DR11" s="47">
        <f t="shared" si="38"/>
        <v>25215.2282142</v>
      </c>
      <c r="DS11" s="47">
        <v>867</v>
      </c>
      <c r="DT11" s="47"/>
      <c r="DU11" s="48">
        <f t="shared" si="66"/>
        <v>1718.6925</v>
      </c>
      <c r="DV11" s="48">
        <f t="shared" si="39"/>
        <v>782.8528035</v>
      </c>
      <c r="DW11" s="47">
        <f t="shared" si="40"/>
        <v>2501.5453035</v>
      </c>
      <c r="DX11" s="47">
        <v>85</v>
      </c>
      <c r="DY11" s="47"/>
      <c r="DZ11" s="48">
        <f t="shared" si="67"/>
        <v>122099.985</v>
      </c>
      <c r="EA11" s="48">
        <f t="shared" si="41"/>
        <v>55615.716927</v>
      </c>
      <c r="EB11" s="47">
        <f t="shared" si="42"/>
        <v>177715.70192700002</v>
      </c>
      <c r="EC11" s="47">
        <v>5888</v>
      </c>
      <c r="ED11" s="47"/>
      <c r="EE11" s="48">
        <f t="shared" si="68"/>
        <v>28789.047000000002</v>
      </c>
      <c r="EF11" s="48">
        <f t="shared" si="43"/>
        <v>13113.216095400001</v>
      </c>
      <c r="EG11" s="47">
        <f t="shared" si="44"/>
        <v>41902.263095400005</v>
      </c>
      <c r="EH11" s="47">
        <v>1397</v>
      </c>
      <c r="EI11" s="47"/>
      <c r="EJ11" s="47">
        <f t="shared" si="69"/>
        <v>4793.3865000000005</v>
      </c>
      <c r="EK11" s="47">
        <f t="shared" si="45"/>
        <v>2183.3551143</v>
      </c>
      <c r="EL11" s="47">
        <f t="shared" si="46"/>
        <v>6976.741614300001</v>
      </c>
      <c r="EM11" s="47">
        <v>230</v>
      </c>
      <c r="EN11" s="47"/>
      <c r="EO11" s="48">
        <f t="shared" si="70"/>
        <v>5159.469</v>
      </c>
      <c r="EP11" s="48">
        <f t="shared" si="47"/>
        <v>2350.1032158000003</v>
      </c>
      <c r="EQ11" s="47">
        <f t="shared" si="48"/>
        <v>7509.572215800001</v>
      </c>
      <c r="ER11" s="47">
        <v>259</v>
      </c>
      <c r="ES11" s="47"/>
      <c r="ET11" s="48">
        <f t="shared" si="71"/>
        <v>393475.2465</v>
      </c>
      <c r="EU11" s="48">
        <f t="shared" si="49"/>
        <v>179225.31216630002</v>
      </c>
      <c r="EV11" s="47">
        <f t="shared" si="50"/>
        <v>572700.5586663</v>
      </c>
      <c r="EW11" s="47">
        <v>19652</v>
      </c>
      <c r="EX11" s="47"/>
      <c r="EY11" s="47"/>
      <c r="EZ11" s="47"/>
      <c r="FA11" s="47">
        <f t="shared" si="51"/>
        <v>0</v>
      </c>
      <c r="FB11" s="47"/>
      <c r="FC11" s="47"/>
    </row>
    <row r="12" spans="1:159" ht="12.75">
      <c r="A12" s="2">
        <v>40817</v>
      </c>
      <c r="C12" s="46"/>
      <c r="D12" s="46">
        <v>3258384</v>
      </c>
      <c r="E12" s="46">
        <f t="shared" si="0"/>
        <v>3258384</v>
      </c>
      <c r="F12" s="46">
        <f t="shared" si="1"/>
        <v>445850</v>
      </c>
      <c r="G12" s="46">
        <f t="shared" si="2"/>
        <v>195867</v>
      </c>
      <c r="H12" s="47"/>
      <c r="I12" s="46"/>
      <c r="J12" s="46"/>
      <c r="K12" s="46"/>
      <c r="L12" s="46"/>
      <c r="M12" s="46"/>
      <c r="N12" s="47"/>
      <c r="O12" s="47"/>
      <c r="P12" s="47"/>
      <c r="Q12" s="47"/>
      <c r="R12" s="47"/>
      <c r="S12" s="47"/>
      <c r="T12" s="47"/>
      <c r="U12" s="47"/>
      <c r="V12" s="47">
        <v>500925</v>
      </c>
      <c r="W12" s="47">
        <f t="shared" si="3"/>
        <v>500925</v>
      </c>
      <c r="X12" s="47">
        <v>100291</v>
      </c>
      <c r="Y12" s="47">
        <v>71504</v>
      </c>
      <c r="Z12" s="47"/>
      <c r="AA12" s="47"/>
      <c r="AB12" s="47">
        <v>711925</v>
      </c>
      <c r="AC12" s="47">
        <f t="shared" si="4"/>
        <v>711925</v>
      </c>
      <c r="AD12" s="47">
        <v>106692</v>
      </c>
      <c r="AE12" s="47">
        <v>38692</v>
      </c>
      <c r="AF12" s="47"/>
      <c r="AG12" s="47"/>
      <c r="AH12" s="47">
        <v>237250</v>
      </c>
      <c r="AI12" s="47">
        <f t="shared" si="5"/>
        <v>237250</v>
      </c>
      <c r="AJ12" s="47">
        <v>44322</v>
      </c>
      <c r="AK12" s="47">
        <v>1708</v>
      </c>
      <c r="AL12" s="47"/>
      <c r="AM12" s="47"/>
      <c r="AN12" s="47">
        <v>929500</v>
      </c>
      <c r="AO12" s="47">
        <f t="shared" si="6"/>
        <v>929500</v>
      </c>
      <c r="AP12" s="47">
        <v>97908</v>
      </c>
      <c r="AQ12" s="47">
        <v>83963</v>
      </c>
      <c r="AR12" s="47"/>
      <c r="AS12" s="46"/>
      <c r="AT12" s="46">
        <v>878784</v>
      </c>
      <c r="AU12" s="46">
        <f t="shared" si="7"/>
        <v>878784</v>
      </c>
      <c r="AV12" s="46">
        <f t="shared" si="8"/>
        <v>96637</v>
      </c>
      <c r="AW12" s="47"/>
      <c r="AX12" s="48"/>
      <c r="AY12" s="48">
        <v>492640</v>
      </c>
      <c r="AZ12" s="48">
        <f t="shared" si="9"/>
        <v>492640</v>
      </c>
      <c r="BA12" s="48">
        <v>53259</v>
      </c>
      <c r="BB12" s="47"/>
      <c r="BC12" s="47"/>
      <c r="BD12" s="49">
        <f t="shared" si="10"/>
        <v>386144.1926016</v>
      </c>
      <c r="BE12" s="47">
        <f t="shared" si="11"/>
        <v>386144.1926016</v>
      </c>
      <c r="BF12" s="47">
        <f t="shared" si="12"/>
        <v>43378</v>
      </c>
      <c r="BG12" s="47"/>
      <c r="BH12" s="48"/>
      <c r="BI12" s="49">
        <f t="shared" si="13"/>
        <v>6568.7346432</v>
      </c>
      <c r="BJ12" s="48">
        <f t="shared" si="14"/>
        <v>6568.7346432</v>
      </c>
      <c r="BK12" s="48">
        <v>727</v>
      </c>
      <c r="BL12" s="47"/>
      <c r="BM12" s="48"/>
      <c r="BN12" s="48">
        <f t="shared" si="15"/>
        <v>3012.6473088</v>
      </c>
      <c r="BO12" s="47">
        <f t="shared" si="16"/>
        <v>3012.6473088</v>
      </c>
      <c r="BP12" s="47">
        <v>343</v>
      </c>
      <c r="BQ12" s="47"/>
      <c r="BR12" s="48"/>
      <c r="BS12" s="48">
        <f t="shared" si="17"/>
        <v>623.8487616</v>
      </c>
      <c r="BT12" s="47">
        <f t="shared" si="18"/>
        <v>623.8487616</v>
      </c>
      <c r="BU12" s="47">
        <v>71</v>
      </c>
      <c r="BV12" s="47"/>
      <c r="BW12" s="48"/>
      <c r="BX12" s="48">
        <f t="shared" si="19"/>
        <v>66694.96016640001</v>
      </c>
      <c r="BY12" s="47">
        <f t="shared" si="20"/>
        <v>66694.96016640001</v>
      </c>
      <c r="BZ12" s="47">
        <v>7431</v>
      </c>
      <c r="CA12" s="47"/>
      <c r="CB12" s="48"/>
      <c r="CC12" s="48">
        <f t="shared" si="21"/>
        <v>366.8044416</v>
      </c>
      <c r="CD12" s="47">
        <f t="shared" si="22"/>
        <v>366.8044416</v>
      </c>
      <c r="CE12" s="47">
        <v>42</v>
      </c>
      <c r="CF12" s="47"/>
      <c r="CG12" s="48"/>
      <c r="CH12" s="48">
        <f t="shared" si="23"/>
        <v>387.2801088</v>
      </c>
      <c r="CI12" s="47">
        <f t="shared" si="24"/>
        <v>387.2801088</v>
      </c>
      <c r="CJ12" s="47">
        <v>44</v>
      </c>
      <c r="CK12" s="47"/>
      <c r="CL12" s="48"/>
      <c r="CM12" s="48">
        <f t="shared" si="25"/>
        <v>108.6177024</v>
      </c>
      <c r="CN12" s="47">
        <f t="shared" si="26"/>
        <v>108.6177024</v>
      </c>
      <c r="CO12" s="47">
        <v>12</v>
      </c>
      <c r="CP12" s="47"/>
      <c r="CQ12" s="48"/>
      <c r="CR12" s="48">
        <f t="shared" si="27"/>
        <v>2001.5184384</v>
      </c>
      <c r="CS12" s="47">
        <f t="shared" si="28"/>
        <v>2001.5184384</v>
      </c>
      <c r="CT12" s="47">
        <v>228</v>
      </c>
      <c r="CU12" s="47"/>
      <c r="CV12" s="48"/>
      <c r="CW12" s="48">
        <f t="shared" si="29"/>
        <v>2983.47168</v>
      </c>
      <c r="CX12" s="47">
        <f t="shared" si="30"/>
        <v>2983.47168</v>
      </c>
      <c r="CY12" s="47">
        <v>335</v>
      </c>
      <c r="CZ12" s="47"/>
      <c r="DA12" s="48"/>
      <c r="DB12" s="48">
        <f t="shared" si="31"/>
        <v>35151.36</v>
      </c>
      <c r="DC12" s="47">
        <f t="shared" si="32"/>
        <v>35151.36</v>
      </c>
      <c r="DD12" s="47">
        <v>4005</v>
      </c>
      <c r="DE12" s="47"/>
      <c r="DF12" s="48"/>
      <c r="DG12" s="48">
        <f t="shared" si="33"/>
        <v>1743.6832128</v>
      </c>
      <c r="DH12" s="47">
        <f t="shared" si="34"/>
        <v>1743.6832128</v>
      </c>
      <c r="DI12" s="47">
        <v>189</v>
      </c>
      <c r="DJ12" s="47"/>
      <c r="DK12" s="48"/>
      <c r="DL12" s="48">
        <f t="shared" si="35"/>
        <v>13940.062713599998</v>
      </c>
      <c r="DM12" s="47">
        <f t="shared" si="36"/>
        <v>13940.062713599998</v>
      </c>
      <c r="DN12" s="47">
        <v>1573</v>
      </c>
      <c r="DO12" s="47"/>
      <c r="DP12" s="48"/>
      <c r="DQ12" s="48">
        <f t="shared" si="37"/>
        <v>7631.184499200001</v>
      </c>
      <c r="DR12" s="47">
        <f t="shared" si="38"/>
        <v>7631.184499200001</v>
      </c>
      <c r="DS12" s="47">
        <v>867</v>
      </c>
      <c r="DT12" s="47"/>
      <c r="DU12" s="48"/>
      <c r="DV12" s="48">
        <f t="shared" si="39"/>
        <v>757.0724160000001</v>
      </c>
      <c r="DW12" s="47">
        <f t="shared" si="40"/>
        <v>757.0724160000001</v>
      </c>
      <c r="DX12" s="47">
        <v>85</v>
      </c>
      <c r="DY12" s="47"/>
      <c r="DZ12" s="48"/>
      <c r="EA12" s="48">
        <f t="shared" si="41"/>
        <v>53784.217152000005</v>
      </c>
      <c r="EB12" s="47">
        <f t="shared" si="42"/>
        <v>53784.217152000005</v>
      </c>
      <c r="EC12" s="47">
        <v>5888</v>
      </c>
      <c r="ED12" s="47"/>
      <c r="EE12" s="48"/>
      <c r="EF12" s="48">
        <f t="shared" si="43"/>
        <v>12681.3803904</v>
      </c>
      <c r="EG12" s="47">
        <f t="shared" si="44"/>
        <v>12681.3803904</v>
      </c>
      <c r="EH12" s="47">
        <v>1397</v>
      </c>
      <c r="EI12" s="47"/>
      <c r="EJ12" s="47"/>
      <c r="EK12" s="47">
        <f t="shared" si="45"/>
        <v>2111.4543168</v>
      </c>
      <c r="EL12" s="47">
        <f t="shared" si="46"/>
        <v>2111.4543168</v>
      </c>
      <c r="EM12" s="47">
        <v>230</v>
      </c>
      <c r="EN12" s="47"/>
      <c r="EO12" s="48"/>
      <c r="EP12" s="48">
        <f t="shared" si="47"/>
        <v>2272.7111808</v>
      </c>
      <c r="EQ12" s="47">
        <f t="shared" si="48"/>
        <v>2272.7111808</v>
      </c>
      <c r="ER12" s="47">
        <v>259</v>
      </c>
      <c r="ES12" s="47"/>
      <c r="ET12" s="48"/>
      <c r="EU12" s="48">
        <f t="shared" si="49"/>
        <v>173323.1834688</v>
      </c>
      <c r="EV12" s="47">
        <f t="shared" si="50"/>
        <v>173323.1834688</v>
      </c>
      <c r="EW12" s="47">
        <v>19652</v>
      </c>
      <c r="EX12" s="47"/>
      <c r="EY12" s="47"/>
      <c r="EZ12" s="47"/>
      <c r="FA12" s="47">
        <f t="shared" si="51"/>
        <v>0</v>
      </c>
      <c r="FB12" s="47"/>
      <c r="FC12" s="47"/>
    </row>
    <row r="13" spans="1:159" ht="12.75">
      <c r="A13" s="2">
        <v>41000</v>
      </c>
      <c r="C13" s="46">
        <v>7860000</v>
      </c>
      <c r="D13" s="46">
        <v>3258384</v>
      </c>
      <c r="E13" s="46">
        <f t="shared" si="0"/>
        <v>11118384</v>
      </c>
      <c r="F13" s="46">
        <f t="shared" si="1"/>
        <v>445850</v>
      </c>
      <c r="G13" s="46">
        <f t="shared" si="2"/>
        <v>195867</v>
      </c>
      <c r="H13" s="47"/>
      <c r="I13" s="46"/>
      <c r="J13" s="46"/>
      <c r="K13" s="46"/>
      <c r="L13" s="46"/>
      <c r="M13" s="46"/>
      <c r="N13" s="47"/>
      <c r="O13" s="47"/>
      <c r="P13" s="47"/>
      <c r="Q13" s="47"/>
      <c r="R13" s="47"/>
      <c r="S13" s="47"/>
      <c r="T13" s="47"/>
      <c r="U13" s="47">
        <v>2545000</v>
      </c>
      <c r="V13" s="47">
        <v>500925</v>
      </c>
      <c r="W13" s="47">
        <f t="shared" si="3"/>
        <v>3045925</v>
      </c>
      <c r="X13" s="47">
        <v>100291</v>
      </c>
      <c r="Y13" s="47">
        <v>71504</v>
      </c>
      <c r="Z13" s="47"/>
      <c r="AA13" s="47">
        <v>3170000</v>
      </c>
      <c r="AB13" s="47">
        <v>711925</v>
      </c>
      <c r="AC13" s="47">
        <f t="shared" si="4"/>
        <v>3881925</v>
      </c>
      <c r="AD13" s="47">
        <v>106692</v>
      </c>
      <c r="AE13" s="47">
        <v>38692</v>
      </c>
      <c r="AF13" s="47"/>
      <c r="AG13" s="47"/>
      <c r="AH13" s="47">
        <v>237250</v>
      </c>
      <c r="AI13" s="47">
        <f t="shared" si="5"/>
        <v>237250</v>
      </c>
      <c r="AJ13" s="47">
        <v>44322</v>
      </c>
      <c r="AK13" s="47">
        <v>1708</v>
      </c>
      <c r="AL13" s="47"/>
      <c r="AM13" s="47">
        <v>90000</v>
      </c>
      <c r="AN13" s="47">
        <v>929500</v>
      </c>
      <c r="AO13" s="47">
        <f t="shared" si="6"/>
        <v>1019500</v>
      </c>
      <c r="AP13" s="47">
        <v>97908</v>
      </c>
      <c r="AQ13" s="47">
        <v>83963</v>
      </c>
      <c r="AR13" s="47"/>
      <c r="AS13" s="46">
        <v>2055000</v>
      </c>
      <c r="AT13" s="46">
        <v>878784</v>
      </c>
      <c r="AU13" s="46">
        <f t="shared" si="7"/>
        <v>2933784</v>
      </c>
      <c r="AV13" s="46">
        <f t="shared" si="8"/>
        <v>96637</v>
      </c>
      <c r="AW13" s="47"/>
      <c r="AX13" s="48">
        <v>1152018</v>
      </c>
      <c r="AY13" s="48">
        <v>492640</v>
      </c>
      <c r="AZ13" s="48">
        <f t="shared" si="9"/>
        <v>1644658</v>
      </c>
      <c r="BA13" s="48">
        <v>53259</v>
      </c>
      <c r="BB13" s="47"/>
      <c r="BC13" s="47">
        <f t="shared" si="52"/>
        <v>902982.2069999999</v>
      </c>
      <c r="BD13" s="49">
        <f t="shared" si="10"/>
        <v>386144.1926016</v>
      </c>
      <c r="BE13" s="47">
        <f t="shared" si="11"/>
        <v>1289126.3996016</v>
      </c>
      <c r="BF13" s="47">
        <f t="shared" si="12"/>
        <v>43378</v>
      </c>
      <c r="BG13" s="47"/>
      <c r="BH13" s="48">
        <f t="shared" si="53"/>
        <v>15360.714000000002</v>
      </c>
      <c r="BI13" s="49">
        <f t="shared" si="13"/>
        <v>6568.7346432</v>
      </c>
      <c r="BJ13" s="48">
        <f t="shared" si="14"/>
        <v>21929.4486432</v>
      </c>
      <c r="BK13" s="48">
        <v>727</v>
      </c>
      <c r="BL13" s="47"/>
      <c r="BM13" s="48">
        <f t="shared" si="54"/>
        <v>7044.951</v>
      </c>
      <c r="BN13" s="48">
        <f t="shared" si="15"/>
        <v>3012.6473088</v>
      </c>
      <c r="BO13" s="47">
        <f t="shared" si="16"/>
        <v>10057.5983088</v>
      </c>
      <c r="BP13" s="47">
        <v>343</v>
      </c>
      <c r="BQ13" s="47"/>
      <c r="BR13" s="48">
        <f t="shared" si="55"/>
        <v>1458.8445</v>
      </c>
      <c r="BS13" s="48">
        <f t="shared" si="17"/>
        <v>623.8487616</v>
      </c>
      <c r="BT13" s="47">
        <f t="shared" si="18"/>
        <v>2082.6932616</v>
      </c>
      <c r="BU13" s="47">
        <v>71</v>
      </c>
      <c r="BV13" s="47"/>
      <c r="BW13" s="48">
        <f t="shared" si="56"/>
        <v>155963.403</v>
      </c>
      <c r="BX13" s="48">
        <f t="shared" si="19"/>
        <v>66694.96016640001</v>
      </c>
      <c r="BY13" s="47">
        <f t="shared" si="20"/>
        <v>222658.3631664</v>
      </c>
      <c r="BZ13" s="47">
        <v>7431</v>
      </c>
      <c r="CA13" s="47"/>
      <c r="CB13" s="48">
        <f t="shared" si="57"/>
        <v>857.757</v>
      </c>
      <c r="CC13" s="48">
        <f t="shared" si="21"/>
        <v>366.8044416</v>
      </c>
      <c r="CD13" s="47">
        <f t="shared" si="22"/>
        <v>1224.5614415999999</v>
      </c>
      <c r="CE13" s="47">
        <v>42</v>
      </c>
      <c r="CF13" s="47"/>
      <c r="CG13" s="48">
        <f t="shared" si="58"/>
        <v>905.6384999999999</v>
      </c>
      <c r="CH13" s="48">
        <f t="shared" si="23"/>
        <v>387.2801088</v>
      </c>
      <c r="CI13" s="47">
        <f t="shared" si="24"/>
        <v>1292.9186088</v>
      </c>
      <c r="CJ13" s="47">
        <v>44</v>
      </c>
      <c r="CK13" s="47"/>
      <c r="CL13" s="48">
        <f t="shared" si="59"/>
        <v>253.998</v>
      </c>
      <c r="CM13" s="48">
        <f t="shared" si="25"/>
        <v>108.6177024</v>
      </c>
      <c r="CN13" s="47">
        <f t="shared" si="26"/>
        <v>362.6157024</v>
      </c>
      <c r="CO13" s="47">
        <v>12</v>
      </c>
      <c r="CP13" s="47"/>
      <c r="CQ13" s="48">
        <f t="shared" si="60"/>
        <v>4680.468</v>
      </c>
      <c r="CR13" s="48">
        <f t="shared" si="27"/>
        <v>2001.5184384</v>
      </c>
      <c r="CS13" s="47">
        <f t="shared" si="28"/>
        <v>6681.986438399999</v>
      </c>
      <c r="CT13" s="47">
        <v>228</v>
      </c>
      <c r="CU13" s="47"/>
      <c r="CV13" s="48">
        <f t="shared" si="61"/>
        <v>6976.725</v>
      </c>
      <c r="CW13" s="48">
        <f t="shared" si="29"/>
        <v>2983.47168</v>
      </c>
      <c r="CX13" s="47">
        <f t="shared" si="30"/>
        <v>9960.196680000001</v>
      </c>
      <c r="CY13" s="47">
        <v>335</v>
      </c>
      <c r="CZ13" s="47"/>
      <c r="DA13" s="48">
        <f t="shared" si="62"/>
        <v>82200</v>
      </c>
      <c r="DB13" s="48">
        <f t="shared" si="31"/>
        <v>35151.36</v>
      </c>
      <c r="DC13" s="47">
        <f t="shared" si="32"/>
        <v>117351.36</v>
      </c>
      <c r="DD13" s="47">
        <v>4005</v>
      </c>
      <c r="DE13" s="47"/>
      <c r="DF13" s="48">
        <f t="shared" si="63"/>
        <v>4077.5310000000004</v>
      </c>
      <c r="DG13" s="48">
        <f t="shared" si="33"/>
        <v>1743.6832128</v>
      </c>
      <c r="DH13" s="47">
        <f t="shared" si="34"/>
        <v>5821.2142128000005</v>
      </c>
      <c r="DI13" s="47">
        <v>189</v>
      </c>
      <c r="DJ13" s="47"/>
      <c r="DK13" s="48">
        <f t="shared" si="64"/>
        <v>32598.2595</v>
      </c>
      <c r="DL13" s="48">
        <f t="shared" si="35"/>
        <v>13940.062713599998</v>
      </c>
      <c r="DM13" s="47">
        <f t="shared" si="36"/>
        <v>46538.3222136</v>
      </c>
      <c r="DN13" s="47">
        <v>1573</v>
      </c>
      <c r="DO13" s="47"/>
      <c r="DP13" s="48">
        <f t="shared" si="65"/>
        <v>17845.209000000003</v>
      </c>
      <c r="DQ13" s="48">
        <f t="shared" si="37"/>
        <v>7631.184499200001</v>
      </c>
      <c r="DR13" s="47">
        <f t="shared" si="38"/>
        <v>25476.393499200003</v>
      </c>
      <c r="DS13" s="47">
        <v>867</v>
      </c>
      <c r="DT13" s="47"/>
      <c r="DU13" s="48">
        <f t="shared" si="66"/>
        <v>1770.3825</v>
      </c>
      <c r="DV13" s="48">
        <f t="shared" si="39"/>
        <v>757.0724160000001</v>
      </c>
      <c r="DW13" s="47">
        <f t="shared" si="40"/>
        <v>2527.454916</v>
      </c>
      <c r="DX13" s="47">
        <v>85</v>
      </c>
      <c r="DY13" s="47"/>
      <c r="DZ13" s="48">
        <f t="shared" si="67"/>
        <v>125772.165</v>
      </c>
      <c r="EA13" s="48">
        <f t="shared" si="41"/>
        <v>53784.217152000005</v>
      </c>
      <c r="EB13" s="47">
        <f t="shared" si="42"/>
        <v>179556.382152</v>
      </c>
      <c r="EC13" s="47">
        <v>5888</v>
      </c>
      <c r="ED13" s="47"/>
      <c r="EE13" s="48">
        <f t="shared" si="68"/>
        <v>29654.882999999998</v>
      </c>
      <c r="EF13" s="48">
        <f t="shared" si="43"/>
        <v>12681.3803904</v>
      </c>
      <c r="EG13" s="47">
        <f t="shared" si="44"/>
        <v>42336.263390399996</v>
      </c>
      <c r="EH13" s="47">
        <v>1397</v>
      </c>
      <c r="EI13" s="47"/>
      <c r="EJ13" s="47">
        <f t="shared" si="69"/>
        <v>4937.548500000001</v>
      </c>
      <c r="EK13" s="47">
        <f t="shared" si="45"/>
        <v>2111.4543168</v>
      </c>
      <c r="EL13" s="47">
        <f t="shared" si="46"/>
        <v>7049.002816800001</v>
      </c>
      <c r="EM13" s="47">
        <v>230</v>
      </c>
      <c r="EN13" s="47"/>
      <c r="EO13" s="48">
        <f t="shared" si="70"/>
        <v>5314.641</v>
      </c>
      <c r="EP13" s="48">
        <f t="shared" si="47"/>
        <v>2272.7111808</v>
      </c>
      <c r="EQ13" s="47">
        <f t="shared" si="48"/>
        <v>7587.3521808</v>
      </c>
      <c r="ER13" s="47">
        <v>259</v>
      </c>
      <c r="ES13" s="47"/>
      <c r="ET13" s="48">
        <f t="shared" si="71"/>
        <v>405309.0885</v>
      </c>
      <c r="EU13" s="48">
        <f t="shared" si="49"/>
        <v>173323.1834688</v>
      </c>
      <c r="EV13" s="47">
        <f t="shared" si="50"/>
        <v>578632.2719688</v>
      </c>
      <c r="EW13" s="47">
        <v>19652</v>
      </c>
      <c r="EX13" s="47"/>
      <c r="EY13" s="47"/>
      <c r="EZ13" s="47"/>
      <c r="FA13" s="47">
        <f t="shared" si="51"/>
        <v>0</v>
      </c>
      <c r="FB13" s="47"/>
      <c r="FC13" s="47"/>
    </row>
    <row r="14" spans="1:159" ht="12.75">
      <c r="A14" s="2">
        <v>41183</v>
      </c>
      <c r="C14" s="46"/>
      <c r="D14" s="46">
        <v>3140484</v>
      </c>
      <c r="E14" s="46">
        <f t="shared" si="0"/>
        <v>3140484</v>
      </c>
      <c r="F14" s="46">
        <f t="shared" si="1"/>
        <v>445850</v>
      </c>
      <c r="G14" s="46">
        <f t="shared" si="2"/>
        <v>195867</v>
      </c>
      <c r="H14" s="47"/>
      <c r="I14" s="46"/>
      <c r="J14" s="46"/>
      <c r="K14" s="46"/>
      <c r="L14" s="46"/>
      <c r="M14" s="46"/>
      <c r="N14" s="47"/>
      <c r="O14" s="47"/>
      <c r="P14" s="47"/>
      <c r="Q14" s="47"/>
      <c r="R14" s="47"/>
      <c r="S14" s="47"/>
      <c r="T14" s="47"/>
      <c r="U14" s="47"/>
      <c r="V14" s="47">
        <v>462750</v>
      </c>
      <c r="W14" s="47">
        <f t="shared" si="3"/>
        <v>462750</v>
      </c>
      <c r="X14" s="47">
        <v>100291</v>
      </c>
      <c r="Y14" s="47">
        <v>71504</v>
      </c>
      <c r="Z14" s="47"/>
      <c r="AA14" s="47"/>
      <c r="AB14" s="47">
        <v>664375</v>
      </c>
      <c r="AC14" s="47">
        <f t="shared" si="4"/>
        <v>664375</v>
      </c>
      <c r="AD14" s="47">
        <v>106692</v>
      </c>
      <c r="AE14" s="47">
        <v>38692</v>
      </c>
      <c r="AF14" s="47"/>
      <c r="AG14" s="47"/>
      <c r="AH14" s="47">
        <v>237250</v>
      </c>
      <c r="AI14" s="47">
        <f t="shared" si="5"/>
        <v>237250</v>
      </c>
      <c r="AJ14" s="47">
        <v>44322</v>
      </c>
      <c r="AK14" s="47">
        <v>1708</v>
      </c>
      <c r="AL14" s="47"/>
      <c r="AM14" s="47"/>
      <c r="AN14" s="47">
        <v>928150</v>
      </c>
      <c r="AO14" s="47">
        <f t="shared" si="6"/>
        <v>928150</v>
      </c>
      <c r="AP14" s="47">
        <v>97908</v>
      </c>
      <c r="AQ14" s="47">
        <v>83963</v>
      </c>
      <c r="AR14" s="47"/>
      <c r="AS14" s="46"/>
      <c r="AT14" s="46">
        <v>847959</v>
      </c>
      <c r="AU14" s="46">
        <f t="shared" si="7"/>
        <v>847959</v>
      </c>
      <c r="AV14" s="46">
        <f t="shared" si="8"/>
        <v>96637</v>
      </c>
      <c r="AW14" s="47"/>
      <c r="AX14" s="48"/>
      <c r="AY14" s="48">
        <v>475360</v>
      </c>
      <c r="AZ14" s="48">
        <f t="shared" si="9"/>
        <v>475360</v>
      </c>
      <c r="BA14" s="48">
        <v>53259</v>
      </c>
      <c r="BB14" s="47"/>
      <c r="BC14" s="47"/>
      <c r="BD14" s="49">
        <f t="shared" si="10"/>
        <v>372599.4594966</v>
      </c>
      <c r="BE14" s="47">
        <f t="shared" si="11"/>
        <v>372599.4594966</v>
      </c>
      <c r="BF14" s="47">
        <f t="shared" si="12"/>
        <v>43378</v>
      </c>
      <c r="BG14" s="47"/>
      <c r="BH14" s="48"/>
      <c r="BI14" s="49">
        <f t="shared" si="13"/>
        <v>6338.3239332</v>
      </c>
      <c r="BJ14" s="48">
        <f t="shared" si="14"/>
        <v>6338.3239332</v>
      </c>
      <c r="BK14" s="48">
        <v>727</v>
      </c>
      <c r="BL14" s="47"/>
      <c r="BM14" s="48"/>
      <c r="BN14" s="48">
        <f t="shared" si="15"/>
        <v>2906.9730437999997</v>
      </c>
      <c r="BO14" s="47">
        <f t="shared" si="16"/>
        <v>2906.9730437999997</v>
      </c>
      <c r="BP14" s="47">
        <v>343</v>
      </c>
      <c r="BQ14" s="47"/>
      <c r="BR14" s="48"/>
      <c r="BS14" s="48">
        <f t="shared" si="17"/>
        <v>601.9660941</v>
      </c>
      <c r="BT14" s="47">
        <f t="shared" si="18"/>
        <v>601.9660941</v>
      </c>
      <c r="BU14" s="47">
        <v>71</v>
      </c>
      <c r="BV14" s="47"/>
      <c r="BW14" s="48"/>
      <c r="BX14" s="48">
        <f t="shared" si="19"/>
        <v>64355.5091214</v>
      </c>
      <c r="BY14" s="47">
        <f t="shared" si="20"/>
        <v>64355.5091214</v>
      </c>
      <c r="BZ14" s="47">
        <v>7431</v>
      </c>
      <c r="CA14" s="47"/>
      <c r="CB14" s="48"/>
      <c r="CC14" s="48">
        <f t="shared" si="21"/>
        <v>353.9380866</v>
      </c>
      <c r="CD14" s="47">
        <f t="shared" si="22"/>
        <v>353.9380866</v>
      </c>
      <c r="CE14" s="47">
        <v>42</v>
      </c>
      <c r="CF14" s="47"/>
      <c r="CG14" s="48"/>
      <c r="CH14" s="48">
        <f t="shared" si="23"/>
        <v>373.6955313</v>
      </c>
      <c r="CI14" s="47">
        <f t="shared" si="24"/>
        <v>373.6955313</v>
      </c>
      <c r="CJ14" s="47">
        <v>44</v>
      </c>
      <c r="CK14" s="47"/>
      <c r="CL14" s="48"/>
      <c r="CM14" s="48">
        <f t="shared" si="25"/>
        <v>104.8077324</v>
      </c>
      <c r="CN14" s="47">
        <f t="shared" si="26"/>
        <v>104.8077324</v>
      </c>
      <c r="CO14" s="47">
        <v>12</v>
      </c>
      <c r="CP14" s="47"/>
      <c r="CQ14" s="48"/>
      <c r="CR14" s="48">
        <f t="shared" si="27"/>
        <v>1931.3114183999999</v>
      </c>
      <c r="CS14" s="47">
        <f t="shared" si="28"/>
        <v>1931.3114183999999</v>
      </c>
      <c r="CT14" s="47">
        <v>228</v>
      </c>
      <c r="CU14" s="47"/>
      <c r="CV14" s="48"/>
      <c r="CW14" s="48">
        <f t="shared" si="29"/>
        <v>2878.8208050000003</v>
      </c>
      <c r="CX14" s="47">
        <f t="shared" si="30"/>
        <v>2878.8208050000003</v>
      </c>
      <c r="CY14" s="47">
        <v>335</v>
      </c>
      <c r="CZ14" s="47"/>
      <c r="DA14" s="48"/>
      <c r="DB14" s="48">
        <f t="shared" si="31"/>
        <v>33918.36</v>
      </c>
      <c r="DC14" s="47">
        <f t="shared" si="32"/>
        <v>33918.36</v>
      </c>
      <c r="DD14" s="47">
        <v>4005</v>
      </c>
      <c r="DE14" s="47"/>
      <c r="DF14" s="48"/>
      <c r="DG14" s="48">
        <f t="shared" si="33"/>
        <v>1682.5202478</v>
      </c>
      <c r="DH14" s="47">
        <f t="shared" si="34"/>
        <v>1682.5202478</v>
      </c>
      <c r="DI14" s="47">
        <v>189</v>
      </c>
      <c r="DJ14" s="47"/>
      <c r="DK14" s="48"/>
      <c r="DL14" s="48">
        <f t="shared" si="35"/>
        <v>13451.088821099998</v>
      </c>
      <c r="DM14" s="47">
        <f t="shared" si="36"/>
        <v>13451.088821099998</v>
      </c>
      <c r="DN14" s="47">
        <v>1573</v>
      </c>
      <c r="DO14" s="47"/>
      <c r="DP14" s="48"/>
      <c r="DQ14" s="48">
        <f t="shared" si="37"/>
        <v>7363.5063642</v>
      </c>
      <c r="DR14" s="47">
        <f t="shared" si="38"/>
        <v>7363.5063642</v>
      </c>
      <c r="DS14" s="47">
        <v>867</v>
      </c>
      <c r="DT14" s="47"/>
      <c r="DU14" s="48"/>
      <c r="DV14" s="48">
        <f t="shared" si="39"/>
        <v>730.5166785</v>
      </c>
      <c r="DW14" s="47">
        <f t="shared" si="40"/>
        <v>730.5166785</v>
      </c>
      <c r="DX14" s="47">
        <v>85</v>
      </c>
      <c r="DY14" s="47"/>
      <c r="DZ14" s="48"/>
      <c r="EA14" s="48">
        <f t="shared" si="41"/>
        <v>51897.634677</v>
      </c>
      <c r="EB14" s="47">
        <f t="shared" si="42"/>
        <v>51897.634677</v>
      </c>
      <c r="EC14" s="47">
        <v>5888</v>
      </c>
      <c r="ED14" s="47"/>
      <c r="EE14" s="48"/>
      <c r="EF14" s="48">
        <f t="shared" si="43"/>
        <v>12236.5571454</v>
      </c>
      <c r="EG14" s="47">
        <f t="shared" si="44"/>
        <v>12236.5571454</v>
      </c>
      <c r="EH14" s="47">
        <v>1397</v>
      </c>
      <c r="EI14" s="47"/>
      <c r="EJ14" s="47"/>
      <c r="EK14" s="47">
        <f t="shared" si="45"/>
        <v>2037.3910893000002</v>
      </c>
      <c r="EL14" s="47">
        <f t="shared" si="46"/>
        <v>2037.3910893000002</v>
      </c>
      <c r="EM14" s="47">
        <v>230</v>
      </c>
      <c r="EN14" s="47"/>
      <c r="EO14" s="48"/>
      <c r="EP14" s="48">
        <f t="shared" si="47"/>
        <v>2192.9915658</v>
      </c>
      <c r="EQ14" s="47">
        <f t="shared" si="48"/>
        <v>2192.9915658</v>
      </c>
      <c r="ER14" s="47">
        <v>259</v>
      </c>
      <c r="ES14" s="47"/>
      <c r="ET14" s="48"/>
      <c r="EU14" s="48">
        <f t="shared" si="49"/>
        <v>167243.5471413</v>
      </c>
      <c r="EV14" s="47">
        <f t="shared" si="50"/>
        <v>167243.5471413</v>
      </c>
      <c r="EW14" s="47">
        <v>19652</v>
      </c>
      <c r="EX14" s="47"/>
      <c r="EY14" s="47"/>
      <c r="EZ14" s="47"/>
      <c r="FA14" s="47">
        <f t="shared" si="51"/>
        <v>0</v>
      </c>
      <c r="FB14" s="47"/>
      <c r="FC14" s="47"/>
    </row>
    <row r="15" spans="1:159" ht="12.75">
      <c r="A15" s="2">
        <v>41365</v>
      </c>
      <c r="C15" s="46">
        <v>12575000</v>
      </c>
      <c r="D15" s="46">
        <v>3140484</v>
      </c>
      <c r="E15" s="46">
        <f t="shared" si="0"/>
        <v>15715484</v>
      </c>
      <c r="F15" s="46">
        <f t="shared" si="1"/>
        <v>445850</v>
      </c>
      <c r="G15" s="46">
        <f t="shared" si="2"/>
        <v>195867</v>
      </c>
      <c r="H15" s="47"/>
      <c r="I15" s="46"/>
      <c r="J15" s="46"/>
      <c r="K15" s="46"/>
      <c r="L15" s="46"/>
      <c r="M15" s="46"/>
      <c r="N15" s="47"/>
      <c r="O15" s="47"/>
      <c r="P15" s="47"/>
      <c r="Q15" s="47"/>
      <c r="R15" s="47"/>
      <c r="S15" s="47"/>
      <c r="T15" s="47"/>
      <c r="U15" s="47">
        <v>2620000</v>
      </c>
      <c r="V15" s="47">
        <v>462750</v>
      </c>
      <c r="W15" s="47">
        <f t="shared" si="3"/>
        <v>3082750</v>
      </c>
      <c r="X15" s="47">
        <v>100291</v>
      </c>
      <c r="Y15" s="47">
        <v>71504</v>
      </c>
      <c r="Z15" s="47"/>
      <c r="AA15" s="47">
        <v>3265000</v>
      </c>
      <c r="AB15" s="47">
        <v>664375</v>
      </c>
      <c r="AC15" s="47">
        <f t="shared" si="4"/>
        <v>3929375</v>
      </c>
      <c r="AD15" s="47">
        <v>106692</v>
      </c>
      <c r="AE15" s="47">
        <v>38692</v>
      </c>
      <c r="AF15" s="47"/>
      <c r="AG15" s="47"/>
      <c r="AH15" s="47">
        <v>237250</v>
      </c>
      <c r="AI15" s="47">
        <f t="shared" si="5"/>
        <v>237250</v>
      </c>
      <c r="AJ15" s="47">
        <v>44322</v>
      </c>
      <c r="AK15" s="47">
        <v>1708</v>
      </c>
      <c r="AL15" s="47"/>
      <c r="AM15" s="47">
        <v>4575000</v>
      </c>
      <c r="AN15" s="47">
        <v>928150</v>
      </c>
      <c r="AO15" s="47">
        <f t="shared" si="6"/>
        <v>5503150</v>
      </c>
      <c r="AP15" s="47">
        <v>97908</v>
      </c>
      <c r="AQ15" s="47">
        <v>83963</v>
      </c>
      <c r="AR15" s="47"/>
      <c r="AS15" s="46">
        <v>2115000</v>
      </c>
      <c r="AT15" s="46">
        <v>847959</v>
      </c>
      <c r="AU15" s="46">
        <f t="shared" si="7"/>
        <v>2962959</v>
      </c>
      <c r="AV15" s="46">
        <f t="shared" si="8"/>
        <v>96637</v>
      </c>
      <c r="AW15" s="47"/>
      <c r="AX15" s="48">
        <v>1185653</v>
      </c>
      <c r="AY15" s="48">
        <v>475360</v>
      </c>
      <c r="AZ15" s="48">
        <f t="shared" si="9"/>
        <v>1661013</v>
      </c>
      <c r="BA15" s="48">
        <v>53259</v>
      </c>
      <c r="BB15" s="47"/>
      <c r="BC15" s="47">
        <f t="shared" si="52"/>
        <v>929346.651</v>
      </c>
      <c r="BD15" s="49">
        <f t="shared" si="10"/>
        <v>372599.4594966</v>
      </c>
      <c r="BE15" s="47">
        <f t="shared" si="11"/>
        <v>1301946.1104966</v>
      </c>
      <c r="BF15" s="47">
        <f t="shared" si="12"/>
        <v>43378</v>
      </c>
      <c r="BG15" s="47"/>
      <c r="BH15" s="48">
        <f t="shared" si="53"/>
        <v>15809.202000000001</v>
      </c>
      <c r="BI15" s="49">
        <f t="shared" si="13"/>
        <v>6338.3239332</v>
      </c>
      <c r="BJ15" s="48">
        <f t="shared" si="14"/>
        <v>22147.525933200002</v>
      </c>
      <c r="BK15" s="48">
        <v>727</v>
      </c>
      <c r="BL15" s="47"/>
      <c r="BM15" s="48">
        <f t="shared" si="54"/>
        <v>7250.643</v>
      </c>
      <c r="BN15" s="48">
        <f t="shared" si="15"/>
        <v>2906.9730437999997</v>
      </c>
      <c r="BO15" s="47">
        <f t="shared" si="16"/>
        <v>10157.6160438</v>
      </c>
      <c r="BP15" s="47">
        <v>343</v>
      </c>
      <c r="BQ15" s="47"/>
      <c r="BR15" s="48">
        <f t="shared" si="55"/>
        <v>1501.4385</v>
      </c>
      <c r="BS15" s="48">
        <f t="shared" si="17"/>
        <v>601.9660941</v>
      </c>
      <c r="BT15" s="47">
        <f t="shared" si="18"/>
        <v>2103.4045941</v>
      </c>
      <c r="BU15" s="47">
        <v>71</v>
      </c>
      <c r="BV15" s="47"/>
      <c r="BW15" s="48">
        <f t="shared" si="56"/>
        <v>160517.079</v>
      </c>
      <c r="BX15" s="48">
        <f t="shared" si="19"/>
        <v>64355.5091214</v>
      </c>
      <c r="BY15" s="47">
        <f t="shared" si="20"/>
        <v>224872.58812139998</v>
      </c>
      <c r="BZ15" s="47">
        <v>7431</v>
      </c>
      <c r="CA15" s="47"/>
      <c r="CB15" s="48">
        <f t="shared" si="57"/>
        <v>882.801</v>
      </c>
      <c r="CC15" s="48">
        <f t="shared" si="21"/>
        <v>353.9380866</v>
      </c>
      <c r="CD15" s="47">
        <f t="shared" si="22"/>
        <v>1236.7390866</v>
      </c>
      <c r="CE15" s="47">
        <v>42</v>
      </c>
      <c r="CF15" s="47"/>
      <c r="CG15" s="48">
        <f t="shared" si="58"/>
        <v>932.0805</v>
      </c>
      <c r="CH15" s="48">
        <f t="shared" si="23"/>
        <v>373.6955313</v>
      </c>
      <c r="CI15" s="47">
        <f t="shared" si="24"/>
        <v>1305.7760313</v>
      </c>
      <c r="CJ15" s="47">
        <v>44</v>
      </c>
      <c r="CK15" s="47"/>
      <c r="CL15" s="48">
        <f t="shared" si="59"/>
        <v>261.414</v>
      </c>
      <c r="CM15" s="48">
        <f t="shared" si="25"/>
        <v>104.8077324</v>
      </c>
      <c r="CN15" s="47">
        <f t="shared" si="26"/>
        <v>366.2217324</v>
      </c>
      <c r="CO15" s="47">
        <v>12</v>
      </c>
      <c r="CP15" s="47"/>
      <c r="CQ15" s="48">
        <f t="shared" si="60"/>
        <v>4817.124</v>
      </c>
      <c r="CR15" s="48">
        <f t="shared" si="27"/>
        <v>1931.3114183999999</v>
      </c>
      <c r="CS15" s="47">
        <f t="shared" si="28"/>
        <v>6748.435418399999</v>
      </c>
      <c r="CT15" s="47">
        <v>228</v>
      </c>
      <c r="CU15" s="47"/>
      <c r="CV15" s="48">
        <f t="shared" si="61"/>
        <v>7180.425</v>
      </c>
      <c r="CW15" s="48">
        <f t="shared" si="29"/>
        <v>2878.8208050000003</v>
      </c>
      <c r="CX15" s="47">
        <f t="shared" si="30"/>
        <v>10059.245805</v>
      </c>
      <c r="CY15" s="47">
        <v>335</v>
      </c>
      <c r="CZ15" s="47"/>
      <c r="DA15" s="48">
        <f t="shared" si="62"/>
        <v>84600</v>
      </c>
      <c r="DB15" s="48">
        <f t="shared" si="31"/>
        <v>33918.36</v>
      </c>
      <c r="DC15" s="47">
        <f t="shared" si="32"/>
        <v>118518.36</v>
      </c>
      <c r="DD15" s="47">
        <v>4005</v>
      </c>
      <c r="DE15" s="47"/>
      <c r="DF15" s="48">
        <f t="shared" si="63"/>
        <v>4196.5830000000005</v>
      </c>
      <c r="DG15" s="48">
        <f t="shared" si="33"/>
        <v>1682.5202478</v>
      </c>
      <c r="DH15" s="47">
        <f t="shared" si="34"/>
        <v>5879.103247800001</v>
      </c>
      <c r="DI15" s="47">
        <v>189</v>
      </c>
      <c r="DJ15" s="47"/>
      <c r="DK15" s="48">
        <f t="shared" si="64"/>
        <v>33550.0335</v>
      </c>
      <c r="DL15" s="48">
        <f t="shared" si="35"/>
        <v>13451.088821099998</v>
      </c>
      <c r="DM15" s="47">
        <f t="shared" si="36"/>
        <v>47001.122321099996</v>
      </c>
      <c r="DN15" s="47">
        <v>1573</v>
      </c>
      <c r="DO15" s="47"/>
      <c r="DP15" s="48">
        <f t="shared" si="65"/>
        <v>18366.237</v>
      </c>
      <c r="DQ15" s="48">
        <f t="shared" si="37"/>
        <v>7363.5063642</v>
      </c>
      <c r="DR15" s="47">
        <f t="shared" si="38"/>
        <v>25729.7433642</v>
      </c>
      <c r="DS15" s="47">
        <v>867</v>
      </c>
      <c r="DT15" s="47"/>
      <c r="DU15" s="48">
        <f t="shared" si="66"/>
        <v>1822.0725</v>
      </c>
      <c r="DV15" s="48">
        <f t="shared" si="39"/>
        <v>730.5166785</v>
      </c>
      <c r="DW15" s="47">
        <f t="shared" si="40"/>
        <v>2552.5891785</v>
      </c>
      <c r="DX15" s="47">
        <v>85</v>
      </c>
      <c r="DY15" s="47"/>
      <c r="DZ15" s="48">
        <f t="shared" si="67"/>
        <v>129444.345</v>
      </c>
      <c r="EA15" s="48">
        <f t="shared" si="41"/>
        <v>51897.634677</v>
      </c>
      <c r="EB15" s="47">
        <f t="shared" si="42"/>
        <v>181341.979677</v>
      </c>
      <c r="EC15" s="47">
        <v>5888</v>
      </c>
      <c r="ED15" s="47"/>
      <c r="EE15" s="48">
        <f t="shared" si="68"/>
        <v>30520.718999999997</v>
      </c>
      <c r="EF15" s="48">
        <f t="shared" si="43"/>
        <v>12236.5571454</v>
      </c>
      <c r="EG15" s="47">
        <f t="shared" si="44"/>
        <v>42757.2761454</v>
      </c>
      <c r="EH15" s="47">
        <v>1397</v>
      </c>
      <c r="EI15" s="47"/>
      <c r="EJ15" s="47">
        <f t="shared" si="69"/>
        <v>5081.7105</v>
      </c>
      <c r="EK15" s="47">
        <f t="shared" si="45"/>
        <v>2037.3910893000002</v>
      </c>
      <c r="EL15" s="47">
        <f t="shared" si="46"/>
        <v>7119.1015893</v>
      </c>
      <c r="EM15" s="47">
        <v>230</v>
      </c>
      <c r="EN15" s="47"/>
      <c r="EO15" s="48">
        <f t="shared" si="70"/>
        <v>5469.813</v>
      </c>
      <c r="EP15" s="48">
        <f t="shared" si="47"/>
        <v>2192.9915658</v>
      </c>
      <c r="EQ15" s="47">
        <f t="shared" si="48"/>
        <v>7662.8045658</v>
      </c>
      <c r="ER15" s="47">
        <v>259</v>
      </c>
      <c r="ES15" s="47"/>
      <c r="ET15" s="48">
        <f t="shared" si="71"/>
        <v>417142.93049999996</v>
      </c>
      <c r="EU15" s="48">
        <f t="shared" si="49"/>
        <v>167243.5471413</v>
      </c>
      <c r="EV15" s="47">
        <f t="shared" si="50"/>
        <v>584386.4776413</v>
      </c>
      <c r="EW15" s="47">
        <v>19652</v>
      </c>
      <c r="EX15" s="47"/>
      <c r="EY15" s="47"/>
      <c r="EZ15" s="47"/>
      <c r="FA15" s="47">
        <f t="shared" si="51"/>
        <v>0</v>
      </c>
      <c r="FB15" s="47"/>
      <c r="FC15" s="47"/>
    </row>
    <row r="16" spans="1:159" ht="12.75">
      <c r="A16" s="2">
        <v>41548</v>
      </c>
      <c r="C16" s="46"/>
      <c r="D16" s="46">
        <v>2826109</v>
      </c>
      <c r="E16" s="46">
        <f t="shared" si="0"/>
        <v>2826109</v>
      </c>
      <c r="F16" s="46">
        <f t="shared" si="1"/>
        <v>445850</v>
      </c>
      <c r="G16" s="46">
        <f t="shared" si="2"/>
        <v>195867</v>
      </c>
      <c r="H16" s="47"/>
      <c r="I16" s="46"/>
      <c r="J16" s="46"/>
      <c r="K16" s="46"/>
      <c r="L16" s="46"/>
      <c r="M16" s="46"/>
      <c r="N16" s="47"/>
      <c r="O16" s="47"/>
      <c r="P16" s="47"/>
      <c r="Q16" s="47"/>
      <c r="R16" s="47"/>
      <c r="S16" s="47"/>
      <c r="T16" s="47"/>
      <c r="U16" s="47"/>
      <c r="V16" s="47">
        <v>397250</v>
      </c>
      <c r="W16" s="47">
        <f t="shared" si="3"/>
        <v>397250</v>
      </c>
      <c r="X16" s="47">
        <v>100291</v>
      </c>
      <c r="Y16" s="47">
        <v>71504</v>
      </c>
      <c r="Z16" s="47"/>
      <c r="AA16" s="47"/>
      <c r="AB16" s="47">
        <v>582750</v>
      </c>
      <c r="AC16" s="47">
        <f t="shared" si="4"/>
        <v>582750</v>
      </c>
      <c r="AD16" s="47">
        <v>106692</v>
      </c>
      <c r="AE16" s="47">
        <v>38692</v>
      </c>
      <c r="AF16" s="47"/>
      <c r="AG16" s="47"/>
      <c r="AH16" s="47">
        <v>237250</v>
      </c>
      <c r="AI16" s="47">
        <f t="shared" si="5"/>
        <v>237250</v>
      </c>
      <c r="AJ16" s="47">
        <v>44322</v>
      </c>
      <c r="AK16" s="47">
        <v>1708</v>
      </c>
      <c r="AL16" s="47"/>
      <c r="AM16" s="47"/>
      <c r="AN16" s="47">
        <v>813775</v>
      </c>
      <c r="AO16" s="47">
        <f t="shared" si="6"/>
        <v>813775</v>
      </c>
      <c r="AP16" s="47">
        <v>97908</v>
      </c>
      <c r="AQ16" s="47">
        <v>83963</v>
      </c>
      <c r="AR16" s="47"/>
      <c r="AS16" s="46"/>
      <c r="AT16" s="46">
        <v>795084</v>
      </c>
      <c r="AU16" s="46">
        <f t="shared" si="7"/>
        <v>795084</v>
      </c>
      <c r="AV16" s="46">
        <f t="shared" si="8"/>
        <v>96637</v>
      </c>
      <c r="AW16" s="47"/>
      <c r="AX16" s="48"/>
      <c r="AY16" s="48">
        <v>445718</v>
      </c>
      <c r="AZ16" s="48">
        <f t="shared" si="9"/>
        <v>445718</v>
      </c>
      <c r="BA16" s="48">
        <v>53259</v>
      </c>
      <c r="BB16" s="47"/>
      <c r="BC16" s="47"/>
      <c r="BD16" s="49">
        <f t="shared" si="10"/>
        <v>349365.7932216</v>
      </c>
      <c r="BE16" s="47">
        <f t="shared" si="11"/>
        <v>349365.7932216</v>
      </c>
      <c r="BF16" s="47">
        <f t="shared" si="12"/>
        <v>43378</v>
      </c>
      <c r="BG16" s="47"/>
      <c r="BH16" s="48"/>
      <c r="BI16" s="49">
        <f t="shared" si="13"/>
        <v>5943.0938832</v>
      </c>
      <c r="BJ16" s="48">
        <f t="shared" si="14"/>
        <v>5943.0938832</v>
      </c>
      <c r="BK16" s="48">
        <v>727</v>
      </c>
      <c r="BL16" s="47"/>
      <c r="BM16" s="48"/>
      <c r="BN16" s="48">
        <f t="shared" si="15"/>
        <v>2725.7069688</v>
      </c>
      <c r="BO16" s="47">
        <f t="shared" si="16"/>
        <v>2725.7069688</v>
      </c>
      <c r="BP16" s="47">
        <v>343</v>
      </c>
      <c r="BQ16" s="47"/>
      <c r="BR16" s="48"/>
      <c r="BS16" s="48">
        <f t="shared" si="17"/>
        <v>564.4301316</v>
      </c>
      <c r="BT16" s="47">
        <f t="shared" si="18"/>
        <v>564.4301316</v>
      </c>
      <c r="BU16" s="47">
        <v>71</v>
      </c>
      <c r="BV16" s="47"/>
      <c r="BW16" s="48"/>
      <c r="BX16" s="48">
        <f t="shared" si="19"/>
        <v>60342.5821464</v>
      </c>
      <c r="BY16" s="47">
        <f t="shared" si="20"/>
        <v>60342.5821464</v>
      </c>
      <c r="BZ16" s="47">
        <v>7431</v>
      </c>
      <c r="CA16" s="47"/>
      <c r="CB16" s="48"/>
      <c r="CC16" s="48">
        <f t="shared" si="21"/>
        <v>331.8680616</v>
      </c>
      <c r="CD16" s="47">
        <f t="shared" si="22"/>
        <v>331.8680616</v>
      </c>
      <c r="CE16" s="47">
        <v>42</v>
      </c>
      <c r="CF16" s="47"/>
      <c r="CG16" s="48"/>
      <c r="CH16" s="48">
        <f t="shared" si="23"/>
        <v>350.39351880000004</v>
      </c>
      <c r="CI16" s="47">
        <f t="shared" si="24"/>
        <v>350.39351880000004</v>
      </c>
      <c r="CJ16" s="47">
        <v>44</v>
      </c>
      <c r="CK16" s="47"/>
      <c r="CL16" s="48"/>
      <c r="CM16" s="48">
        <f t="shared" si="25"/>
        <v>98.27238239999998</v>
      </c>
      <c r="CN16" s="47">
        <f t="shared" si="26"/>
        <v>98.27238239999998</v>
      </c>
      <c r="CO16" s="47">
        <v>12</v>
      </c>
      <c r="CP16" s="47"/>
      <c r="CQ16" s="48"/>
      <c r="CR16" s="48">
        <f t="shared" si="27"/>
        <v>1810.8833184</v>
      </c>
      <c r="CS16" s="47">
        <f t="shared" si="28"/>
        <v>1810.8833184</v>
      </c>
      <c r="CT16" s="47">
        <v>228</v>
      </c>
      <c r="CU16" s="47"/>
      <c r="CV16" s="48"/>
      <c r="CW16" s="48">
        <f t="shared" si="29"/>
        <v>2699.3101800000004</v>
      </c>
      <c r="CX16" s="47">
        <f t="shared" si="30"/>
        <v>2699.3101800000004</v>
      </c>
      <c r="CY16" s="47">
        <v>335</v>
      </c>
      <c r="CZ16" s="47"/>
      <c r="DA16" s="48"/>
      <c r="DB16" s="48">
        <f t="shared" si="31"/>
        <v>31803.36</v>
      </c>
      <c r="DC16" s="47">
        <f t="shared" si="32"/>
        <v>31803.36</v>
      </c>
      <c r="DD16" s="47">
        <v>4005</v>
      </c>
      <c r="DE16" s="47"/>
      <c r="DF16" s="48"/>
      <c r="DG16" s="48">
        <f t="shared" si="33"/>
        <v>1577.6056728</v>
      </c>
      <c r="DH16" s="47">
        <f t="shared" si="34"/>
        <v>1577.6056728</v>
      </c>
      <c r="DI16" s="47">
        <v>189</v>
      </c>
      <c r="DJ16" s="47"/>
      <c r="DK16" s="48"/>
      <c r="DL16" s="48">
        <f t="shared" si="35"/>
        <v>12612.337983599999</v>
      </c>
      <c r="DM16" s="47">
        <f t="shared" si="36"/>
        <v>12612.337983599999</v>
      </c>
      <c r="DN16" s="47">
        <v>1573</v>
      </c>
      <c r="DO16" s="47"/>
      <c r="DP16" s="48"/>
      <c r="DQ16" s="48">
        <f t="shared" si="37"/>
        <v>6904.3504392</v>
      </c>
      <c r="DR16" s="47">
        <f t="shared" si="38"/>
        <v>6904.3504392</v>
      </c>
      <c r="DS16" s="47">
        <v>867</v>
      </c>
      <c r="DT16" s="47"/>
      <c r="DU16" s="48"/>
      <c r="DV16" s="48">
        <f t="shared" si="39"/>
        <v>684.964866</v>
      </c>
      <c r="DW16" s="47">
        <f t="shared" si="40"/>
        <v>684.964866</v>
      </c>
      <c r="DX16" s="47">
        <v>85</v>
      </c>
      <c r="DY16" s="47"/>
      <c r="DZ16" s="48"/>
      <c r="EA16" s="48">
        <f t="shared" si="41"/>
        <v>48661.526052</v>
      </c>
      <c r="EB16" s="47">
        <f t="shared" si="42"/>
        <v>48661.526052</v>
      </c>
      <c r="EC16" s="47">
        <v>5888</v>
      </c>
      <c r="ED16" s="47"/>
      <c r="EE16" s="48"/>
      <c r="EF16" s="48">
        <f t="shared" si="43"/>
        <v>11473.5391704</v>
      </c>
      <c r="EG16" s="47">
        <f t="shared" si="44"/>
        <v>11473.5391704</v>
      </c>
      <c r="EH16" s="47">
        <v>1397</v>
      </c>
      <c r="EI16" s="47"/>
      <c r="EJ16" s="47"/>
      <c r="EK16" s="47">
        <f t="shared" si="45"/>
        <v>1910.3483268000002</v>
      </c>
      <c r="EL16" s="47">
        <f t="shared" si="46"/>
        <v>1910.3483268000002</v>
      </c>
      <c r="EM16" s="47">
        <v>230</v>
      </c>
      <c r="EN16" s="47"/>
      <c r="EO16" s="48"/>
      <c r="EP16" s="48">
        <f t="shared" si="47"/>
        <v>2056.2462408</v>
      </c>
      <c r="EQ16" s="47">
        <f t="shared" si="48"/>
        <v>2056.2462408</v>
      </c>
      <c r="ER16" s="47">
        <v>259</v>
      </c>
      <c r="ES16" s="47"/>
      <c r="ET16" s="48"/>
      <c r="EU16" s="48">
        <f t="shared" si="49"/>
        <v>156814.9738788</v>
      </c>
      <c r="EV16" s="47">
        <f t="shared" si="50"/>
        <v>156814.9738788</v>
      </c>
      <c r="EW16" s="47">
        <v>19652</v>
      </c>
      <c r="EX16" s="47"/>
      <c r="EY16" s="47"/>
      <c r="EZ16" s="47"/>
      <c r="FA16" s="47">
        <f t="shared" si="51"/>
        <v>0</v>
      </c>
      <c r="FB16" s="47"/>
      <c r="FC16" s="47"/>
    </row>
    <row r="17" spans="1:159" ht="12.75">
      <c r="A17" s="2">
        <v>41730</v>
      </c>
      <c r="C17" s="46">
        <v>17955000</v>
      </c>
      <c r="D17" s="46">
        <v>2826109</v>
      </c>
      <c r="E17" s="46">
        <f t="shared" si="0"/>
        <v>20781109</v>
      </c>
      <c r="F17" s="46">
        <f t="shared" si="1"/>
        <v>445850</v>
      </c>
      <c r="G17" s="46">
        <f t="shared" si="2"/>
        <v>195866</v>
      </c>
      <c r="H17" s="47"/>
      <c r="I17" s="46"/>
      <c r="J17" s="46"/>
      <c r="K17" s="46"/>
      <c r="L17" s="46"/>
      <c r="M17" s="46"/>
      <c r="N17" s="47"/>
      <c r="O17" s="47"/>
      <c r="P17" s="47"/>
      <c r="Q17" s="47"/>
      <c r="R17" s="47"/>
      <c r="S17" s="47"/>
      <c r="T17" s="47"/>
      <c r="U17" s="47">
        <v>2875000</v>
      </c>
      <c r="V17" s="47">
        <v>397250</v>
      </c>
      <c r="W17" s="47">
        <f t="shared" si="3"/>
        <v>3272250</v>
      </c>
      <c r="X17" s="47">
        <v>100291</v>
      </c>
      <c r="Y17" s="47">
        <v>71504</v>
      </c>
      <c r="Z17" s="47"/>
      <c r="AA17" s="47">
        <v>3425000</v>
      </c>
      <c r="AB17" s="47">
        <v>582750</v>
      </c>
      <c r="AC17" s="47">
        <f t="shared" si="4"/>
        <v>4007750</v>
      </c>
      <c r="AD17" s="47">
        <v>106692</v>
      </c>
      <c r="AE17" s="47">
        <v>38692</v>
      </c>
      <c r="AF17" s="47"/>
      <c r="AG17" s="47">
        <v>4630000</v>
      </c>
      <c r="AH17" s="47">
        <v>237250</v>
      </c>
      <c r="AI17" s="47">
        <f t="shared" si="5"/>
        <v>4867250</v>
      </c>
      <c r="AJ17" s="47">
        <v>44322</v>
      </c>
      <c r="AK17" s="47">
        <v>1707</v>
      </c>
      <c r="AL17" s="47"/>
      <c r="AM17" s="47">
        <v>4805000</v>
      </c>
      <c r="AN17" s="47">
        <v>813775</v>
      </c>
      <c r="AO17" s="47">
        <f t="shared" si="6"/>
        <v>5618775</v>
      </c>
      <c r="AP17" s="47">
        <v>97908</v>
      </c>
      <c r="AQ17" s="47">
        <v>83963</v>
      </c>
      <c r="AR17" s="47"/>
      <c r="AS17" s="46">
        <v>2220000</v>
      </c>
      <c r="AT17" s="46">
        <v>795084</v>
      </c>
      <c r="AU17" s="46">
        <f t="shared" si="7"/>
        <v>3015084</v>
      </c>
      <c r="AV17" s="46">
        <f t="shared" si="8"/>
        <v>96637</v>
      </c>
      <c r="AW17" s="47"/>
      <c r="AX17" s="48">
        <v>1244516</v>
      </c>
      <c r="AY17" s="48">
        <v>445718</v>
      </c>
      <c r="AZ17" s="48">
        <f t="shared" si="9"/>
        <v>1690234</v>
      </c>
      <c r="BA17" s="48">
        <v>53259</v>
      </c>
      <c r="BB17" s="47"/>
      <c r="BC17" s="47">
        <f t="shared" si="52"/>
        <v>975484.428</v>
      </c>
      <c r="BD17" s="49">
        <f t="shared" si="10"/>
        <v>349365.7932216</v>
      </c>
      <c r="BE17" s="47">
        <f t="shared" si="11"/>
        <v>1324850.2212216</v>
      </c>
      <c r="BF17" s="47">
        <f t="shared" si="12"/>
        <v>43378</v>
      </c>
      <c r="BG17" s="47"/>
      <c r="BH17" s="48">
        <f t="shared" si="53"/>
        <v>16594.056</v>
      </c>
      <c r="BI17" s="49">
        <f t="shared" si="13"/>
        <v>5943.0938832</v>
      </c>
      <c r="BJ17" s="48">
        <f t="shared" si="14"/>
        <v>22537.1498832</v>
      </c>
      <c r="BK17" s="48">
        <v>727</v>
      </c>
      <c r="BL17" s="47"/>
      <c r="BM17" s="48">
        <f t="shared" si="54"/>
        <v>7610.604</v>
      </c>
      <c r="BN17" s="48">
        <f t="shared" si="15"/>
        <v>2725.7069688</v>
      </c>
      <c r="BO17" s="47">
        <f t="shared" si="16"/>
        <v>10336.3109688</v>
      </c>
      <c r="BP17" s="47">
        <v>343</v>
      </c>
      <c r="BQ17" s="47"/>
      <c r="BR17" s="48">
        <f t="shared" si="55"/>
        <v>1575.9779999999998</v>
      </c>
      <c r="BS17" s="48">
        <f t="shared" si="17"/>
        <v>564.4301316</v>
      </c>
      <c r="BT17" s="47">
        <f t="shared" si="18"/>
        <v>2140.4081315999997</v>
      </c>
      <c r="BU17" s="47">
        <v>71</v>
      </c>
      <c r="BV17" s="47"/>
      <c r="BW17" s="48">
        <f t="shared" si="56"/>
        <v>168486.012</v>
      </c>
      <c r="BX17" s="48">
        <f t="shared" si="19"/>
        <v>60342.5821464</v>
      </c>
      <c r="BY17" s="47">
        <f t="shared" si="20"/>
        <v>228828.5941464</v>
      </c>
      <c r="BZ17" s="47">
        <v>7431</v>
      </c>
      <c r="CA17" s="47"/>
      <c r="CB17" s="48">
        <f t="shared" si="57"/>
        <v>926.628</v>
      </c>
      <c r="CC17" s="48">
        <f t="shared" si="21"/>
        <v>331.8680616</v>
      </c>
      <c r="CD17" s="47">
        <f t="shared" si="22"/>
        <v>1258.4960616</v>
      </c>
      <c r="CE17" s="47">
        <v>42</v>
      </c>
      <c r="CF17" s="47"/>
      <c r="CG17" s="48">
        <f t="shared" si="58"/>
        <v>978.3539999999999</v>
      </c>
      <c r="CH17" s="48">
        <f t="shared" si="23"/>
        <v>350.39351880000004</v>
      </c>
      <c r="CI17" s="47">
        <f t="shared" si="24"/>
        <v>1328.7475187999999</v>
      </c>
      <c r="CJ17" s="47">
        <v>44</v>
      </c>
      <c r="CK17" s="47"/>
      <c r="CL17" s="48">
        <f t="shared" si="59"/>
        <v>274.392</v>
      </c>
      <c r="CM17" s="48">
        <f t="shared" si="25"/>
        <v>98.27238239999998</v>
      </c>
      <c r="CN17" s="47">
        <f t="shared" si="26"/>
        <v>372.66438239999997</v>
      </c>
      <c r="CO17" s="47">
        <v>12</v>
      </c>
      <c r="CP17" s="47"/>
      <c r="CQ17" s="48">
        <f t="shared" si="60"/>
        <v>5056.272</v>
      </c>
      <c r="CR17" s="48">
        <f t="shared" si="27"/>
        <v>1810.8833184</v>
      </c>
      <c r="CS17" s="47">
        <f t="shared" si="28"/>
        <v>6867.1553184</v>
      </c>
      <c r="CT17" s="47">
        <v>228</v>
      </c>
      <c r="CU17" s="47"/>
      <c r="CV17" s="48">
        <f t="shared" si="61"/>
        <v>7536.9</v>
      </c>
      <c r="CW17" s="48">
        <f t="shared" si="29"/>
        <v>2699.3101800000004</v>
      </c>
      <c r="CX17" s="47">
        <f t="shared" si="30"/>
        <v>10236.21018</v>
      </c>
      <c r="CY17" s="47">
        <v>335</v>
      </c>
      <c r="CZ17" s="47"/>
      <c r="DA17" s="48">
        <f t="shared" si="62"/>
        <v>88800</v>
      </c>
      <c r="DB17" s="48">
        <f t="shared" si="31"/>
        <v>31803.36</v>
      </c>
      <c r="DC17" s="47">
        <f t="shared" si="32"/>
        <v>120603.36</v>
      </c>
      <c r="DD17" s="47">
        <v>4005</v>
      </c>
      <c r="DE17" s="47"/>
      <c r="DF17" s="48">
        <f t="shared" si="63"/>
        <v>4404.924</v>
      </c>
      <c r="DG17" s="48">
        <f t="shared" si="33"/>
        <v>1577.6056728</v>
      </c>
      <c r="DH17" s="47">
        <f t="shared" si="34"/>
        <v>5982.5296728</v>
      </c>
      <c r="DI17" s="47">
        <v>189</v>
      </c>
      <c r="DJ17" s="47"/>
      <c r="DK17" s="48">
        <f t="shared" si="64"/>
        <v>35215.638</v>
      </c>
      <c r="DL17" s="48">
        <f t="shared" si="35"/>
        <v>12612.337983599999</v>
      </c>
      <c r="DM17" s="47">
        <f t="shared" si="36"/>
        <v>47827.9759836</v>
      </c>
      <c r="DN17" s="47">
        <v>1573</v>
      </c>
      <c r="DO17" s="47"/>
      <c r="DP17" s="48">
        <f t="shared" si="65"/>
        <v>19278.036</v>
      </c>
      <c r="DQ17" s="48">
        <f t="shared" si="37"/>
        <v>6904.3504392</v>
      </c>
      <c r="DR17" s="47">
        <f t="shared" si="38"/>
        <v>26182.3864392</v>
      </c>
      <c r="DS17" s="47">
        <v>867</v>
      </c>
      <c r="DT17" s="47"/>
      <c r="DU17" s="48">
        <f t="shared" si="66"/>
        <v>1912.53</v>
      </c>
      <c r="DV17" s="48">
        <f t="shared" si="39"/>
        <v>684.964866</v>
      </c>
      <c r="DW17" s="47">
        <f t="shared" si="40"/>
        <v>2597.494866</v>
      </c>
      <c r="DX17" s="47">
        <v>85</v>
      </c>
      <c r="DY17" s="47"/>
      <c r="DZ17" s="48">
        <f t="shared" si="67"/>
        <v>135870.66</v>
      </c>
      <c r="EA17" s="48">
        <f t="shared" si="41"/>
        <v>48661.526052</v>
      </c>
      <c r="EB17" s="47">
        <f t="shared" si="42"/>
        <v>184532.186052</v>
      </c>
      <c r="EC17" s="47">
        <v>5888</v>
      </c>
      <c r="ED17" s="47"/>
      <c r="EE17" s="48">
        <f t="shared" si="68"/>
        <v>32035.932</v>
      </c>
      <c r="EF17" s="48">
        <f t="shared" si="43"/>
        <v>11473.5391704</v>
      </c>
      <c r="EG17" s="47">
        <f t="shared" si="44"/>
        <v>43509.4711704</v>
      </c>
      <c r="EH17" s="47">
        <v>1397</v>
      </c>
      <c r="EI17" s="47"/>
      <c r="EJ17" s="47">
        <f t="shared" si="69"/>
        <v>5333.994000000001</v>
      </c>
      <c r="EK17" s="47">
        <f t="shared" si="45"/>
        <v>1910.3483268000002</v>
      </c>
      <c r="EL17" s="47">
        <f t="shared" si="46"/>
        <v>7244.342326800001</v>
      </c>
      <c r="EM17" s="47">
        <v>230</v>
      </c>
      <c r="EN17" s="47"/>
      <c r="EO17" s="48">
        <f t="shared" si="70"/>
        <v>5741.3640000000005</v>
      </c>
      <c r="EP17" s="48">
        <f t="shared" si="47"/>
        <v>2056.2462408</v>
      </c>
      <c r="EQ17" s="47">
        <f t="shared" si="48"/>
        <v>7797.610240800001</v>
      </c>
      <c r="ER17" s="47">
        <v>259</v>
      </c>
      <c r="ES17" s="47"/>
      <c r="ET17" s="48">
        <f t="shared" si="71"/>
        <v>437852.154</v>
      </c>
      <c r="EU17" s="48">
        <f t="shared" si="49"/>
        <v>156814.9738788</v>
      </c>
      <c r="EV17" s="47">
        <f t="shared" si="50"/>
        <v>594667.1278788</v>
      </c>
      <c r="EW17" s="47">
        <v>19652</v>
      </c>
      <c r="EX17" s="47"/>
      <c r="EY17" s="47"/>
      <c r="EZ17" s="47"/>
      <c r="FA17" s="47">
        <f t="shared" si="51"/>
        <v>0</v>
      </c>
      <c r="FB17" s="47"/>
      <c r="FC17" s="47"/>
    </row>
    <row r="18" spans="1:159" ht="12.75">
      <c r="A18" s="2">
        <v>41913</v>
      </c>
      <c r="B18" s="10"/>
      <c r="C18" s="46"/>
      <c r="D18" s="46">
        <v>2377234</v>
      </c>
      <c r="E18" s="46">
        <f t="shared" si="0"/>
        <v>2377234</v>
      </c>
      <c r="F18" s="46">
        <f t="shared" si="1"/>
        <v>445850</v>
      </c>
      <c r="G18" s="46">
        <f t="shared" si="2"/>
        <v>195863</v>
      </c>
      <c r="H18" s="47"/>
      <c r="I18" s="46"/>
      <c r="J18" s="46"/>
      <c r="K18" s="46"/>
      <c r="L18" s="46"/>
      <c r="M18" s="46"/>
      <c r="N18" s="47"/>
      <c r="O18" s="47"/>
      <c r="P18" s="47"/>
      <c r="Q18" s="47"/>
      <c r="R18" s="47"/>
      <c r="S18" s="47"/>
      <c r="T18" s="47"/>
      <c r="U18" s="47"/>
      <c r="V18" s="47">
        <v>325375</v>
      </c>
      <c r="W18" s="47">
        <f t="shared" si="3"/>
        <v>325375</v>
      </c>
      <c r="X18" s="47">
        <v>100291</v>
      </c>
      <c r="Y18" s="47">
        <v>71504</v>
      </c>
      <c r="Z18" s="47"/>
      <c r="AA18" s="47"/>
      <c r="AB18" s="47">
        <v>497125</v>
      </c>
      <c r="AC18" s="47">
        <f t="shared" si="4"/>
        <v>497125</v>
      </c>
      <c r="AD18" s="47">
        <v>106692</v>
      </c>
      <c r="AE18" s="47">
        <v>38692</v>
      </c>
      <c r="AF18" s="47"/>
      <c r="AG18" s="47"/>
      <c r="AH18" s="47">
        <v>121500</v>
      </c>
      <c r="AI18" s="47">
        <f t="shared" si="5"/>
        <v>121500</v>
      </c>
      <c r="AJ18" s="47">
        <v>44322</v>
      </c>
      <c r="AK18" s="47">
        <v>1704</v>
      </c>
      <c r="AL18" s="47"/>
      <c r="AM18" s="47"/>
      <c r="AN18" s="47">
        <v>693650</v>
      </c>
      <c r="AO18" s="47">
        <f t="shared" si="6"/>
        <v>693650</v>
      </c>
      <c r="AP18" s="47">
        <v>97908</v>
      </c>
      <c r="AQ18" s="47">
        <v>83963</v>
      </c>
      <c r="AR18" s="47"/>
      <c r="AS18" s="46"/>
      <c r="AT18" s="46">
        <v>739584</v>
      </c>
      <c r="AU18" s="46">
        <f t="shared" si="7"/>
        <v>739584</v>
      </c>
      <c r="AV18" s="46">
        <f t="shared" si="8"/>
        <v>96637</v>
      </c>
      <c r="AW18" s="47"/>
      <c r="AX18" s="48"/>
      <c r="AY18" s="48">
        <v>414605</v>
      </c>
      <c r="AZ18" s="48">
        <f t="shared" si="9"/>
        <v>414605</v>
      </c>
      <c r="BA18" s="48">
        <v>53259</v>
      </c>
      <c r="BB18" s="47"/>
      <c r="BC18" s="47"/>
      <c r="BD18" s="49">
        <f t="shared" si="10"/>
        <v>324978.68252160004</v>
      </c>
      <c r="BE18" s="47">
        <f t="shared" si="11"/>
        <v>324978.68252160004</v>
      </c>
      <c r="BF18" s="47">
        <f t="shared" si="12"/>
        <v>43378</v>
      </c>
      <c r="BG18" s="47"/>
      <c r="BH18" s="48"/>
      <c r="BI18" s="49">
        <f t="shared" si="13"/>
        <v>5528.2424832</v>
      </c>
      <c r="BJ18" s="48">
        <f t="shared" si="14"/>
        <v>5528.2424832</v>
      </c>
      <c r="BK18" s="48">
        <v>727</v>
      </c>
      <c r="BL18" s="47"/>
      <c r="BM18" s="48"/>
      <c r="BN18" s="48">
        <f t="shared" si="15"/>
        <v>2535.4418688</v>
      </c>
      <c r="BO18" s="47">
        <f t="shared" si="16"/>
        <v>2535.4418688</v>
      </c>
      <c r="BP18" s="47">
        <v>343</v>
      </c>
      <c r="BQ18" s="47"/>
      <c r="BR18" s="48"/>
      <c r="BS18" s="48">
        <f t="shared" si="17"/>
        <v>525.0306816</v>
      </c>
      <c r="BT18" s="47">
        <f t="shared" si="18"/>
        <v>525.0306816</v>
      </c>
      <c r="BU18" s="47">
        <v>71</v>
      </c>
      <c r="BV18" s="47"/>
      <c r="BW18" s="48"/>
      <c r="BX18" s="48">
        <f t="shared" si="19"/>
        <v>56130.431846399995</v>
      </c>
      <c r="BY18" s="47">
        <f t="shared" si="20"/>
        <v>56130.431846399995</v>
      </c>
      <c r="BZ18" s="47">
        <v>7431</v>
      </c>
      <c r="CA18" s="47"/>
      <c r="CB18" s="48"/>
      <c r="CC18" s="48">
        <f t="shared" si="21"/>
        <v>308.7023616</v>
      </c>
      <c r="CD18" s="47">
        <f t="shared" si="22"/>
        <v>308.7023616</v>
      </c>
      <c r="CE18" s="47">
        <v>42</v>
      </c>
      <c r="CF18" s="47"/>
      <c r="CG18" s="48"/>
      <c r="CH18" s="48">
        <f t="shared" si="23"/>
        <v>325.9346688</v>
      </c>
      <c r="CI18" s="47">
        <f t="shared" si="24"/>
        <v>325.9346688</v>
      </c>
      <c r="CJ18" s="47">
        <v>44</v>
      </c>
      <c r="CK18" s="47"/>
      <c r="CL18" s="48"/>
      <c r="CM18" s="48">
        <f t="shared" si="25"/>
        <v>91.41258239999999</v>
      </c>
      <c r="CN18" s="47">
        <f t="shared" si="26"/>
        <v>91.41258239999999</v>
      </c>
      <c r="CO18" s="47">
        <v>12</v>
      </c>
      <c r="CP18" s="47"/>
      <c r="CQ18" s="48"/>
      <c r="CR18" s="48">
        <f t="shared" si="27"/>
        <v>1684.4765184</v>
      </c>
      <c r="CS18" s="47">
        <f t="shared" si="28"/>
        <v>1684.4765184</v>
      </c>
      <c r="CT18" s="47">
        <v>228</v>
      </c>
      <c r="CU18" s="47"/>
      <c r="CV18" s="48"/>
      <c r="CW18" s="48">
        <f t="shared" si="29"/>
        <v>2510.8876800000003</v>
      </c>
      <c r="CX18" s="47">
        <f t="shared" si="30"/>
        <v>2510.8876800000003</v>
      </c>
      <c r="CY18" s="47">
        <v>335</v>
      </c>
      <c r="CZ18" s="47"/>
      <c r="DA18" s="48"/>
      <c r="DB18" s="48">
        <f t="shared" si="31"/>
        <v>29583.36</v>
      </c>
      <c r="DC18" s="47">
        <f t="shared" si="32"/>
        <v>29583.36</v>
      </c>
      <c r="DD18" s="47">
        <v>4005</v>
      </c>
      <c r="DE18" s="47"/>
      <c r="DF18" s="48"/>
      <c r="DG18" s="48">
        <f t="shared" si="33"/>
        <v>1467.4825728000003</v>
      </c>
      <c r="DH18" s="47">
        <f t="shared" si="34"/>
        <v>1467.4825728000003</v>
      </c>
      <c r="DI18" s="47">
        <v>189</v>
      </c>
      <c r="DJ18" s="47"/>
      <c r="DK18" s="48"/>
      <c r="DL18" s="48">
        <f t="shared" si="35"/>
        <v>11731.9470336</v>
      </c>
      <c r="DM18" s="47">
        <f t="shared" si="36"/>
        <v>11731.9470336</v>
      </c>
      <c r="DN18" s="47">
        <v>1573</v>
      </c>
      <c r="DO18" s="47"/>
      <c r="DP18" s="48"/>
      <c r="DQ18" s="48">
        <f t="shared" si="37"/>
        <v>6422.3995392</v>
      </c>
      <c r="DR18" s="47">
        <f t="shared" si="38"/>
        <v>6422.3995392</v>
      </c>
      <c r="DS18" s="47">
        <v>867</v>
      </c>
      <c r="DT18" s="47"/>
      <c r="DU18" s="48"/>
      <c r="DV18" s="48">
        <f t="shared" si="39"/>
        <v>637.1516160000001</v>
      </c>
      <c r="DW18" s="47">
        <f t="shared" si="40"/>
        <v>637.1516160000001</v>
      </c>
      <c r="DX18" s="47">
        <v>85</v>
      </c>
      <c r="DY18" s="47"/>
      <c r="DZ18" s="48"/>
      <c r="EA18" s="48">
        <f t="shared" si="41"/>
        <v>45264.759552</v>
      </c>
      <c r="EB18" s="47">
        <f t="shared" si="42"/>
        <v>45264.759552</v>
      </c>
      <c r="EC18" s="47">
        <v>5888</v>
      </c>
      <c r="ED18" s="47"/>
      <c r="EE18" s="48"/>
      <c r="EF18" s="48">
        <f t="shared" si="43"/>
        <v>10672.640870399999</v>
      </c>
      <c r="EG18" s="47">
        <f t="shared" si="44"/>
        <v>10672.640870399999</v>
      </c>
      <c r="EH18" s="47">
        <v>1397</v>
      </c>
      <c r="EI18" s="47"/>
      <c r="EJ18" s="47"/>
      <c r="EK18" s="47">
        <f t="shared" si="45"/>
        <v>1776.9984768000002</v>
      </c>
      <c r="EL18" s="47">
        <f t="shared" si="46"/>
        <v>1776.9984768000002</v>
      </c>
      <c r="EM18" s="47">
        <v>230</v>
      </c>
      <c r="EN18" s="47"/>
      <c r="EO18" s="48"/>
      <c r="EP18" s="48">
        <f t="shared" si="47"/>
        <v>1912.7121408</v>
      </c>
      <c r="EQ18" s="47">
        <f t="shared" si="48"/>
        <v>1912.7121408</v>
      </c>
      <c r="ER18" s="47">
        <v>259</v>
      </c>
      <c r="ES18" s="47"/>
      <c r="ET18" s="48"/>
      <c r="EU18" s="48">
        <f t="shared" si="49"/>
        <v>145868.6700288</v>
      </c>
      <c r="EV18" s="47">
        <f t="shared" si="50"/>
        <v>145868.6700288</v>
      </c>
      <c r="EW18" s="47">
        <v>19652</v>
      </c>
      <c r="EX18" s="47"/>
      <c r="EY18" s="47"/>
      <c r="EZ18" s="47"/>
      <c r="FA18" s="47">
        <f t="shared" si="51"/>
        <v>0</v>
      </c>
      <c r="FB18" s="47"/>
      <c r="FC18" s="47"/>
    </row>
    <row r="19" spans="1:159" ht="12.75">
      <c r="A19" s="2">
        <v>42095</v>
      </c>
      <c r="C19" s="46">
        <v>18845000</v>
      </c>
      <c r="D19" s="46">
        <v>2377234</v>
      </c>
      <c r="E19" s="46">
        <f t="shared" si="0"/>
        <v>21222234</v>
      </c>
      <c r="F19" s="46">
        <f t="shared" si="1"/>
        <v>445823</v>
      </c>
      <c r="G19" s="46">
        <f t="shared" si="2"/>
        <v>195876</v>
      </c>
      <c r="H19" s="47"/>
      <c r="I19" s="46"/>
      <c r="J19" s="46"/>
      <c r="K19" s="46"/>
      <c r="L19" s="46"/>
      <c r="M19" s="46"/>
      <c r="N19" s="47"/>
      <c r="O19" s="47"/>
      <c r="P19" s="47"/>
      <c r="Q19" s="47"/>
      <c r="R19" s="47"/>
      <c r="S19" s="47"/>
      <c r="T19" s="47"/>
      <c r="U19" s="47">
        <v>3020000</v>
      </c>
      <c r="V19" s="47">
        <v>325375</v>
      </c>
      <c r="W19" s="47">
        <f t="shared" si="3"/>
        <v>3345375</v>
      </c>
      <c r="X19" s="47">
        <v>100291</v>
      </c>
      <c r="Y19" s="47">
        <v>71504</v>
      </c>
      <c r="Z19" s="47"/>
      <c r="AA19" s="47">
        <v>3600000</v>
      </c>
      <c r="AB19" s="47">
        <v>497125</v>
      </c>
      <c r="AC19" s="47">
        <f t="shared" si="4"/>
        <v>4097125</v>
      </c>
      <c r="AD19" s="47">
        <v>106692</v>
      </c>
      <c r="AE19" s="47">
        <v>38692</v>
      </c>
      <c r="AF19" s="47"/>
      <c r="AG19" s="47">
        <v>4860000</v>
      </c>
      <c r="AH19" s="47">
        <v>121500</v>
      </c>
      <c r="AI19" s="47">
        <f t="shared" si="5"/>
        <v>4981500</v>
      </c>
      <c r="AJ19" s="47">
        <v>44295</v>
      </c>
      <c r="AK19" s="47">
        <v>1717</v>
      </c>
      <c r="AL19" s="47"/>
      <c r="AM19" s="47">
        <v>5035000</v>
      </c>
      <c r="AN19" s="47">
        <v>693650</v>
      </c>
      <c r="AO19" s="47">
        <f t="shared" si="6"/>
        <v>5728650</v>
      </c>
      <c r="AP19" s="47">
        <v>97908</v>
      </c>
      <c r="AQ19" s="47">
        <v>83963</v>
      </c>
      <c r="AR19" s="47"/>
      <c r="AS19" s="46">
        <v>2330000</v>
      </c>
      <c r="AT19" s="46">
        <v>739584</v>
      </c>
      <c r="AU19" s="46">
        <f t="shared" si="7"/>
        <v>3069584</v>
      </c>
      <c r="AV19" s="46">
        <f t="shared" si="8"/>
        <v>96637</v>
      </c>
      <c r="AW19" s="47"/>
      <c r="AX19" s="48">
        <v>1306181</v>
      </c>
      <c r="AY19" s="48">
        <v>414605</v>
      </c>
      <c r="AZ19" s="48">
        <f t="shared" si="9"/>
        <v>1720786</v>
      </c>
      <c r="BA19" s="48">
        <v>53259</v>
      </c>
      <c r="BB19" s="47"/>
      <c r="BC19" s="47">
        <f t="shared" si="52"/>
        <v>1023819.2419999999</v>
      </c>
      <c r="BD19" s="49">
        <f t="shared" si="10"/>
        <v>324978.68252160004</v>
      </c>
      <c r="BE19" s="47">
        <f t="shared" si="11"/>
        <v>1348797.9245216</v>
      </c>
      <c r="BF19" s="47">
        <f t="shared" si="12"/>
        <v>43378</v>
      </c>
      <c r="BG19" s="47"/>
      <c r="BH19" s="48">
        <f t="shared" si="53"/>
        <v>17416.284</v>
      </c>
      <c r="BI19" s="49">
        <f t="shared" si="13"/>
        <v>5528.2424832</v>
      </c>
      <c r="BJ19" s="48">
        <f t="shared" si="14"/>
        <v>22944.5264832</v>
      </c>
      <c r="BK19" s="48">
        <v>727</v>
      </c>
      <c r="BL19" s="47"/>
      <c r="BM19" s="48">
        <f t="shared" si="54"/>
        <v>7987.706</v>
      </c>
      <c r="BN19" s="48">
        <f t="shared" si="15"/>
        <v>2535.4418688</v>
      </c>
      <c r="BO19" s="47">
        <f t="shared" si="16"/>
        <v>10523.1478688</v>
      </c>
      <c r="BP19" s="47">
        <v>343</v>
      </c>
      <c r="BQ19" s="47"/>
      <c r="BR19" s="48">
        <f t="shared" si="55"/>
        <v>1654.0669999999998</v>
      </c>
      <c r="BS19" s="48">
        <f t="shared" si="17"/>
        <v>525.0306816</v>
      </c>
      <c r="BT19" s="47">
        <f t="shared" si="18"/>
        <v>2179.0976815999998</v>
      </c>
      <c r="BU19" s="47">
        <v>71</v>
      </c>
      <c r="BV19" s="47"/>
      <c r="BW19" s="48">
        <f t="shared" si="56"/>
        <v>176834.418</v>
      </c>
      <c r="BX19" s="48">
        <f t="shared" si="19"/>
        <v>56130.431846399995</v>
      </c>
      <c r="BY19" s="47">
        <f t="shared" si="20"/>
        <v>232964.8498464</v>
      </c>
      <c r="BZ19" s="47">
        <v>7431</v>
      </c>
      <c r="CA19" s="47"/>
      <c r="CB19" s="48">
        <f t="shared" si="57"/>
        <v>972.5419999999999</v>
      </c>
      <c r="CC19" s="48">
        <f t="shared" si="21"/>
        <v>308.7023616</v>
      </c>
      <c r="CD19" s="47">
        <f t="shared" si="22"/>
        <v>1281.2443616</v>
      </c>
      <c r="CE19" s="47">
        <v>42</v>
      </c>
      <c r="CF19" s="47"/>
      <c r="CG19" s="48">
        <f t="shared" si="58"/>
        <v>1026.831</v>
      </c>
      <c r="CH19" s="48">
        <f t="shared" si="23"/>
        <v>325.9346688</v>
      </c>
      <c r="CI19" s="47">
        <f t="shared" si="24"/>
        <v>1352.7656688</v>
      </c>
      <c r="CJ19" s="47">
        <v>44</v>
      </c>
      <c r="CK19" s="47"/>
      <c r="CL19" s="48">
        <f t="shared" si="59"/>
        <v>287.988</v>
      </c>
      <c r="CM19" s="48">
        <f t="shared" si="25"/>
        <v>91.41258239999999</v>
      </c>
      <c r="CN19" s="47">
        <f t="shared" si="26"/>
        <v>379.40058239999996</v>
      </c>
      <c r="CO19" s="47">
        <v>12</v>
      </c>
      <c r="CP19" s="47"/>
      <c r="CQ19" s="48">
        <f t="shared" si="60"/>
        <v>5306.807999999999</v>
      </c>
      <c r="CR19" s="48">
        <f t="shared" si="27"/>
        <v>1684.4765184</v>
      </c>
      <c r="CS19" s="47">
        <f t="shared" si="28"/>
        <v>6991.284518399999</v>
      </c>
      <c r="CT19" s="47">
        <v>228</v>
      </c>
      <c r="CU19" s="47"/>
      <c r="CV19" s="48">
        <f t="shared" si="61"/>
        <v>7910.35</v>
      </c>
      <c r="CW19" s="48">
        <f t="shared" si="29"/>
        <v>2510.8876800000003</v>
      </c>
      <c r="CX19" s="47">
        <f t="shared" si="30"/>
        <v>10421.23768</v>
      </c>
      <c r="CY19" s="47">
        <v>335</v>
      </c>
      <c r="CZ19" s="47"/>
      <c r="DA19" s="48">
        <f t="shared" si="62"/>
        <v>93200</v>
      </c>
      <c r="DB19" s="48">
        <f t="shared" si="31"/>
        <v>29583.36</v>
      </c>
      <c r="DC19" s="47">
        <f t="shared" si="32"/>
        <v>122783.36</v>
      </c>
      <c r="DD19" s="47">
        <v>4005</v>
      </c>
      <c r="DE19" s="47"/>
      <c r="DF19" s="48">
        <f t="shared" si="63"/>
        <v>4623.186000000001</v>
      </c>
      <c r="DG19" s="48">
        <f t="shared" si="33"/>
        <v>1467.4825728000003</v>
      </c>
      <c r="DH19" s="47">
        <f t="shared" si="34"/>
        <v>6090.668572800001</v>
      </c>
      <c r="DI19" s="47">
        <v>189</v>
      </c>
      <c r="DJ19" s="47"/>
      <c r="DK19" s="48">
        <f t="shared" si="64"/>
        <v>36960.557</v>
      </c>
      <c r="DL19" s="48">
        <f t="shared" si="35"/>
        <v>11731.9470336</v>
      </c>
      <c r="DM19" s="47">
        <f t="shared" si="36"/>
        <v>48692.5040336</v>
      </c>
      <c r="DN19" s="47">
        <v>1573</v>
      </c>
      <c r="DO19" s="47"/>
      <c r="DP19" s="48">
        <f t="shared" si="65"/>
        <v>20233.254</v>
      </c>
      <c r="DQ19" s="48">
        <f t="shared" si="37"/>
        <v>6422.3995392</v>
      </c>
      <c r="DR19" s="47">
        <f t="shared" si="38"/>
        <v>26655.6535392</v>
      </c>
      <c r="DS19" s="47">
        <v>867</v>
      </c>
      <c r="DT19" s="47"/>
      <c r="DU19" s="48">
        <f t="shared" si="66"/>
        <v>2007.295</v>
      </c>
      <c r="DV19" s="48">
        <f t="shared" si="39"/>
        <v>637.1516160000001</v>
      </c>
      <c r="DW19" s="47">
        <f t="shared" si="40"/>
        <v>2644.446616</v>
      </c>
      <c r="DX19" s="47">
        <v>85</v>
      </c>
      <c r="DY19" s="47"/>
      <c r="DZ19" s="48">
        <f t="shared" si="67"/>
        <v>142602.99</v>
      </c>
      <c r="EA19" s="48">
        <f t="shared" si="41"/>
        <v>45264.759552</v>
      </c>
      <c r="EB19" s="47">
        <f t="shared" si="42"/>
        <v>187867.749552</v>
      </c>
      <c r="EC19" s="47">
        <v>5888</v>
      </c>
      <c r="ED19" s="47"/>
      <c r="EE19" s="48">
        <f t="shared" si="68"/>
        <v>33623.297999999995</v>
      </c>
      <c r="EF19" s="48">
        <f t="shared" si="43"/>
        <v>10672.640870399999</v>
      </c>
      <c r="EG19" s="47">
        <f t="shared" si="44"/>
        <v>44295.938870399994</v>
      </c>
      <c r="EH19" s="47">
        <v>1397</v>
      </c>
      <c r="EI19" s="47"/>
      <c r="EJ19" s="47">
        <f t="shared" si="69"/>
        <v>5598.291</v>
      </c>
      <c r="EK19" s="47">
        <f t="shared" si="45"/>
        <v>1776.9984768000002</v>
      </c>
      <c r="EL19" s="47">
        <f t="shared" si="46"/>
        <v>7375.289476800001</v>
      </c>
      <c r="EM19" s="47">
        <v>230</v>
      </c>
      <c r="EN19" s="47"/>
      <c r="EO19" s="48">
        <f t="shared" si="70"/>
        <v>6025.846000000001</v>
      </c>
      <c r="EP19" s="48">
        <f t="shared" si="47"/>
        <v>1912.7121408</v>
      </c>
      <c r="EQ19" s="47">
        <f t="shared" si="48"/>
        <v>7938.558140800002</v>
      </c>
      <c r="ER19" s="47">
        <v>259</v>
      </c>
      <c r="ES19" s="47"/>
      <c r="ET19" s="48">
        <f t="shared" si="71"/>
        <v>459547.531</v>
      </c>
      <c r="EU19" s="48">
        <f t="shared" si="49"/>
        <v>145868.6700288</v>
      </c>
      <c r="EV19" s="47">
        <f t="shared" si="50"/>
        <v>605416.2010288</v>
      </c>
      <c r="EW19" s="47">
        <v>19652</v>
      </c>
      <c r="EX19" s="47"/>
      <c r="EY19" s="47"/>
      <c r="EZ19" s="47"/>
      <c r="FA19" s="47">
        <f t="shared" si="51"/>
        <v>0</v>
      </c>
      <c r="FB19" s="47"/>
      <c r="FC19" s="47"/>
    </row>
    <row r="20" spans="1:159" ht="12.75">
      <c r="A20" s="2">
        <v>42278</v>
      </c>
      <c r="C20" s="46"/>
      <c r="D20" s="46">
        <v>1906109</v>
      </c>
      <c r="E20" s="46">
        <f t="shared" si="0"/>
        <v>1906109</v>
      </c>
      <c r="F20" s="46">
        <f t="shared" si="1"/>
        <v>401528</v>
      </c>
      <c r="G20" s="46">
        <f t="shared" si="2"/>
        <v>194159</v>
      </c>
      <c r="H20" s="47"/>
      <c r="I20" s="46"/>
      <c r="J20" s="46"/>
      <c r="K20" s="46"/>
      <c r="L20" s="46"/>
      <c r="M20" s="46"/>
      <c r="N20" s="47"/>
      <c r="O20" s="47"/>
      <c r="P20" s="47"/>
      <c r="Q20" s="47"/>
      <c r="R20" s="47"/>
      <c r="S20" s="47"/>
      <c r="T20" s="47"/>
      <c r="U20" s="47"/>
      <c r="V20" s="47">
        <v>249875</v>
      </c>
      <c r="W20" s="47">
        <f t="shared" si="3"/>
        <v>249875</v>
      </c>
      <c r="X20" s="47">
        <v>100291</v>
      </c>
      <c r="Y20" s="47">
        <v>71504</v>
      </c>
      <c r="Z20" s="47"/>
      <c r="AA20" s="47"/>
      <c r="AB20" s="47">
        <v>407125</v>
      </c>
      <c r="AC20" s="47">
        <f t="shared" si="4"/>
        <v>407125</v>
      </c>
      <c r="AD20" s="47">
        <v>106692</v>
      </c>
      <c r="AE20" s="47">
        <v>38692</v>
      </c>
      <c r="AF20" s="47"/>
      <c r="AG20" s="47"/>
      <c r="AH20" s="47"/>
      <c r="AI20" s="47"/>
      <c r="AJ20" s="47"/>
      <c r="AK20" s="47"/>
      <c r="AL20" s="47"/>
      <c r="AM20" s="47"/>
      <c r="AN20" s="47">
        <v>567775</v>
      </c>
      <c r="AO20" s="47">
        <f t="shared" si="6"/>
        <v>567775</v>
      </c>
      <c r="AP20" s="47">
        <v>97908</v>
      </c>
      <c r="AQ20" s="47">
        <v>83963</v>
      </c>
      <c r="AR20" s="47"/>
      <c r="AS20" s="46"/>
      <c r="AT20" s="46">
        <v>681334</v>
      </c>
      <c r="AU20" s="46">
        <f t="shared" si="7"/>
        <v>681334</v>
      </c>
      <c r="AV20" s="46">
        <f t="shared" si="8"/>
        <v>96637</v>
      </c>
      <c r="AW20" s="47"/>
      <c r="AX20" s="48"/>
      <c r="AY20" s="48">
        <v>381951</v>
      </c>
      <c r="AZ20" s="48">
        <f t="shared" si="9"/>
        <v>381951</v>
      </c>
      <c r="BA20" s="48">
        <v>53259</v>
      </c>
      <c r="BB20" s="47"/>
      <c r="BC20" s="47"/>
      <c r="BD20" s="49">
        <f t="shared" si="10"/>
        <v>299383.2014716</v>
      </c>
      <c r="BE20" s="47">
        <f t="shared" si="11"/>
        <v>299383.2014716</v>
      </c>
      <c r="BF20" s="47">
        <f t="shared" si="12"/>
        <v>43378</v>
      </c>
      <c r="BG20" s="47"/>
      <c r="BH20" s="48"/>
      <c r="BI20" s="49">
        <f t="shared" si="13"/>
        <v>5092.8353832</v>
      </c>
      <c r="BJ20" s="48">
        <f t="shared" si="14"/>
        <v>5092.8353832</v>
      </c>
      <c r="BK20" s="48">
        <v>727</v>
      </c>
      <c r="BL20" s="47"/>
      <c r="BM20" s="48"/>
      <c r="BN20" s="48">
        <f t="shared" si="15"/>
        <v>2335.7492188</v>
      </c>
      <c r="BO20" s="47">
        <f t="shared" si="16"/>
        <v>2335.7492188</v>
      </c>
      <c r="BP20" s="47">
        <v>343</v>
      </c>
      <c r="BQ20" s="47"/>
      <c r="BR20" s="48"/>
      <c r="BS20" s="48">
        <f t="shared" si="17"/>
        <v>483.6790066</v>
      </c>
      <c r="BT20" s="47">
        <f t="shared" si="18"/>
        <v>483.6790066</v>
      </c>
      <c r="BU20" s="47">
        <v>71</v>
      </c>
      <c r="BV20" s="47"/>
      <c r="BW20" s="48"/>
      <c r="BX20" s="48">
        <f t="shared" si="19"/>
        <v>51709.571396399995</v>
      </c>
      <c r="BY20" s="47">
        <f t="shared" si="20"/>
        <v>51709.571396399995</v>
      </c>
      <c r="BZ20" s="47">
        <v>7431</v>
      </c>
      <c r="CA20" s="47"/>
      <c r="CB20" s="48"/>
      <c r="CC20" s="48">
        <f t="shared" si="21"/>
        <v>284.3888116</v>
      </c>
      <c r="CD20" s="47">
        <f t="shared" si="22"/>
        <v>284.3888116</v>
      </c>
      <c r="CE20" s="47">
        <v>42</v>
      </c>
      <c r="CF20" s="47"/>
      <c r="CG20" s="48"/>
      <c r="CH20" s="48">
        <f t="shared" si="23"/>
        <v>300.26389379999995</v>
      </c>
      <c r="CI20" s="47">
        <f t="shared" si="24"/>
        <v>300.26389379999995</v>
      </c>
      <c r="CJ20" s="47">
        <v>44</v>
      </c>
      <c r="CK20" s="47"/>
      <c r="CL20" s="48"/>
      <c r="CM20" s="48">
        <f t="shared" si="25"/>
        <v>84.2128824</v>
      </c>
      <c r="CN20" s="47">
        <f t="shared" si="26"/>
        <v>84.2128824</v>
      </c>
      <c r="CO20" s="47">
        <v>12</v>
      </c>
      <c r="CP20" s="47"/>
      <c r="CQ20" s="48"/>
      <c r="CR20" s="48">
        <f t="shared" si="27"/>
        <v>1551.8063183999998</v>
      </c>
      <c r="CS20" s="47">
        <f t="shared" si="28"/>
        <v>1551.8063183999998</v>
      </c>
      <c r="CT20" s="47">
        <v>228</v>
      </c>
      <c r="CU20" s="47"/>
      <c r="CV20" s="48"/>
      <c r="CW20" s="48">
        <f t="shared" si="29"/>
        <v>2313.1289300000003</v>
      </c>
      <c r="CX20" s="47">
        <f t="shared" si="30"/>
        <v>2313.1289300000003</v>
      </c>
      <c r="CY20" s="47">
        <v>335</v>
      </c>
      <c r="CZ20" s="47"/>
      <c r="DA20" s="48"/>
      <c r="DB20" s="48">
        <f t="shared" si="31"/>
        <v>27253.36</v>
      </c>
      <c r="DC20" s="47">
        <f t="shared" si="32"/>
        <v>27253.36</v>
      </c>
      <c r="DD20" s="47">
        <v>4005</v>
      </c>
      <c r="DE20" s="47"/>
      <c r="DF20" s="48"/>
      <c r="DG20" s="48">
        <f t="shared" si="33"/>
        <v>1351.9029228000002</v>
      </c>
      <c r="DH20" s="47">
        <f t="shared" si="34"/>
        <v>1351.9029228000002</v>
      </c>
      <c r="DI20" s="47">
        <v>189</v>
      </c>
      <c r="DJ20" s="47"/>
      <c r="DK20" s="48"/>
      <c r="DL20" s="48">
        <f t="shared" si="35"/>
        <v>10807.9331086</v>
      </c>
      <c r="DM20" s="47">
        <f t="shared" si="36"/>
        <v>10807.9331086</v>
      </c>
      <c r="DN20" s="47">
        <v>1573</v>
      </c>
      <c r="DO20" s="47"/>
      <c r="DP20" s="48"/>
      <c r="DQ20" s="48">
        <f t="shared" si="37"/>
        <v>5916.5681892</v>
      </c>
      <c r="DR20" s="47">
        <f t="shared" si="38"/>
        <v>5916.5681892</v>
      </c>
      <c r="DS20" s="47">
        <v>867</v>
      </c>
      <c r="DT20" s="47"/>
      <c r="DU20" s="48"/>
      <c r="DV20" s="48">
        <f t="shared" si="39"/>
        <v>586.969241</v>
      </c>
      <c r="DW20" s="47">
        <f t="shared" si="40"/>
        <v>586.969241</v>
      </c>
      <c r="DX20" s="47">
        <v>85</v>
      </c>
      <c r="DY20" s="47"/>
      <c r="DZ20" s="48"/>
      <c r="EA20" s="48">
        <f t="shared" si="41"/>
        <v>41699.684802</v>
      </c>
      <c r="EB20" s="47">
        <f t="shared" si="42"/>
        <v>41699.684802</v>
      </c>
      <c r="EC20" s="47">
        <v>5888</v>
      </c>
      <c r="ED20" s="47"/>
      <c r="EE20" s="48"/>
      <c r="EF20" s="48">
        <f t="shared" si="43"/>
        <v>9832.0584204</v>
      </c>
      <c r="EG20" s="47">
        <f t="shared" si="44"/>
        <v>9832.0584204</v>
      </c>
      <c r="EH20" s="47">
        <v>1397</v>
      </c>
      <c r="EI20" s="47"/>
      <c r="EJ20" s="47"/>
      <c r="EK20" s="47">
        <f t="shared" si="45"/>
        <v>1637.0412018</v>
      </c>
      <c r="EL20" s="47">
        <f t="shared" si="46"/>
        <v>1637.0412018</v>
      </c>
      <c r="EM20" s="47">
        <v>230</v>
      </c>
      <c r="EN20" s="47"/>
      <c r="EO20" s="48"/>
      <c r="EP20" s="48">
        <f t="shared" si="47"/>
        <v>1762.0659908000002</v>
      </c>
      <c r="EQ20" s="47">
        <f t="shared" si="48"/>
        <v>1762.0659908000002</v>
      </c>
      <c r="ER20" s="47">
        <v>259</v>
      </c>
      <c r="ES20" s="47"/>
      <c r="ET20" s="48"/>
      <c r="EU20" s="48">
        <f t="shared" si="49"/>
        <v>134379.9817538</v>
      </c>
      <c r="EV20" s="47">
        <f t="shared" si="50"/>
        <v>134379.9817538</v>
      </c>
      <c r="EW20" s="47">
        <v>19652</v>
      </c>
      <c r="EX20" s="47"/>
      <c r="EY20" s="47"/>
      <c r="EZ20" s="47"/>
      <c r="FA20" s="47">
        <f t="shared" si="51"/>
        <v>0</v>
      </c>
      <c r="FB20" s="47"/>
      <c r="FC20" s="47"/>
    </row>
    <row r="21" spans="1:159" ht="12.75">
      <c r="A21" s="2">
        <v>42461</v>
      </c>
      <c r="C21" s="46">
        <v>14675000</v>
      </c>
      <c r="D21" s="46">
        <v>1906109</v>
      </c>
      <c r="E21" s="46">
        <f t="shared" si="0"/>
        <v>16581109</v>
      </c>
      <c r="F21" s="46">
        <f t="shared" si="1"/>
        <v>401528</v>
      </c>
      <c r="G21" s="46">
        <f t="shared" si="2"/>
        <v>194159</v>
      </c>
      <c r="H21" s="47"/>
      <c r="I21" s="46"/>
      <c r="J21" s="46"/>
      <c r="K21" s="46"/>
      <c r="L21" s="46"/>
      <c r="M21" s="46"/>
      <c r="N21" s="47"/>
      <c r="O21" s="47"/>
      <c r="P21" s="47"/>
      <c r="Q21" s="47"/>
      <c r="R21" s="47"/>
      <c r="S21" s="47"/>
      <c r="T21" s="47"/>
      <c r="U21" s="47">
        <v>3170000</v>
      </c>
      <c r="V21" s="47">
        <v>249875</v>
      </c>
      <c r="W21" s="47">
        <f t="shared" si="3"/>
        <v>3419875</v>
      </c>
      <c r="X21" s="47">
        <v>100291</v>
      </c>
      <c r="Y21" s="47">
        <v>71504</v>
      </c>
      <c r="Z21" s="47"/>
      <c r="AA21" s="47">
        <v>3780000</v>
      </c>
      <c r="AB21" s="47">
        <v>407125</v>
      </c>
      <c r="AC21" s="47">
        <f t="shared" si="4"/>
        <v>4187125</v>
      </c>
      <c r="AD21" s="47">
        <v>106692</v>
      </c>
      <c r="AE21" s="47">
        <v>38692</v>
      </c>
      <c r="AF21" s="47"/>
      <c r="AG21" s="47"/>
      <c r="AH21" s="47"/>
      <c r="AI21" s="47"/>
      <c r="AJ21" s="47"/>
      <c r="AK21" s="47"/>
      <c r="AL21" s="47"/>
      <c r="AM21" s="47">
        <v>5275000</v>
      </c>
      <c r="AN21" s="47">
        <v>567775</v>
      </c>
      <c r="AO21" s="47">
        <f t="shared" si="6"/>
        <v>5842775</v>
      </c>
      <c r="AP21" s="47">
        <v>97908</v>
      </c>
      <c r="AQ21" s="47">
        <v>83963</v>
      </c>
      <c r="AR21" s="47"/>
      <c r="AS21" s="46">
        <v>2450000</v>
      </c>
      <c r="AT21" s="46">
        <v>681334</v>
      </c>
      <c r="AU21" s="46">
        <f t="shared" si="7"/>
        <v>3131334</v>
      </c>
      <c r="AV21" s="46">
        <f t="shared" si="8"/>
        <v>96637</v>
      </c>
      <c r="AW21" s="47"/>
      <c r="AX21" s="48">
        <v>1373452</v>
      </c>
      <c r="AY21" s="48">
        <v>381951</v>
      </c>
      <c r="AZ21" s="48">
        <f t="shared" si="9"/>
        <v>1755403</v>
      </c>
      <c r="BA21" s="48">
        <v>53259</v>
      </c>
      <c r="BB21" s="47"/>
      <c r="BC21" s="47">
        <f t="shared" si="52"/>
        <v>1076548.13</v>
      </c>
      <c r="BD21" s="49">
        <f t="shared" si="10"/>
        <v>299383.2014716</v>
      </c>
      <c r="BE21" s="47">
        <f t="shared" si="11"/>
        <v>1375931.3314715999</v>
      </c>
      <c r="BF21" s="47">
        <f t="shared" si="12"/>
        <v>43378</v>
      </c>
      <c r="BG21" s="47"/>
      <c r="BH21" s="48">
        <f t="shared" si="53"/>
        <v>18313.26</v>
      </c>
      <c r="BI21" s="49">
        <f t="shared" si="13"/>
        <v>5092.8353832</v>
      </c>
      <c r="BJ21" s="48">
        <f t="shared" si="14"/>
        <v>23406.095383199998</v>
      </c>
      <c r="BK21" s="48">
        <v>727</v>
      </c>
      <c r="BL21" s="47"/>
      <c r="BM21" s="48">
        <f t="shared" si="54"/>
        <v>8399.09</v>
      </c>
      <c r="BN21" s="48">
        <f t="shared" si="15"/>
        <v>2335.7492188</v>
      </c>
      <c r="BO21" s="47">
        <f t="shared" si="16"/>
        <v>10734.8392188</v>
      </c>
      <c r="BP21" s="47">
        <v>343</v>
      </c>
      <c r="BQ21" s="47"/>
      <c r="BR21" s="48">
        <f t="shared" si="55"/>
        <v>1739.255</v>
      </c>
      <c r="BS21" s="48">
        <f t="shared" si="17"/>
        <v>483.6790066</v>
      </c>
      <c r="BT21" s="47">
        <f t="shared" si="18"/>
        <v>2222.9340066</v>
      </c>
      <c r="BU21" s="47">
        <v>71</v>
      </c>
      <c r="BV21" s="47"/>
      <c r="BW21" s="48">
        <f t="shared" si="56"/>
        <v>185941.77</v>
      </c>
      <c r="BX21" s="48">
        <f t="shared" si="19"/>
        <v>51709.571396399995</v>
      </c>
      <c r="BY21" s="47">
        <f t="shared" si="20"/>
        <v>237651.34139639998</v>
      </c>
      <c r="BZ21" s="47">
        <v>7431</v>
      </c>
      <c r="CA21" s="47"/>
      <c r="CB21" s="48">
        <f t="shared" si="57"/>
        <v>1022.63</v>
      </c>
      <c r="CC21" s="48">
        <f t="shared" si="21"/>
        <v>284.3888116</v>
      </c>
      <c r="CD21" s="47">
        <f t="shared" si="22"/>
        <v>1307.0188116</v>
      </c>
      <c r="CE21" s="47">
        <v>42</v>
      </c>
      <c r="CF21" s="47"/>
      <c r="CG21" s="48">
        <f t="shared" si="58"/>
        <v>1079.715</v>
      </c>
      <c r="CH21" s="48">
        <f t="shared" si="23"/>
        <v>300.26389379999995</v>
      </c>
      <c r="CI21" s="47">
        <f t="shared" si="24"/>
        <v>1379.9788938</v>
      </c>
      <c r="CJ21" s="47">
        <v>44</v>
      </c>
      <c r="CK21" s="47"/>
      <c r="CL21" s="48">
        <f t="shared" si="59"/>
        <v>302.82</v>
      </c>
      <c r="CM21" s="48">
        <f t="shared" si="25"/>
        <v>84.2128824</v>
      </c>
      <c r="CN21" s="47">
        <f t="shared" si="26"/>
        <v>387.0328824</v>
      </c>
      <c r="CO21" s="47">
        <v>12</v>
      </c>
      <c r="CP21" s="47"/>
      <c r="CQ21" s="48">
        <f t="shared" si="60"/>
        <v>5580.12</v>
      </c>
      <c r="CR21" s="48">
        <f t="shared" si="27"/>
        <v>1551.8063183999998</v>
      </c>
      <c r="CS21" s="47">
        <f t="shared" si="28"/>
        <v>7131.926318399999</v>
      </c>
      <c r="CT21" s="47">
        <v>228</v>
      </c>
      <c r="CU21" s="47"/>
      <c r="CV21" s="48">
        <f t="shared" si="61"/>
        <v>8317.750000000002</v>
      </c>
      <c r="CW21" s="48">
        <f t="shared" si="29"/>
        <v>2313.1289300000003</v>
      </c>
      <c r="CX21" s="47">
        <f t="shared" si="30"/>
        <v>10630.878930000003</v>
      </c>
      <c r="CY21" s="47">
        <v>335</v>
      </c>
      <c r="CZ21" s="47"/>
      <c r="DA21" s="48">
        <f t="shared" si="62"/>
        <v>98000</v>
      </c>
      <c r="DB21" s="48">
        <f t="shared" si="31"/>
        <v>27253.36</v>
      </c>
      <c r="DC21" s="47">
        <f t="shared" si="32"/>
        <v>125253.36</v>
      </c>
      <c r="DD21" s="47">
        <v>4005</v>
      </c>
      <c r="DE21" s="47"/>
      <c r="DF21" s="48">
        <f t="shared" si="63"/>
        <v>4861.290000000001</v>
      </c>
      <c r="DG21" s="48">
        <f t="shared" si="33"/>
        <v>1351.9029228000002</v>
      </c>
      <c r="DH21" s="47">
        <f t="shared" si="34"/>
        <v>6213.192922800001</v>
      </c>
      <c r="DI21" s="47">
        <v>189</v>
      </c>
      <c r="DJ21" s="47"/>
      <c r="DK21" s="48">
        <f t="shared" si="64"/>
        <v>38864.105</v>
      </c>
      <c r="DL21" s="48">
        <f t="shared" si="35"/>
        <v>10807.9331086</v>
      </c>
      <c r="DM21" s="47">
        <f t="shared" si="36"/>
        <v>49672.038108600005</v>
      </c>
      <c r="DN21" s="47">
        <v>1573</v>
      </c>
      <c r="DO21" s="47"/>
      <c r="DP21" s="48">
        <f t="shared" si="65"/>
        <v>21275.31</v>
      </c>
      <c r="DQ21" s="48">
        <f t="shared" si="37"/>
        <v>5916.5681892</v>
      </c>
      <c r="DR21" s="47">
        <f t="shared" si="38"/>
        <v>27191.8781892</v>
      </c>
      <c r="DS21" s="47">
        <v>867</v>
      </c>
      <c r="DT21" s="47"/>
      <c r="DU21" s="48">
        <f t="shared" si="66"/>
        <v>2110.675</v>
      </c>
      <c r="DV21" s="48">
        <f t="shared" si="39"/>
        <v>586.969241</v>
      </c>
      <c r="DW21" s="47">
        <f t="shared" si="40"/>
        <v>2697.644241</v>
      </c>
      <c r="DX21" s="47">
        <v>85</v>
      </c>
      <c r="DY21" s="47"/>
      <c r="DZ21" s="48">
        <f t="shared" si="67"/>
        <v>149947.35</v>
      </c>
      <c r="EA21" s="48">
        <f t="shared" si="41"/>
        <v>41699.684802</v>
      </c>
      <c r="EB21" s="47">
        <f t="shared" si="42"/>
        <v>191647.034802</v>
      </c>
      <c r="EC21" s="47">
        <v>5888</v>
      </c>
      <c r="ED21" s="47"/>
      <c r="EE21" s="48">
        <f t="shared" si="68"/>
        <v>35354.97</v>
      </c>
      <c r="EF21" s="48">
        <f t="shared" si="43"/>
        <v>9832.0584204</v>
      </c>
      <c r="EG21" s="47">
        <f t="shared" si="44"/>
        <v>45187.028420400005</v>
      </c>
      <c r="EH21" s="47">
        <v>1397</v>
      </c>
      <c r="EI21" s="47"/>
      <c r="EJ21" s="47">
        <f t="shared" si="69"/>
        <v>5886.615</v>
      </c>
      <c r="EK21" s="47">
        <f t="shared" si="45"/>
        <v>1637.0412018</v>
      </c>
      <c r="EL21" s="47">
        <f t="shared" si="46"/>
        <v>7523.6562017999995</v>
      </c>
      <c r="EM21" s="47">
        <v>230</v>
      </c>
      <c r="EN21" s="47"/>
      <c r="EO21" s="48">
        <f t="shared" si="70"/>
        <v>6336.19</v>
      </c>
      <c r="EP21" s="48">
        <f t="shared" si="47"/>
        <v>1762.0659908000002</v>
      </c>
      <c r="EQ21" s="47">
        <f t="shared" si="48"/>
        <v>8098.2559908</v>
      </c>
      <c r="ER21" s="47">
        <v>259</v>
      </c>
      <c r="ES21" s="47"/>
      <c r="ET21" s="48">
        <f t="shared" si="71"/>
        <v>483215.215</v>
      </c>
      <c r="EU21" s="48">
        <f t="shared" si="49"/>
        <v>134379.9817538</v>
      </c>
      <c r="EV21" s="47">
        <f t="shared" si="50"/>
        <v>617595.1967538</v>
      </c>
      <c r="EW21" s="47">
        <v>19652</v>
      </c>
      <c r="EX21" s="47"/>
      <c r="EY21" s="47"/>
      <c r="EZ21" s="47"/>
      <c r="FA21" s="47">
        <f t="shared" si="51"/>
        <v>0</v>
      </c>
      <c r="FB21" s="47"/>
      <c r="FC21" s="47"/>
    </row>
    <row r="22" spans="1:159" ht="12.75">
      <c r="A22" s="2">
        <v>42644</v>
      </c>
      <c r="C22" s="46"/>
      <c r="D22" s="46">
        <v>1539234</v>
      </c>
      <c r="E22" s="46">
        <f t="shared" si="0"/>
        <v>1539234</v>
      </c>
      <c r="F22" s="46">
        <f t="shared" si="1"/>
        <v>401528</v>
      </c>
      <c r="G22" s="46">
        <f t="shared" si="2"/>
        <v>194159</v>
      </c>
      <c r="H22" s="47"/>
      <c r="I22" s="46"/>
      <c r="J22" s="46"/>
      <c r="K22" s="46"/>
      <c r="L22" s="46"/>
      <c r="M22" s="46"/>
      <c r="N22" s="47"/>
      <c r="O22" s="47"/>
      <c r="P22" s="47"/>
      <c r="Q22" s="47"/>
      <c r="R22" s="47"/>
      <c r="S22" s="47"/>
      <c r="T22" s="47"/>
      <c r="U22" s="47"/>
      <c r="V22" s="47">
        <v>170625</v>
      </c>
      <c r="W22" s="47">
        <f t="shared" si="3"/>
        <v>170625</v>
      </c>
      <c r="X22" s="47">
        <v>100291</v>
      </c>
      <c r="Y22" s="47">
        <v>71504</v>
      </c>
      <c r="Z22" s="47"/>
      <c r="AA22" s="47"/>
      <c r="AB22" s="47">
        <v>312625</v>
      </c>
      <c r="AC22" s="47">
        <f t="shared" si="4"/>
        <v>312625</v>
      </c>
      <c r="AD22" s="47">
        <v>106692</v>
      </c>
      <c r="AE22" s="47">
        <v>38692</v>
      </c>
      <c r="AF22" s="47"/>
      <c r="AG22" s="47"/>
      <c r="AH22" s="47"/>
      <c r="AI22" s="47"/>
      <c r="AJ22" s="47"/>
      <c r="AK22" s="47"/>
      <c r="AL22" s="47"/>
      <c r="AM22" s="47"/>
      <c r="AN22" s="47">
        <v>435900</v>
      </c>
      <c r="AO22" s="47">
        <f t="shared" si="6"/>
        <v>435900</v>
      </c>
      <c r="AP22" s="47">
        <v>97908</v>
      </c>
      <c r="AQ22" s="47">
        <v>83963</v>
      </c>
      <c r="AR22" s="47"/>
      <c r="AS22" s="46"/>
      <c r="AT22" s="46">
        <v>620084</v>
      </c>
      <c r="AU22" s="46">
        <f t="shared" si="7"/>
        <v>620084</v>
      </c>
      <c r="AV22" s="46">
        <f t="shared" si="8"/>
        <v>96637</v>
      </c>
      <c r="AW22" s="47"/>
      <c r="AX22" s="48"/>
      <c r="AY22" s="48">
        <v>347615</v>
      </c>
      <c r="AZ22" s="48">
        <f t="shared" si="9"/>
        <v>347615</v>
      </c>
      <c r="BA22" s="48">
        <v>53259</v>
      </c>
      <c r="BB22" s="47"/>
      <c r="BC22" s="47"/>
      <c r="BD22" s="49">
        <f t="shared" si="10"/>
        <v>272469.49822159996</v>
      </c>
      <c r="BE22" s="47">
        <f t="shared" si="11"/>
        <v>272469.49822159996</v>
      </c>
      <c r="BF22" s="47">
        <f t="shared" si="12"/>
        <v>43378</v>
      </c>
      <c r="BG22" s="47"/>
      <c r="BH22" s="48"/>
      <c r="BI22" s="49">
        <f t="shared" si="13"/>
        <v>4635.0038832</v>
      </c>
      <c r="BJ22" s="48">
        <f t="shared" si="14"/>
        <v>4635.0038832</v>
      </c>
      <c r="BK22" s="48">
        <v>727</v>
      </c>
      <c r="BL22" s="47"/>
      <c r="BM22" s="48"/>
      <c r="BN22" s="48">
        <f t="shared" si="15"/>
        <v>2125.7719688</v>
      </c>
      <c r="BO22" s="47">
        <f t="shared" si="16"/>
        <v>2125.7719688</v>
      </c>
      <c r="BP22" s="47">
        <v>343</v>
      </c>
      <c r="BQ22" s="47"/>
      <c r="BR22" s="48"/>
      <c r="BS22" s="48">
        <f t="shared" si="17"/>
        <v>440.19763159999997</v>
      </c>
      <c r="BT22" s="47">
        <f t="shared" si="18"/>
        <v>440.19763159999997</v>
      </c>
      <c r="BU22" s="47">
        <v>71</v>
      </c>
      <c r="BV22" s="47"/>
      <c r="BW22" s="48"/>
      <c r="BX22" s="48">
        <f t="shared" si="19"/>
        <v>47061.027146399996</v>
      </c>
      <c r="BY22" s="47">
        <f t="shared" si="20"/>
        <v>47061.027146399996</v>
      </c>
      <c r="BZ22" s="47">
        <v>7431</v>
      </c>
      <c r="CA22" s="47"/>
      <c r="CB22" s="48"/>
      <c r="CC22" s="48">
        <f t="shared" si="21"/>
        <v>258.8230616</v>
      </c>
      <c r="CD22" s="47">
        <f t="shared" si="22"/>
        <v>258.8230616</v>
      </c>
      <c r="CE22" s="47">
        <v>42</v>
      </c>
      <c r="CF22" s="47"/>
      <c r="CG22" s="48"/>
      <c r="CH22" s="48">
        <f t="shared" si="23"/>
        <v>273.2710188</v>
      </c>
      <c r="CI22" s="47">
        <f t="shared" si="24"/>
        <v>273.2710188</v>
      </c>
      <c r="CJ22" s="47">
        <v>44</v>
      </c>
      <c r="CK22" s="47"/>
      <c r="CL22" s="48"/>
      <c r="CM22" s="48">
        <f t="shared" si="25"/>
        <v>76.6423824</v>
      </c>
      <c r="CN22" s="47">
        <f t="shared" si="26"/>
        <v>76.6423824</v>
      </c>
      <c r="CO22" s="47">
        <v>12</v>
      </c>
      <c r="CP22" s="47"/>
      <c r="CQ22" s="48"/>
      <c r="CR22" s="48">
        <f t="shared" si="27"/>
        <v>1412.3033184</v>
      </c>
      <c r="CS22" s="47">
        <f t="shared" si="28"/>
        <v>1412.3033184</v>
      </c>
      <c r="CT22" s="47">
        <v>228</v>
      </c>
      <c r="CU22" s="47"/>
      <c r="CV22" s="48"/>
      <c r="CW22" s="48">
        <f t="shared" si="29"/>
        <v>2105.18518</v>
      </c>
      <c r="CX22" s="47">
        <f t="shared" si="30"/>
        <v>2105.18518</v>
      </c>
      <c r="CY22" s="47">
        <v>335</v>
      </c>
      <c r="CZ22" s="47"/>
      <c r="DA22" s="48"/>
      <c r="DB22" s="48">
        <f t="shared" si="31"/>
        <v>24803.36</v>
      </c>
      <c r="DC22" s="47">
        <f t="shared" si="32"/>
        <v>24803.36</v>
      </c>
      <c r="DD22" s="47">
        <v>4005</v>
      </c>
      <c r="DE22" s="47"/>
      <c r="DF22" s="48"/>
      <c r="DG22" s="48">
        <f t="shared" si="33"/>
        <v>1230.3706728</v>
      </c>
      <c r="DH22" s="47">
        <f t="shared" si="34"/>
        <v>1230.3706728</v>
      </c>
      <c r="DI22" s="47">
        <v>189</v>
      </c>
      <c r="DJ22" s="47"/>
      <c r="DK22" s="48"/>
      <c r="DL22" s="48">
        <f t="shared" si="35"/>
        <v>9836.3304836</v>
      </c>
      <c r="DM22" s="47">
        <f t="shared" si="36"/>
        <v>9836.3304836</v>
      </c>
      <c r="DN22" s="47">
        <v>1573</v>
      </c>
      <c r="DO22" s="47"/>
      <c r="DP22" s="48"/>
      <c r="DQ22" s="48">
        <f t="shared" si="37"/>
        <v>5384.6854392</v>
      </c>
      <c r="DR22" s="47">
        <f t="shared" si="38"/>
        <v>5384.6854392</v>
      </c>
      <c r="DS22" s="47">
        <v>867</v>
      </c>
      <c r="DT22" s="47"/>
      <c r="DU22" s="48"/>
      <c r="DV22" s="48">
        <f t="shared" si="39"/>
        <v>534.202366</v>
      </c>
      <c r="DW22" s="47">
        <f t="shared" si="40"/>
        <v>534.202366</v>
      </c>
      <c r="DX22" s="47">
        <v>85</v>
      </c>
      <c r="DY22" s="47"/>
      <c r="DZ22" s="48"/>
      <c r="EA22" s="48">
        <f t="shared" si="41"/>
        <v>37951.001052</v>
      </c>
      <c r="EB22" s="47">
        <f t="shared" si="42"/>
        <v>37951.001052</v>
      </c>
      <c r="EC22" s="47">
        <v>5888</v>
      </c>
      <c r="ED22" s="47"/>
      <c r="EE22" s="48"/>
      <c r="EF22" s="48">
        <f t="shared" si="43"/>
        <v>8948.1841704</v>
      </c>
      <c r="EG22" s="47">
        <f t="shared" si="44"/>
        <v>8948.1841704</v>
      </c>
      <c r="EH22" s="47">
        <v>1397</v>
      </c>
      <c r="EI22" s="47"/>
      <c r="EJ22" s="47"/>
      <c r="EK22" s="47">
        <f t="shared" si="45"/>
        <v>1489.8758268000001</v>
      </c>
      <c r="EL22" s="47">
        <f t="shared" si="46"/>
        <v>1489.8758268000001</v>
      </c>
      <c r="EM22" s="47">
        <v>230</v>
      </c>
      <c r="EN22" s="47"/>
      <c r="EO22" s="48"/>
      <c r="EP22" s="48">
        <f t="shared" si="47"/>
        <v>1603.6612408</v>
      </c>
      <c r="EQ22" s="47">
        <f t="shared" si="48"/>
        <v>1603.6612408</v>
      </c>
      <c r="ER22" s="47">
        <v>259</v>
      </c>
      <c r="ES22" s="47"/>
      <c r="ET22" s="48"/>
      <c r="EU22" s="48">
        <f t="shared" si="49"/>
        <v>122299.6013788</v>
      </c>
      <c r="EV22" s="47">
        <f t="shared" si="50"/>
        <v>122299.6013788</v>
      </c>
      <c r="EW22" s="47">
        <v>19652</v>
      </c>
      <c r="EX22" s="47"/>
      <c r="EY22" s="47"/>
      <c r="EZ22" s="47"/>
      <c r="FA22" s="47">
        <f t="shared" si="51"/>
        <v>0</v>
      </c>
      <c r="FB22" s="47"/>
      <c r="FC22" s="47"/>
    </row>
    <row r="23" spans="1:159" ht="12.75">
      <c r="A23" s="2">
        <v>42826</v>
      </c>
      <c r="C23" s="46">
        <v>15400000</v>
      </c>
      <c r="D23" s="46">
        <v>1539234</v>
      </c>
      <c r="E23" s="46">
        <f t="shared" si="0"/>
        <v>16939234</v>
      </c>
      <c r="F23" s="46">
        <f t="shared" si="1"/>
        <v>401528</v>
      </c>
      <c r="G23" s="46">
        <f t="shared" si="2"/>
        <v>194159</v>
      </c>
      <c r="H23" s="47"/>
      <c r="I23" s="46"/>
      <c r="J23" s="46"/>
      <c r="K23" s="46"/>
      <c r="L23" s="46"/>
      <c r="M23" s="46"/>
      <c r="N23" s="47"/>
      <c r="O23" s="47"/>
      <c r="P23" s="47"/>
      <c r="Q23" s="47"/>
      <c r="R23" s="47"/>
      <c r="S23" s="47"/>
      <c r="T23" s="47"/>
      <c r="U23" s="47">
        <v>3330000</v>
      </c>
      <c r="V23" s="47">
        <v>170625</v>
      </c>
      <c r="W23" s="47">
        <f t="shared" si="3"/>
        <v>3500625</v>
      </c>
      <c r="X23" s="47">
        <v>100291</v>
      </c>
      <c r="Y23" s="47">
        <v>71504</v>
      </c>
      <c r="Z23" s="47"/>
      <c r="AA23" s="47">
        <v>3965000</v>
      </c>
      <c r="AB23" s="47">
        <v>312625</v>
      </c>
      <c r="AC23" s="47">
        <f t="shared" si="4"/>
        <v>4277625</v>
      </c>
      <c r="AD23" s="47">
        <v>106692</v>
      </c>
      <c r="AE23" s="47">
        <v>38692</v>
      </c>
      <c r="AF23" s="47"/>
      <c r="AG23" s="47"/>
      <c r="AH23" s="47"/>
      <c r="AI23" s="47"/>
      <c r="AJ23" s="47"/>
      <c r="AK23" s="47"/>
      <c r="AL23" s="47"/>
      <c r="AM23" s="47">
        <v>5535000</v>
      </c>
      <c r="AN23" s="47">
        <v>435900</v>
      </c>
      <c r="AO23" s="47">
        <f t="shared" si="6"/>
        <v>5970900</v>
      </c>
      <c r="AP23" s="47">
        <v>97908</v>
      </c>
      <c r="AQ23" s="47">
        <v>83963</v>
      </c>
      <c r="AR23" s="47"/>
      <c r="AS23" s="46">
        <v>2570000</v>
      </c>
      <c r="AT23" s="46">
        <v>620084</v>
      </c>
      <c r="AU23" s="46">
        <f t="shared" si="7"/>
        <v>3190084</v>
      </c>
      <c r="AV23" s="46">
        <f t="shared" si="8"/>
        <v>96637</v>
      </c>
      <c r="AW23" s="47"/>
      <c r="AX23" s="48">
        <v>1440723</v>
      </c>
      <c r="AY23" s="48">
        <v>347615</v>
      </c>
      <c r="AZ23" s="48">
        <f t="shared" si="9"/>
        <v>1788338</v>
      </c>
      <c r="BA23" s="48">
        <v>53259</v>
      </c>
      <c r="BB23" s="47"/>
      <c r="BC23" s="47">
        <f t="shared" si="52"/>
        <v>1129277.018</v>
      </c>
      <c r="BD23" s="49">
        <f t="shared" si="10"/>
        <v>272469.49822159996</v>
      </c>
      <c r="BE23" s="47">
        <f t="shared" si="11"/>
        <v>1401746.5162216</v>
      </c>
      <c r="BF23" s="47">
        <f t="shared" si="12"/>
        <v>43378</v>
      </c>
      <c r="BG23" s="47"/>
      <c r="BH23" s="48">
        <f t="shared" si="53"/>
        <v>19210.236</v>
      </c>
      <c r="BI23" s="49">
        <f t="shared" si="13"/>
        <v>4635.0038832</v>
      </c>
      <c r="BJ23" s="48">
        <f t="shared" si="14"/>
        <v>23845.2398832</v>
      </c>
      <c r="BK23" s="48">
        <v>727</v>
      </c>
      <c r="BL23" s="47"/>
      <c r="BM23" s="48">
        <f t="shared" si="54"/>
        <v>8810.474</v>
      </c>
      <c r="BN23" s="48">
        <f t="shared" si="15"/>
        <v>2125.7719688</v>
      </c>
      <c r="BO23" s="47">
        <f t="shared" si="16"/>
        <v>10936.2459688</v>
      </c>
      <c r="BP23" s="47">
        <v>343</v>
      </c>
      <c r="BQ23" s="47"/>
      <c r="BR23" s="48">
        <f t="shared" si="55"/>
        <v>1824.443</v>
      </c>
      <c r="BS23" s="48">
        <f t="shared" si="17"/>
        <v>440.19763159999997</v>
      </c>
      <c r="BT23" s="47">
        <f t="shared" si="18"/>
        <v>2264.6406316</v>
      </c>
      <c r="BU23" s="47">
        <v>71</v>
      </c>
      <c r="BV23" s="47"/>
      <c r="BW23" s="48">
        <f t="shared" si="56"/>
        <v>195049.122</v>
      </c>
      <c r="BX23" s="48">
        <f t="shared" si="19"/>
        <v>47061.027146399996</v>
      </c>
      <c r="BY23" s="47">
        <f t="shared" si="20"/>
        <v>242110.14914639998</v>
      </c>
      <c r="BZ23" s="47">
        <v>7431</v>
      </c>
      <c r="CA23" s="47"/>
      <c r="CB23" s="48">
        <f t="shared" si="57"/>
        <v>1072.718</v>
      </c>
      <c r="CC23" s="48">
        <f t="shared" si="21"/>
        <v>258.8230616</v>
      </c>
      <c r="CD23" s="47">
        <f t="shared" si="22"/>
        <v>1331.5410616000001</v>
      </c>
      <c r="CE23" s="47">
        <v>42</v>
      </c>
      <c r="CF23" s="47"/>
      <c r="CG23" s="48">
        <f t="shared" si="58"/>
        <v>1132.599</v>
      </c>
      <c r="CH23" s="48">
        <f t="shared" si="23"/>
        <v>273.2710188</v>
      </c>
      <c r="CI23" s="47">
        <f t="shared" si="24"/>
        <v>1405.8700187999998</v>
      </c>
      <c r="CJ23" s="47">
        <v>44</v>
      </c>
      <c r="CK23" s="47"/>
      <c r="CL23" s="48">
        <f t="shared" si="59"/>
        <v>317.652</v>
      </c>
      <c r="CM23" s="48">
        <f t="shared" si="25"/>
        <v>76.6423824</v>
      </c>
      <c r="CN23" s="47">
        <f t="shared" si="26"/>
        <v>394.2943824</v>
      </c>
      <c r="CO23" s="47">
        <v>12</v>
      </c>
      <c r="CP23" s="47"/>
      <c r="CQ23" s="48">
        <f t="shared" si="60"/>
        <v>5853.432</v>
      </c>
      <c r="CR23" s="48">
        <f t="shared" si="27"/>
        <v>1412.3033184</v>
      </c>
      <c r="CS23" s="47">
        <f t="shared" si="28"/>
        <v>7265.7353184</v>
      </c>
      <c r="CT23" s="47">
        <v>228</v>
      </c>
      <c r="CU23" s="47"/>
      <c r="CV23" s="48">
        <f t="shared" si="61"/>
        <v>8725.150000000001</v>
      </c>
      <c r="CW23" s="48">
        <f t="shared" si="29"/>
        <v>2105.18518</v>
      </c>
      <c r="CX23" s="47">
        <f t="shared" si="30"/>
        <v>10830.335180000002</v>
      </c>
      <c r="CY23" s="47">
        <v>335</v>
      </c>
      <c r="CZ23" s="47"/>
      <c r="DA23" s="48">
        <f t="shared" si="62"/>
        <v>102800</v>
      </c>
      <c r="DB23" s="48">
        <f t="shared" si="31"/>
        <v>24803.36</v>
      </c>
      <c r="DC23" s="47">
        <f t="shared" si="32"/>
        <v>127603.36</v>
      </c>
      <c r="DD23" s="47">
        <v>4005</v>
      </c>
      <c r="DE23" s="47"/>
      <c r="DF23" s="48">
        <f t="shared" si="63"/>
        <v>5099.394</v>
      </c>
      <c r="DG23" s="48">
        <f t="shared" si="33"/>
        <v>1230.3706728</v>
      </c>
      <c r="DH23" s="47">
        <f t="shared" si="34"/>
        <v>6329.7646728</v>
      </c>
      <c r="DI23" s="47">
        <v>189</v>
      </c>
      <c r="DJ23" s="47"/>
      <c r="DK23" s="48">
        <f t="shared" si="64"/>
        <v>40767.653</v>
      </c>
      <c r="DL23" s="48">
        <f t="shared" si="35"/>
        <v>9836.3304836</v>
      </c>
      <c r="DM23" s="47">
        <f t="shared" si="36"/>
        <v>50603.9834836</v>
      </c>
      <c r="DN23" s="47">
        <v>1573</v>
      </c>
      <c r="DO23" s="47"/>
      <c r="DP23" s="48">
        <f t="shared" si="65"/>
        <v>22317.366</v>
      </c>
      <c r="DQ23" s="48">
        <f t="shared" si="37"/>
        <v>5384.6854392</v>
      </c>
      <c r="DR23" s="47">
        <f t="shared" si="38"/>
        <v>27702.0514392</v>
      </c>
      <c r="DS23" s="47">
        <v>867</v>
      </c>
      <c r="DT23" s="47"/>
      <c r="DU23" s="48">
        <f t="shared" si="66"/>
        <v>2214.055</v>
      </c>
      <c r="DV23" s="48">
        <f t="shared" si="39"/>
        <v>534.202366</v>
      </c>
      <c r="DW23" s="47">
        <f t="shared" si="40"/>
        <v>2748.257366</v>
      </c>
      <c r="DX23" s="47">
        <v>85</v>
      </c>
      <c r="DY23" s="47"/>
      <c r="DZ23" s="48">
        <f t="shared" si="67"/>
        <v>157291.71</v>
      </c>
      <c r="EA23" s="48">
        <f t="shared" si="41"/>
        <v>37951.001052</v>
      </c>
      <c r="EB23" s="47">
        <f t="shared" si="42"/>
        <v>195242.711052</v>
      </c>
      <c r="EC23" s="47">
        <v>5888</v>
      </c>
      <c r="ED23" s="47"/>
      <c r="EE23" s="48">
        <f t="shared" si="68"/>
        <v>37086.642</v>
      </c>
      <c r="EF23" s="48">
        <f t="shared" si="43"/>
        <v>8948.1841704</v>
      </c>
      <c r="EG23" s="47">
        <f t="shared" si="44"/>
        <v>46034.8261704</v>
      </c>
      <c r="EH23" s="47">
        <v>1397</v>
      </c>
      <c r="EI23" s="47"/>
      <c r="EJ23" s="47">
        <f t="shared" si="69"/>
        <v>6174.939</v>
      </c>
      <c r="EK23" s="47">
        <f t="shared" si="45"/>
        <v>1489.8758268000001</v>
      </c>
      <c r="EL23" s="47">
        <f t="shared" si="46"/>
        <v>7664.8148268</v>
      </c>
      <c r="EM23" s="47">
        <v>230</v>
      </c>
      <c r="EN23" s="47"/>
      <c r="EO23" s="48">
        <f t="shared" si="70"/>
        <v>6646.534000000001</v>
      </c>
      <c r="EP23" s="48">
        <f t="shared" si="47"/>
        <v>1603.6612408</v>
      </c>
      <c r="EQ23" s="47">
        <f t="shared" si="48"/>
        <v>8250.1952408</v>
      </c>
      <c r="ER23" s="47">
        <v>259</v>
      </c>
      <c r="ES23" s="47"/>
      <c r="ET23" s="48">
        <f t="shared" si="71"/>
        <v>506882.899</v>
      </c>
      <c r="EU23" s="48">
        <f t="shared" si="49"/>
        <v>122299.6013788</v>
      </c>
      <c r="EV23" s="47">
        <f t="shared" si="50"/>
        <v>629182.5003788</v>
      </c>
      <c r="EW23" s="47">
        <v>19652</v>
      </c>
      <c r="EX23" s="47"/>
      <c r="EY23" s="47"/>
      <c r="EZ23" s="47"/>
      <c r="FA23" s="47">
        <f t="shared" si="51"/>
        <v>0</v>
      </c>
      <c r="FB23" s="47"/>
      <c r="FC23" s="47"/>
    </row>
    <row r="24" spans="1:159" ht="12.75">
      <c r="A24" s="2">
        <v>43009</v>
      </c>
      <c r="C24" s="46"/>
      <c r="D24" s="46">
        <v>1154234</v>
      </c>
      <c r="E24" s="46">
        <f t="shared" si="0"/>
        <v>1154234</v>
      </c>
      <c r="F24" s="46">
        <f t="shared" si="1"/>
        <v>401528</v>
      </c>
      <c r="G24" s="46">
        <f t="shared" si="2"/>
        <v>194159</v>
      </c>
      <c r="H24" s="47"/>
      <c r="I24" s="46"/>
      <c r="J24" s="46"/>
      <c r="K24" s="46"/>
      <c r="L24" s="46"/>
      <c r="M24" s="46"/>
      <c r="N24" s="47"/>
      <c r="O24" s="47"/>
      <c r="P24" s="47"/>
      <c r="Q24" s="47"/>
      <c r="R24" s="47"/>
      <c r="S24" s="47"/>
      <c r="T24" s="47"/>
      <c r="U24" s="47"/>
      <c r="V24" s="47">
        <v>87375</v>
      </c>
      <c r="W24" s="47">
        <f t="shared" si="3"/>
        <v>87375</v>
      </c>
      <c r="X24" s="47">
        <v>100291</v>
      </c>
      <c r="Y24" s="47">
        <v>71504</v>
      </c>
      <c r="Z24" s="47"/>
      <c r="AA24" s="47"/>
      <c r="AB24" s="47">
        <v>213500</v>
      </c>
      <c r="AC24" s="47">
        <f t="shared" si="4"/>
        <v>213500</v>
      </c>
      <c r="AD24" s="47">
        <v>106692</v>
      </c>
      <c r="AE24" s="47">
        <v>38692</v>
      </c>
      <c r="AF24" s="47"/>
      <c r="AG24" s="47"/>
      <c r="AH24" s="47"/>
      <c r="AI24" s="47"/>
      <c r="AJ24" s="47"/>
      <c r="AK24" s="47"/>
      <c r="AL24" s="47"/>
      <c r="AM24" s="47"/>
      <c r="AN24" s="47">
        <v>297525</v>
      </c>
      <c r="AO24" s="47">
        <f t="shared" si="6"/>
        <v>297525</v>
      </c>
      <c r="AP24" s="47">
        <v>97908</v>
      </c>
      <c r="AQ24" s="47">
        <v>83963</v>
      </c>
      <c r="AR24" s="47"/>
      <c r="AS24" s="46"/>
      <c r="AT24" s="46">
        <v>555834</v>
      </c>
      <c r="AU24" s="46">
        <f t="shared" si="7"/>
        <v>555834</v>
      </c>
      <c r="AV24" s="46">
        <f t="shared" si="8"/>
        <v>96637</v>
      </c>
      <c r="AW24" s="47"/>
      <c r="AX24" s="48"/>
      <c r="AY24" s="48">
        <v>311596</v>
      </c>
      <c r="AZ24" s="48">
        <f t="shared" si="9"/>
        <v>311596</v>
      </c>
      <c r="BA24" s="48">
        <v>53259</v>
      </c>
      <c r="BB24" s="47"/>
      <c r="BC24" s="47"/>
      <c r="BD24" s="49">
        <f t="shared" si="10"/>
        <v>244237.5727716</v>
      </c>
      <c r="BE24" s="47">
        <f t="shared" si="11"/>
        <v>244237.5727716</v>
      </c>
      <c r="BF24" s="47">
        <f t="shared" si="12"/>
        <v>43378</v>
      </c>
      <c r="BG24" s="47"/>
      <c r="BH24" s="48"/>
      <c r="BI24" s="49">
        <f t="shared" si="13"/>
        <v>4154.7479832</v>
      </c>
      <c r="BJ24" s="48">
        <f t="shared" si="14"/>
        <v>4154.7479832</v>
      </c>
      <c r="BK24" s="48">
        <v>727</v>
      </c>
      <c r="BL24" s="47"/>
      <c r="BM24" s="48"/>
      <c r="BN24" s="48">
        <f t="shared" si="15"/>
        <v>1905.5101188</v>
      </c>
      <c r="BO24" s="47">
        <f t="shared" si="16"/>
        <v>1905.5101188</v>
      </c>
      <c r="BP24" s="47">
        <v>343</v>
      </c>
      <c r="BQ24" s="47"/>
      <c r="BR24" s="48"/>
      <c r="BS24" s="48">
        <f t="shared" si="17"/>
        <v>394.5865566</v>
      </c>
      <c r="BT24" s="47">
        <f t="shared" si="18"/>
        <v>394.5865566</v>
      </c>
      <c r="BU24" s="47">
        <v>71</v>
      </c>
      <c r="BV24" s="47"/>
      <c r="BW24" s="48"/>
      <c r="BX24" s="48">
        <f t="shared" si="19"/>
        <v>42184.799096400006</v>
      </c>
      <c r="BY24" s="47">
        <f t="shared" si="20"/>
        <v>42184.799096400006</v>
      </c>
      <c r="BZ24" s="47">
        <v>7431</v>
      </c>
      <c r="CA24" s="47"/>
      <c r="CB24" s="48"/>
      <c r="CC24" s="48">
        <f t="shared" si="21"/>
        <v>232.0051116</v>
      </c>
      <c r="CD24" s="47">
        <f t="shared" si="22"/>
        <v>232.0051116</v>
      </c>
      <c r="CE24" s="47">
        <v>42</v>
      </c>
      <c r="CF24" s="47"/>
      <c r="CG24" s="48"/>
      <c r="CH24" s="48">
        <f t="shared" si="23"/>
        <v>244.9560438</v>
      </c>
      <c r="CI24" s="47">
        <f t="shared" si="24"/>
        <v>244.9560438</v>
      </c>
      <c r="CJ24" s="47">
        <v>44</v>
      </c>
      <c r="CK24" s="47"/>
      <c r="CL24" s="48"/>
      <c r="CM24" s="48">
        <f t="shared" si="25"/>
        <v>68.70108239999999</v>
      </c>
      <c r="CN24" s="47">
        <f t="shared" si="26"/>
        <v>68.70108239999999</v>
      </c>
      <c r="CO24" s="47">
        <v>12</v>
      </c>
      <c r="CP24" s="47"/>
      <c r="CQ24" s="48"/>
      <c r="CR24" s="48">
        <f t="shared" si="27"/>
        <v>1265.9675184</v>
      </c>
      <c r="CS24" s="47">
        <f t="shared" si="28"/>
        <v>1265.9675184</v>
      </c>
      <c r="CT24" s="47">
        <v>228</v>
      </c>
      <c r="CU24" s="47"/>
      <c r="CV24" s="48"/>
      <c r="CW24" s="48">
        <f t="shared" si="29"/>
        <v>1887.05643</v>
      </c>
      <c r="CX24" s="47">
        <f t="shared" si="30"/>
        <v>1887.05643</v>
      </c>
      <c r="CY24" s="47">
        <v>335</v>
      </c>
      <c r="CZ24" s="47"/>
      <c r="DA24" s="48"/>
      <c r="DB24" s="48">
        <f t="shared" si="31"/>
        <v>22233.36</v>
      </c>
      <c r="DC24" s="47">
        <f t="shared" si="32"/>
        <v>22233.36</v>
      </c>
      <c r="DD24" s="47">
        <v>4005</v>
      </c>
      <c r="DE24" s="47"/>
      <c r="DF24" s="48"/>
      <c r="DG24" s="48">
        <f t="shared" si="33"/>
        <v>1102.8858228</v>
      </c>
      <c r="DH24" s="47">
        <f t="shared" si="34"/>
        <v>1102.8858228</v>
      </c>
      <c r="DI24" s="47">
        <v>189</v>
      </c>
      <c r="DJ24" s="47"/>
      <c r="DK24" s="48"/>
      <c r="DL24" s="48">
        <f t="shared" si="35"/>
        <v>8817.139158599999</v>
      </c>
      <c r="DM24" s="47">
        <f t="shared" si="36"/>
        <v>8817.139158599999</v>
      </c>
      <c r="DN24" s="47">
        <v>1573</v>
      </c>
      <c r="DO24" s="47"/>
      <c r="DP24" s="48"/>
      <c r="DQ24" s="48">
        <f t="shared" si="37"/>
        <v>4826.7512892</v>
      </c>
      <c r="DR24" s="47">
        <f t="shared" si="38"/>
        <v>4826.7512892</v>
      </c>
      <c r="DS24" s="47">
        <v>867</v>
      </c>
      <c r="DT24" s="47"/>
      <c r="DU24" s="48"/>
      <c r="DV24" s="48">
        <f t="shared" si="39"/>
        <v>478.850991</v>
      </c>
      <c r="DW24" s="47">
        <f t="shared" si="40"/>
        <v>478.850991</v>
      </c>
      <c r="DX24" s="47">
        <v>85</v>
      </c>
      <c r="DY24" s="47"/>
      <c r="DZ24" s="48"/>
      <c r="EA24" s="48">
        <f t="shared" si="41"/>
        <v>34018.708302</v>
      </c>
      <c r="EB24" s="47">
        <f t="shared" si="42"/>
        <v>34018.708302</v>
      </c>
      <c r="EC24" s="47">
        <v>5888</v>
      </c>
      <c r="ED24" s="47"/>
      <c r="EE24" s="48"/>
      <c r="EF24" s="48">
        <f t="shared" si="43"/>
        <v>8021.0181204</v>
      </c>
      <c r="EG24" s="47">
        <f t="shared" si="44"/>
        <v>8021.0181204</v>
      </c>
      <c r="EH24" s="47">
        <v>1397</v>
      </c>
      <c r="EI24" s="47"/>
      <c r="EJ24" s="47"/>
      <c r="EK24" s="47">
        <f t="shared" si="45"/>
        <v>1335.5023518000003</v>
      </c>
      <c r="EL24" s="47">
        <f t="shared" si="46"/>
        <v>1335.5023518000003</v>
      </c>
      <c r="EM24" s="47">
        <v>230</v>
      </c>
      <c r="EN24" s="47"/>
      <c r="EO24" s="48"/>
      <c r="EP24" s="48">
        <f t="shared" si="47"/>
        <v>1437.4978908000003</v>
      </c>
      <c r="EQ24" s="47">
        <f t="shared" si="48"/>
        <v>1437.4978908000003</v>
      </c>
      <c r="ER24" s="47">
        <v>259</v>
      </c>
      <c r="ES24" s="47"/>
      <c r="ET24" s="48"/>
      <c r="EU24" s="48">
        <f t="shared" si="49"/>
        <v>109627.5289038</v>
      </c>
      <c r="EV24" s="47">
        <f t="shared" si="50"/>
        <v>109627.5289038</v>
      </c>
      <c r="EW24" s="47">
        <v>19652</v>
      </c>
      <c r="EX24" s="47"/>
      <c r="EY24" s="47"/>
      <c r="EZ24" s="47"/>
      <c r="FA24" s="47">
        <f t="shared" si="51"/>
        <v>0</v>
      </c>
      <c r="FB24" s="47"/>
      <c r="FC24" s="47"/>
    </row>
    <row r="25" spans="1:159" ht="12.75">
      <c r="A25" s="34">
        <v>43191</v>
      </c>
      <c r="C25" s="46">
        <v>10360000</v>
      </c>
      <c r="D25" s="46">
        <v>1154234</v>
      </c>
      <c r="E25" s="46">
        <f t="shared" si="0"/>
        <v>11514234</v>
      </c>
      <c r="F25" s="46">
        <f t="shared" si="1"/>
        <v>401496</v>
      </c>
      <c r="G25" s="46">
        <f t="shared" si="2"/>
        <v>194177</v>
      </c>
      <c r="H25" s="47"/>
      <c r="I25" s="46"/>
      <c r="J25" s="46"/>
      <c r="K25" s="46"/>
      <c r="L25" s="46"/>
      <c r="M25" s="46"/>
      <c r="N25" s="47"/>
      <c r="O25" s="47"/>
      <c r="P25" s="47"/>
      <c r="Q25" s="47"/>
      <c r="R25" s="47"/>
      <c r="S25" s="47"/>
      <c r="T25" s="47"/>
      <c r="U25" s="47">
        <v>3495000</v>
      </c>
      <c r="V25" s="47">
        <v>87375</v>
      </c>
      <c r="W25" s="47">
        <f t="shared" si="3"/>
        <v>3582375</v>
      </c>
      <c r="X25" s="47">
        <v>100259</v>
      </c>
      <c r="Y25" s="47">
        <v>71522</v>
      </c>
      <c r="Z25" s="47"/>
      <c r="AA25" s="47">
        <v>4165000</v>
      </c>
      <c r="AB25" s="47">
        <v>213500</v>
      </c>
      <c r="AC25" s="47">
        <f t="shared" si="4"/>
        <v>4378500</v>
      </c>
      <c r="AD25" s="47">
        <v>106692</v>
      </c>
      <c r="AE25" s="47">
        <v>38692</v>
      </c>
      <c r="AF25" s="47"/>
      <c r="AG25" s="47"/>
      <c r="AH25" s="47"/>
      <c r="AI25" s="47"/>
      <c r="AJ25" s="47"/>
      <c r="AK25" s="47"/>
      <c r="AL25" s="47"/>
      <c r="AM25" s="47"/>
      <c r="AN25" s="47">
        <v>297525</v>
      </c>
      <c r="AO25" s="47">
        <f t="shared" si="6"/>
        <v>297525</v>
      </c>
      <c r="AP25" s="47">
        <v>97908</v>
      </c>
      <c r="AQ25" s="47">
        <v>83963</v>
      </c>
      <c r="AR25" s="47"/>
      <c r="AS25" s="46">
        <v>2700000</v>
      </c>
      <c r="AT25" s="46">
        <v>555834</v>
      </c>
      <c r="AU25" s="46">
        <f t="shared" si="7"/>
        <v>3255834</v>
      </c>
      <c r="AV25" s="46">
        <f t="shared" si="8"/>
        <v>96637</v>
      </c>
      <c r="AW25" s="47"/>
      <c r="AX25" s="48">
        <v>1513600</v>
      </c>
      <c r="AY25" s="48">
        <v>311596</v>
      </c>
      <c r="AZ25" s="48">
        <f t="shared" si="9"/>
        <v>1825196</v>
      </c>
      <c r="BA25" s="48">
        <v>53259</v>
      </c>
      <c r="BB25" s="47"/>
      <c r="BC25" s="47">
        <f t="shared" si="52"/>
        <v>1186399.98</v>
      </c>
      <c r="BD25" s="49">
        <f t="shared" si="10"/>
        <v>244237.5727716</v>
      </c>
      <c r="BE25" s="47">
        <f t="shared" si="11"/>
        <v>1430637.5527716</v>
      </c>
      <c r="BF25" s="47">
        <f t="shared" si="12"/>
        <v>43378</v>
      </c>
      <c r="BG25" s="47"/>
      <c r="BH25" s="48">
        <f t="shared" si="53"/>
        <v>20181.96</v>
      </c>
      <c r="BI25" s="49">
        <f t="shared" si="13"/>
        <v>4154.7479832</v>
      </c>
      <c r="BJ25" s="48">
        <f t="shared" si="14"/>
        <v>24336.707983199998</v>
      </c>
      <c r="BK25" s="48">
        <v>727</v>
      </c>
      <c r="BL25" s="47"/>
      <c r="BM25" s="48">
        <f t="shared" si="54"/>
        <v>9256.14</v>
      </c>
      <c r="BN25" s="48">
        <f t="shared" si="15"/>
        <v>1905.5101188</v>
      </c>
      <c r="BO25" s="47">
        <f t="shared" si="16"/>
        <v>11161.6501188</v>
      </c>
      <c r="BP25" s="47">
        <v>343</v>
      </c>
      <c r="BQ25" s="47"/>
      <c r="BR25" s="48">
        <f t="shared" si="55"/>
        <v>1916.73</v>
      </c>
      <c r="BS25" s="48">
        <f t="shared" si="17"/>
        <v>394.5865566</v>
      </c>
      <c r="BT25" s="47">
        <f t="shared" si="18"/>
        <v>2311.3165566</v>
      </c>
      <c r="BU25" s="47">
        <v>71</v>
      </c>
      <c r="BV25" s="47"/>
      <c r="BW25" s="48">
        <f t="shared" si="56"/>
        <v>204915.42</v>
      </c>
      <c r="BX25" s="48">
        <f t="shared" si="19"/>
        <v>42184.799096400006</v>
      </c>
      <c r="BY25" s="47">
        <f t="shared" si="20"/>
        <v>247100.21909640002</v>
      </c>
      <c r="BZ25" s="47">
        <v>7431</v>
      </c>
      <c r="CA25" s="47"/>
      <c r="CB25" s="48">
        <f t="shared" si="57"/>
        <v>1126.98</v>
      </c>
      <c r="CC25" s="48">
        <f t="shared" si="21"/>
        <v>232.0051116</v>
      </c>
      <c r="CD25" s="47">
        <f t="shared" si="22"/>
        <v>1358.9851116</v>
      </c>
      <c r="CE25" s="47">
        <v>42</v>
      </c>
      <c r="CF25" s="47"/>
      <c r="CG25" s="48">
        <f t="shared" si="58"/>
        <v>1189.89</v>
      </c>
      <c r="CH25" s="48">
        <f t="shared" si="23"/>
        <v>244.9560438</v>
      </c>
      <c r="CI25" s="47">
        <f t="shared" si="24"/>
        <v>1434.8460438000002</v>
      </c>
      <c r="CJ25" s="47">
        <v>44</v>
      </c>
      <c r="CK25" s="47"/>
      <c r="CL25" s="48">
        <f t="shared" si="59"/>
        <v>333.72</v>
      </c>
      <c r="CM25" s="48">
        <f t="shared" si="25"/>
        <v>68.70108239999999</v>
      </c>
      <c r="CN25" s="47">
        <f t="shared" si="26"/>
        <v>402.42108240000005</v>
      </c>
      <c r="CO25" s="47">
        <v>12</v>
      </c>
      <c r="CP25" s="47"/>
      <c r="CQ25" s="48">
        <f t="shared" si="60"/>
        <v>6149.52</v>
      </c>
      <c r="CR25" s="48">
        <f t="shared" si="27"/>
        <v>1265.9675184</v>
      </c>
      <c r="CS25" s="47">
        <f t="shared" si="28"/>
        <v>7415.4875184</v>
      </c>
      <c r="CT25" s="47">
        <v>228</v>
      </c>
      <c r="CU25" s="47"/>
      <c r="CV25" s="48">
        <f t="shared" si="61"/>
        <v>9166.500000000002</v>
      </c>
      <c r="CW25" s="48">
        <f t="shared" si="29"/>
        <v>1887.05643</v>
      </c>
      <c r="CX25" s="47">
        <f t="shared" si="30"/>
        <v>11053.556430000002</v>
      </c>
      <c r="CY25" s="47">
        <v>335</v>
      </c>
      <c r="CZ25" s="47"/>
      <c r="DA25" s="48">
        <f t="shared" si="62"/>
        <v>108000</v>
      </c>
      <c r="DB25" s="48">
        <f t="shared" si="31"/>
        <v>22233.36</v>
      </c>
      <c r="DC25" s="47">
        <f t="shared" si="32"/>
        <v>130233.36</v>
      </c>
      <c r="DD25" s="47">
        <v>4005</v>
      </c>
      <c r="DE25" s="47"/>
      <c r="DF25" s="48">
        <f t="shared" si="63"/>
        <v>5357.34</v>
      </c>
      <c r="DG25" s="48">
        <f t="shared" si="33"/>
        <v>1102.8858228</v>
      </c>
      <c r="DH25" s="47">
        <f t="shared" si="34"/>
        <v>6460.2258228</v>
      </c>
      <c r="DI25" s="47">
        <v>189</v>
      </c>
      <c r="DJ25" s="47"/>
      <c r="DK25" s="48">
        <f t="shared" si="64"/>
        <v>42829.83</v>
      </c>
      <c r="DL25" s="48">
        <f t="shared" si="35"/>
        <v>8817.139158599999</v>
      </c>
      <c r="DM25" s="47">
        <f t="shared" si="36"/>
        <v>51646.9691586</v>
      </c>
      <c r="DN25" s="47">
        <v>1573</v>
      </c>
      <c r="DO25" s="47"/>
      <c r="DP25" s="48">
        <f t="shared" si="65"/>
        <v>23446.26</v>
      </c>
      <c r="DQ25" s="48">
        <f t="shared" si="37"/>
        <v>4826.7512892</v>
      </c>
      <c r="DR25" s="47">
        <f t="shared" si="38"/>
        <v>28273.0112892</v>
      </c>
      <c r="DS25" s="47">
        <v>867</v>
      </c>
      <c r="DT25" s="47"/>
      <c r="DU25" s="48">
        <f t="shared" si="66"/>
        <v>2326.05</v>
      </c>
      <c r="DV25" s="48">
        <f t="shared" si="39"/>
        <v>478.850991</v>
      </c>
      <c r="DW25" s="47">
        <f t="shared" si="40"/>
        <v>2804.9009910000004</v>
      </c>
      <c r="DX25" s="47">
        <v>85</v>
      </c>
      <c r="DY25" s="47"/>
      <c r="DZ25" s="48">
        <f t="shared" si="67"/>
        <v>165248.1</v>
      </c>
      <c r="EA25" s="48">
        <f t="shared" si="41"/>
        <v>34018.708302</v>
      </c>
      <c r="EB25" s="47">
        <f t="shared" si="42"/>
        <v>199266.808302</v>
      </c>
      <c r="EC25" s="47">
        <v>5888</v>
      </c>
      <c r="ED25" s="47"/>
      <c r="EE25" s="48">
        <f t="shared" si="68"/>
        <v>38962.62</v>
      </c>
      <c r="EF25" s="48">
        <f t="shared" si="43"/>
        <v>8021.0181204</v>
      </c>
      <c r="EG25" s="47">
        <f t="shared" si="44"/>
        <v>46983.638120400006</v>
      </c>
      <c r="EH25" s="47">
        <v>1397</v>
      </c>
      <c r="EI25" s="47"/>
      <c r="EJ25" s="47">
        <f t="shared" si="69"/>
        <v>6487.29</v>
      </c>
      <c r="EK25" s="47">
        <f t="shared" si="45"/>
        <v>1335.5023518000003</v>
      </c>
      <c r="EL25" s="47">
        <f t="shared" si="46"/>
        <v>7822.792351800001</v>
      </c>
      <c r="EM25" s="47">
        <v>230</v>
      </c>
      <c r="EN25" s="47"/>
      <c r="EO25" s="48">
        <f t="shared" si="70"/>
        <v>6982.74</v>
      </c>
      <c r="EP25" s="48">
        <f t="shared" si="47"/>
        <v>1437.4978908000003</v>
      </c>
      <c r="EQ25" s="47">
        <f t="shared" si="48"/>
        <v>8420.2378908</v>
      </c>
      <c r="ER25" s="47">
        <v>259</v>
      </c>
      <c r="ES25" s="47"/>
      <c r="ET25" s="48">
        <f t="shared" si="71"/>
        <v>532522.89</v>
      </c>
      <c r="EU25" s="48">
        <f t="shared" si="49"/>
        <v>109627.5289038</v>
      </c>
      <c r="EV25" s="47">
        <f t="shared" si="50"/>
        <v>642150.4189038</v>
      </c>
      <c r="EW25" s="47">
        <v>19652</v>
      </c>
      <c r="EX25" s="47"/>
      <c r="EY25" s="47"/>
      <c r="EZ25" s="47"/>
      <c r="FA25" s="47">
        <f t="shared" si="51"/>
        <v>0</v>
      </c>
      <c r="FB25" s="47"/>
      <c r="FC25" s="47"/>
    </row>
    <row r="26" spans="1:159" ht="12.75">
      <c r="A26" s="34">
        <v>43374</v>
      </c>
      <c r="C26" s="46"/>
      <c r="D26" s="46">
        <v>895234</v>
      </c>
      <c r="E26" s="46">
        <f t="shared" si="0"/>
        <v>895234</v>
      </c>
      <c r="F26" s="46">
        <f t="shared" si="1"/>
        <v>301237</v>
      </c>
      <c r="G26" s="46">
        <f t="shared" si="2"/>
        <v>122655</v>
      </c>
      <c r="H26" s="47"/>
      <c r="I26" s="46"/>
      <c r="J26" s="46"/>
      <c r="K26" s="46"/>
      <c r="L26" s="46"/>
      <c r="M26" s="46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>
        <v>109375</v>
      </c>
      <c r="AC26" s="47">
        <f t="shared" si="4"/>
        <v>109375</v>
      </c>
      <c r="AD26" s="47">
        <v>106692</v>
      </c>
      <c r="AE26" s="47">
        <v>38692</v>
      </c>
      <c r="AF26" s="47"/>
      <c r="AG26" s="47"/>
      <c r="AH26" s="47"/>
      <c r="AI26" s="47"/>
      <c r="AJ26" s="47"/>
      <c r="AK26" s="47"/>
      <c r="AL26" s="47"/>
      <c r="AM26" s="47"/>
      <c r="AN26" s="47">
        <v>297525</v>
      </c>
      <c r="AO26" s="47">
        <f t="shared" si="6"/>
        <v>297525</v>
      </c>
      <c r="AP26" s="47">
        <v>97908</v>
      </c>
      <c r="AQ26" s="47">
        <v>83963</v>
      </c>
      <c r="AR26" s="47"/>
      <c r="AS26" s="46"/>
      <c r="AT26" s="46">
        <v>488334</v>
      </c>
      <c r="AU26" s="46">
        <f t="shared" si="7"/>
        <v>488334</v>
      </c>
      <c r="AV26" s="46">
        <f t="shared" si="8"/>
        <v>96637</v>
      </c>
      <c r="AW26" s="47"/>
      <c r="AX26" s="48"/>
      <c r="AY26" s="48">
        <v>273756</v>
      </c>
      <c r="AZ26" s="48">
        <f t="shared" si="9"/>
        <v>273756</v>
      </c>
      <c r="BA26" s="48">
        <v>53259</v>
      </c>
      <c r="BB26" s="47"/>
      <c r="BC26" s="47"/>
      <c r="BD26" s="49">
        <f t="shared" si="10"/>
        <v>214577.57327159998</v>
      </c>
      <c r="BE26" s="47">
        <f t="shared" si="11"/>
        <v>214577.57327159998</v>
      </c>
      <c r="BF26" s="47">
        <f t="shared" si="12"/>
        <v>43378</v>
      </c>
      <c r="BG26" s="47"/>
      <c r="BH26" s="48"/>
      <c r="BI26" s="49">
        <f t="shared" si="13"/>
        <v>3650.1989832000004</v>
      </c>
      <c r="BJ26" s="48">
        <f t="shared" si="14"/>
        <v>3650.1989832000004</v>
      </c>
      <c r="BK26" s="48">
        <v>727</v>
      </c>
      <c r="BL26" s="47"/>
      <c r="BM26" s="48"/>
      <c r="BN26" s="48">
        <f t="shared" si="15"/>
        <v>1674.1066188</v>
      </c>
      <c r="BO26" s="47">
        <f t="shared" si="16"/>
        <v>1674.1066188</v>
      </c>
      <c r="BP26" s="47">
        <v>343</v>
      </c>
      <c r="BQ26" s="47"/>
      <c r="BR26" s="48"/>
      <c r="BS26" s="48">
        <f t="shared" si="17"/>
        <v>346.6683066</v>
      </c>
      <c r="BT26" s="47">
        <f t="shared" si="18"/>
        <v>346.6683066</v>
      </c>
      <c r="BU26" s="47">
        <v>71</v>
      </c>
      <c r="BV26" s="47"/>
      <c r="BW26" s="48"/>
      <c r="BX26" s="48">
        <f t="shared" si="19"/>
        <v>37061.9135964</v>
      </c>
      <c r="BY26" s="47">
        <f t="shared" si="20"/>
        <v>37061.9135964</v>
      </c>
      <c r="BZ26" s="47">
        <v>7431</v>
      </c>
      <c r="CA26" s="47"/>
      <c r="CB26" s="48"/>
      <c r="CC26" s="48">
        <f t="shared" si="21"/>
        <v>203.8306116</v>
      </c>
      <c r="CD26" s="47">
        <f t="shared" si="22"/>
        <v>203.8306116</v>
      </c>
      <c r="CE26" s="47">
        <v>42</v>
      </c>
      <c r="CF26" s="47"/>
      <c r="CG26" s="48"/>
      <c r="CH26" s="48">
        <f t="shared" si="23"/>
        <v>215.2087938</v>
      </c>
      <c r="CI26" s="47">
        <f t="shared" si="24"/>
        <v>215.2087938</v>
      </c>
      <c r="CJ26" s="47">
        <v>44</v>
      </c>
      <c r="CK26" s="47"/>
      <c r="CL26" s="48"/>
      <c r="CM26" s="48">
        <f t="shared" si="25"/>
        <v>60.358082399999994</v>
      </c>
      <c r="CN26" s="47">
        <f t="shared" si="26"/>
        <v>60.358082399999994</v>
      </c>
      <c r="CO26" s="47">
        <v>12</v>
      </c>
      <c r="CP26" s="47"/>
      <c r="CQ26" s="48"/>
      <c r="CR26" s="48">
        <f t="shared" si="27"/>
        <v>1112.2295184</v>
      </c>
      <c r="CS26" s="47">
        <f t="shared" si="28"/>
        <v>1112.2295184</v>
      </c>
      <c r="CT26" s="47">
        <v>228</v>
      </c>
      <c r="CU26" s="47"/>
      <c r="CV26" s="48"/>
      <c r="CW26" s="48">
        <f t="shared" si="29"/>
        <v>1657.8939300000002</v>
      </c>
      <c r="CX26" s="47">
        <f t="shared" si="30"/>
        <v>1657.8939300000002</v>
      </c>
      <c r="CY26" s="47">
        <v>335</v>
      </c>
      <c r="CZ26" s="47"/>
      <c r="DA26" s="48"/>
      <c r="DB26" s="48">
        <f t="shared" si="31"/>
        <v>19533.36</v>
      </c>
      <c r="DC26" s="47">
        <f t="shared" si="32"/>
        <v>19533.36</v>
      </c>
      <c r="DD26" s="47">
        <v>4005</v>
      </c>
      <c r="DE26" s="47"/>
      <c r="DF26" s="48"/>
      <c r="DG26" s="48">
        <f t="shared" si="33"/>
        <v>968.9523228000002</v>
      </c>
      <c r="DH26" s="47">
        <f t="shared" si="34"/>
        <v>968.9523228000002</v>
      </c>
      <c r="DI26" s="47">
        <v>189</v>
      </c>
      <c r="DJ26" s="47"/>
      <c r="DK26" s="48"/>
      <c r="DL26" s="48">
        <f t="shared" si="35"/>
        <v>7746.3934086</v>
      </c>
      <c r="DM26" s="47">
        <f t="shared" si="36"/>
        <v>7746.3934086</v>
      </c>
      <c r="DN26" s="47">
        <v>1573</v>
      </c>
      <c r="DO26" s="47"/>
      <c r="DP26" s="48"/>
      <c r="DQ26" s="48">
        <f t="shared" si="37"/>
        <v>4240.5947892</v>
      </c>
      <c r="DR26" s="47">
        <f t="shared" si="38"/>
        <v>4240.5947892</v>
      </c>
      <c r="DS26" s="47">
        <v>867</v>
      </c>
      <c r="DT26" s="47"/>
      <c r="DU26" s="48"/>
      <c r="DV26" s="48">
        <f t="shared" si="39"/>
        <v>420.699741</v>
      </c>
      <c r="DW26" s="47">
        <f t="shared" si="40"/>
        <v>420.699741</v>
      </c>
      <c r="DX26" s="47">
        <v>85</v>
      </c>
      <c r="DY26" s="47"/>
      <c r="DZ26" s="48"/>
      <c r="EA26" s="48">
        <f t="shared" si="41"/>
        <v>29887.505802000003</v>
      </c>
      <c r="EB26" s="47">
        <f t="shared" si="42"/>
        <v>29887.505802000003</v>
      </c>
      <c r="EC26" s="47">
        <v>5888</v>
      </c>
      <c r="ED26" s="47"/>
      <c r="EE26" s="48"/>
      <c r="EF26" s="48">
        <f t="shared" si="43"/>
        <v>7046.9526204</v>
      </c>
      <c r="EG26" s="47">
        <f t="shared" si="44"/>
        <v>7046.9526204</v>
      </c>
      <c r="EH26" s="47">
        <v>1397</v>
      </c>
      <c r="EI26" s="47"/>
      <c r="EJ26" s="47"/>
      <c r="EK26" s="47">
        <f t="shared" si="45"/>
        <v>1173.3201018000002</v>
      </c>
      <c r="EL26" s="47">
        <f t="shared" si="46"/>
        <v>1173.3201018000002</v>
      </c>
      <c r="EM26" s="47">
        <v>230</v>
      </c>
      <c r="EN26" s="47"/>
      <c r="EO26" s="48"/>
      <c r="EP26" s="48">
        <f t="shared" si="47"/>
        <v>1262.9293908000002</v>
      </c>
      <c r="EQ26" s="47">
        <f t="shared" si="48"/>
        <v>1262.9293908000002</v>
      </c>
      <c r="ER26" s="47">
        <v>259</v>
      </c>
      <c r="ES26" s="47"/>
      <c r="ET26" s="48"/>
      <c r="EU26" s="48">
        <f t="shared" si="49"/>
        <v>96314.45665379999</v>
      </c>
      <c r="EV26" s="47">
        <f t="shared" si="50"/>
        <v>96314.45665379999</v>
      </c>
      <c r="EW26" s="47">
        <v>19652</v>
      </c>
      <c r="EX26" s="47"/>
      <c r="EY26" s="47"/>
      <c r="EZ26" s="47"/>
      <c r="FA26" s="47">
        <f t="shared" si="51"/>
        <v>0</v>
      </c>
      <c r="FB26" s="47"/>
      <c r="FC26" s="47"/>
    </row>
    <row r="27" spans="1:159" s="35" customFormat="1" ht="12.75">
      <c r="A27" s="34">
        <v>43556</v>
      </c>
      <c r="C27" s="49">
        <v>7210000</v>
      </c>
      <c r="D27" s="49">
        <v>895234</v>
      </c>
      <c r="E27" s="46">
        <f t="shared" si="0"/>
        <v>8105234</v>
      </c>
      <c r="F27" s="46">
        <f t="shared" si="1"/>
        <v>301229</v>
      </c>
      <c r="G27" s="46">
        <f t="shared" si="2"/>
        <v>122585</v>
      </c>
      <c r="H27" s="48"/>
      <c r="I27" s="49"/>
      <c r="J27" s="49"/>
      <c r="K27" s="46"/>
      <c r="L27" s="46"/>
      <c r="M27" s="46"/>
      <c r="N27" s="48"/>
      <c r="O27" s="48"/>
      <c r="P27" s="48"/>
      <c r="Q27" s="48"/>
      <c r="R27" s="48"/>
      <c r="S27" s="48"/>
      <c r="T27" s="48"/>
      <c r="U27" s="48"/>
      <c r="V27" s="48"/>
      <c r="W27" s="47"/>
      <c r="X27" s="47"/>
      <c r="Y27" s="47"/>
      <c r="Z27" s="48"/>
      <c r="AA27" s="48">
        <v>4375000</v>
      </c>
      <c r="AB27" s="48">
        <v>109375</v>
      </c>
      <c r="AC27" s="47">
        <f t="shared" si="4"/>
        <v>4484375</v>
      </c>
      <c r="AD27" s="47">
        <v>106684</v>
      </c>
      <c r="AE27" s="47">
        <v>38622</v>
      </c>
      <c r="AF27" s="48"/>
      <c r="AG27" s="48"/>
      <c r="AH27" s="48"/>
      <c r="AI27" s="48"/>
      <c r="AJ27" s="48"/>
      <c r="AK27" s="48"/>
      <c r="AL27" s="48"/>
      <c r="AM27" s="48"/>
      <c r="AN27" s="48">
        <v>297525</v>
      </c>
      <c r="AO27" s="47">
        <f t="shared" si="6"/>
        <v>297525</v>
      </c>
      <c r="AP27" s="47">
        <v>97908</v>
      </c>
      <c r="AQ27" s="47">
        <v>83963</v>
      </c>
      <c r="AR27" s="48"/>
      <c r="AS27" s="49">
        <v>2835000</v>
      </c>
      <c r="AT27" s="49">
        <v>488334</v>
      </c>
      <c r="AU27" s="46">
        <f t="shared" si="7"/>
        <v>3323334</v>
      </c>
      <c r="AV27" s="46">
        <f t="shared" si="8"/>
        <v>96637</v>
      </c>
      <c r="AW27" s="48"/>
      <c r="AX27" s="48">
        <v>1589280</v>
      </c>
      <c r="AY27" s="48">
        <v>273756</v>
      </c>
      <c r="AZ27" s="48">
        <f t="shared" si="9"/>
        <v>1863036</v>
      </c>
      <c r="BA27" s="48">
        <v>53259</v>
      </c>
      <c r="BB27" s="48"/>
      <c r="BC27" s="47">
        <f t="shared" si="52"/>
        <v>1245719.979</v>
      </c>
      <c r="BD27" s="49">
        <f t="shared" si="10"/>
        <v>214577.57327159998</v>
      </c>
      <c r="BE27" s="47">
        <f t="shared" si="11"/>
        <v>1460297.5522716</v>
      </c>
      <c r="BF27" s="47">
        <f t="shared" si="12"/>
        <v>43378</v>
      </c>
      <c r="BG27" s="48"/>
      <c r="BH27" s="48">
        <f t="shared" si="53"/>
        <v>21191.058000000005</v>
      </c>
      <c r="BI27" s="49">
        <f t="shared" si="13"/>
        <v>3650.1989832000004</v>
      </c>
      <c r="BJ27" s="48">
        <f t="shared" si="14"/>
        <v>24841.256983200004</v>
      </c>
      <c r="BK27" s="48">
        <v>727</v>
      </c>
      <c r="BL27" s="48"/>
      <c r="BM27" s="48">
        <f t="shared" si="54"/>
        <v>9718.947</v>
      </c>
      <c r="BN27" s="48">
        <f t="shared" si="15"/>
        <v>1674.1066188</v>
      </c>
      <c r="BO27" s="47">
        <f t="shared" si="16"/>
        <v>11393.0536188</v>
      </c>
      <c r="BP27" s="47">
        <v>343</v>
      </c>
      <c r="BQ27" s="48"/>
      <c r="BR27" s="48">
        <f t="shared" si="55"/>
        <v>2012.5665</v>
      </c>
      <c r="BS27" s="48">
        <f t="shared" si="17"/>
        <v>346.6683066</v>
      </c>
      <c r="BT27" s="47">
        <f t="shared" si="18"/>
        <v>2359.2348066</v>
      </c>
      <c r="BU27" s="47">
        <v>71</v>
      </c>
      <c r="BV27" s="48"/>
      <c r="BW27" s="48">
        <f t="shared" si="56"/>
        <v>215161.19100000002</v>
      </c>
      <c r="BX27" s="48">
        <f t="shared" si="19"/>
        <v>37061.9135964</v>
      </c>
      <c r="BY27" s="47">
        <f t="shared" si="20"/>
        <v>252223.10459640002</v>
      </c>
      <c r="BZ27" s="47">
        <v>7431</v>
      </c>
      <c r="CA27" s="48"/>
      <c r="CB27" s="48">
        <f t="shared" si="57"/>
        <v>1183.329</v>
      </c>
      <c r="CC27" s="48">
        <f t="shared" si="21"/>
        <v>203.8306116</v>
      </c>
      <c r="CD27" s="47">
        <f t="shared" si="22"/>
        <v>1387.1596116</v>
      </c>
      <c r="CE27" s="47">
        <v>42</v>
      </c>
      <c r="CF27" s="48"/>
      <c r="CG27" s="48">
        <f t="shared" si="58"/>
        <v>1249.3845</v>
      </c>
      <c r="CH27" s="48">
        <f t="shared" si="23"/>
        <v>215.2087938</v>
      </c>
      <c r="CI27" s="47">
        <f t="shared" si="24"/>
        <v>1464.5932937999999</v>
      </c>
      <c r="CJ27" s="47">
        <v>44</v>
      </c>
      <c r="CK27" s="48"/>
      <c r="CL27" s="48">
        <f t="shared" si="59"/>
        <v>350.406</v>
      </c>
      <c r="CM27" s="48">
        <f t="shared" si="25"/>
        <v>60.358082399999994</v>
      </c>
      <c r="CN27" s="47">
        <f t="shared" si="26"/>
        <v>410.7640824</v>
      </c>
      <c r="CO27" s="47">
        <v>12</v>
      </c>
      <c r="CP27" s="48"/>
      <c r="CQ27" s="48">
        <f t="shared" si="60"/>
        <v>6456.996</v>
      </c>
      <c r="CR27" s="48">
        <f t="shared" si="27"/>
        <v>1112.2295184</v>
      </c>
      <c r="CS27" s="47">
        <f t="shared" si="28"/>
        <v>7569.2255184000005</v>
      </c>
      <c r="CT27" s="47">
        <v>228</v>
      </c>
      <c r="CU27" s="48"/>
      <c r="CV27" s="48">
        <f t="shared" si="61"/>
        <v>9624.825</v>
      </c>
      <c r="CW27" s="48">
        <f t="shared" si="29"/>
        <v>1657.8939300000002</v>
      </c>
      <c r="CX27" s="47">
        <f t="shared" si="30"/>
        <v>11282.718930000001</v>
      </c>
      <c r="CY27" s="47">
        <v>335</v>
      </c>
      <c r="CZ27" s="48"/>
      <c r="DA27" s="48">
        <f t="shared" si="62"/>
        <v>113400</v>
      </c>
      <c r="DB27" s="48">
        <f t="shared" si="31"/>
        <v>19533.36</v>
      </c>
      <c r="DC27" s="47">
        <f t="shared" si="32"/>
        <v>132933.36</v>
      </c>
      <c r="DD27" s="47">
        <v>4005</v>
      </c>
      <c r="DE27" s="48"/>
      <c r="DF27" s="48">
        <f t="shared" si="63"/>
        <v>5625.207</v>
      </c>
      <c r="DG27" s="48">
        <f t="shared" si="33"/>
        <v>968.9523228000002</v>
      </c>
      <c r="DH27" s="47">
        <f t="shared" si="34"/>
        <v>6594.1593228</v>
      </c>
      <c r="DI27" s="47">
        <v>189</v>
      </c>
      <c r="DJ27" s="48"/>
      <c r="DK27" s="48">
        <f t="shared" si="64"/>
        <v>44971.321500000005</v>
      </c>
      <c r="DL27" s="48">
        <f t="shared" si="35"/>
        <v>7746.3934086</v>
      </c>
      <c r="DM27" s="47">
        <f t="shared" si="36"/>
        <v>52717.714908600006</v>
      </c>
      <c r="DN27" s="47">
        <v>1573</v>
      </c>
      <c r="DO27" s="48"/>
      <c r="DP27" s="48">
        <f t="shared" si="65"/>
        <v>24618.573000000004</v>
      </c>
      <c r="DQ27" s="48">
        <f t="shared" si="37"/>
        <v>4240.5947892</v>
      </c>
      <c r="DR27" s="47">
        <f t="shared" si="38"/>
        <v>28859.167789200004</v>
      </c>
      <c r="DS27" s="47">
        <v>867</v>
      </c>
      <c r="DT27" s="48"/>
      <c r="DU27" s="48">
        <f t="shared" si="66"/>
        <v>2442.3525</v>
      </c>
      <c r="DV27" s="48">
        <f t="shared" si="39"/>
        <v>420.699741</v>
      </c>
      <c r="DW27" s="47">
        <f t="shared" si="40"/>
        <v>2863.052241</v>
      </c>
      <c r="DX27" s="47">
        <v>85</v>
      </c>
      <c r="DY27" s="48"/>
      <c r="DZ27" s="48">
        <f t="shared" si="67"/>
        <v>173510.505</v>
      </c>
      <c r="EA27" s="48">
        <f t="shared" si="41"/>
        <v>29887.505802000003</v>
      </c>
      <c r="EB27" s="47">
        <f t="shared" si="42"/>
        <v>203398.010802</v>
      </c>
      <c r="EC27" s="47">
        <v>5888</v>
      </c>
      <c r="ED27" s="48"/>
      <c r="EE27" s="48">
        <f t="shared" si="68"/>
        <v>40910.751000000004</v>
      </c>
      <c r="EF27" s="48">
        <f t="shared" si="43"/>
        <v>7046.9526204</v>
      </c>
      <c r="EG27" s="47">
        <f t="shared" si="44"/>
        <v>47957.7036204</v>
      </c>
      <c r="EH27" s="47">
        <v>1397</v>
      </c>
      <c r="EI27" s="47"/>
      <c r="EJ27" s="47">
        <f t="shared" si="69"/>
        <v>6811.654500000001</v>
      </c>
      <c r="EK27" s="47">
        <f t="shared" si="45"/>
        <v>1173.3201018000002</v>
      </c>
      <c r="EL27" s="47">
        <f t="shared" si="46"/>
        <v>7984.9746018000005</v>
      </c>
      <c r="EM27" s="47">
        <v>230</v>
      </c>
      <c r="EN27" s="48"/>
      <c r="EO27" s="48">
        <f t="shared" si="70"/>
        <v>7331.877</v>
      </c>
      <c r="EP27" s="48">
        <f t="shared" si="47"/>
        <v>1262.9293908000002</v>
      </c>
      <c r="EQ27" s="47">
        <f t="shared" si="48"/>
        <v>8594.8063908</v>
      </c>
      <c r="ER27" s="47">
        <v>259</v>
      </c>
      <c r="ES27" s="48"/>
      <c r="ET27" s="48">
        <f t="shared" si="71"/>
        <v>559149.0345000001</v>
      </c>
      <c r="EU27" s="48">
        <f t="shared" si="49"/>
        <v>96314.45665379999</v>
      </c>
      <c r="EV27" s="47">
        <f t="shared" si="50"/>
        <v>655463.4911538</v>
      </c>
      <c r="EW27" s="47">
        <v>19652</v>
      </c>
      <c r="EX27" s="48"/>
      <c r="EY27" s="47"/>
      <c r="EZ27" s="47"/>
      <c r="FA27" s="47">
        <f t="shared" si="51"/>
        <v>0</v>
      </c>
      <c r="FB27" s="47"/>
      <c r="FC27" s="48"/>
    </row>
    <row r="28" spans="1:159" s="35" customFormat="1" ht="12.75">
      <c r="A28" s="34">
        <v>43739</v>
      </c>
      <c r="C28" s="49"/>
      <c r="D28" s="49">
        <v>714984</v>
      </c>
      <c r="E28" s="46">
        <f t="shared" si="0"/>
        <v>714984</v>
      </c>
      <c r="F28" s="46">
        <f t="shared" si="1"/>
        <v>194545</v>
      </c>
      <c r="G28" s="46">
        <f t="shared" si="2"/>
        <v>83963</v>
      </c>
      <c r="H28" s="48"/>
      <c r="I28" s="49"/>
      <c r="J28" s="49"/>
      <c r="K28" s="46"/>
      <c r="L28" s="46"/>
      <c r="M28" s="46"/>
      <c r="N28" s="48"/>
      <c r="O28" s="48"/>
      <c r="P28" s="48"/>
      <c r="Q28" s="48"/>
      <c r="R28" s="48"/>
      <c r="S28" s="48"/>
      <c r="T28" s="48"/>
      <c r="U28" s="48"/>
      <c r="V28" s="48"/>
      <c r="W28" s="47"/>
      <c r="X28" s="47"/>
      <c r="Y28" s="47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297525</v>
      </c>
      <c r="AO28" s="47">
        <f t="shared" si="6"/>
        <v>297525</v>
      </c>
      <c r="AP28" s="47">
        <v>97908</v>
      </c>
      <c r="AQ28" s="47">
        <v>83963</v>
      </c>
      <c r="AR28" s="48"/>
      <c r="AS28" s="49"/>
      <c r="AT28" s="49">
        <v>417459</v>
      </c>
      <c r="AU28" s="46">
        <f t="shared" si="7"/>
        <v>417459</v>
      </c>
      <c r="AV28" s="46">
        <f t="shared" si="8"/>
        <v>96637</v>
      </c>
      <c r="AW28" s="48"/>
      <c r="AX28" s="48"/>
      <c r="AY28" s="48">
        <v>234024</v>
      </c>
      <c r="AZ28" s="48">
        <f t="shared" si="9"/>
        <v>234024</v>
      </c>
      <c r="BA28" s="48">
        <v>53259</v>
      </c>
      <c r="BB28" s="48"/>
      <c r="BC28" s="47"/>
      <c r="BD28" s="49">
        <f t="shared" si="10"/>
        <v>183434.5737966</v>
      </c>
      <c r="BE28" s="47">
        <f t="shared" si="11"/>
        <v>183434.5737966</v>
      </c>
      <c r="BF28" s="47">
        <f t="shared" si="12"/>
        <v>43378</v>
      </c>
      <c r="BG28" s="48"/>
      <c r="BH28" s="48"/>
      <c r="BI28" s="49">
        <f t="shared" si="13"/>
        <v>3120.4225332</v>
      </c>
      <c r="BJ28" s="48">
        <f t="shared" si="14"/>
        <v>3120.4225332</v>
      </c>
      <c r="BK28" s="48">
        <v>727</v>
      </c>
      <c r="BL28" s="48"/>
      <c r="BM28" s="48"/>
      <c r="BN28" s="48">
        <f t="shared" si="15"/>
        <v>1431.1329438</v>
      </c>
      <c r="BO28" s="47">
        <f t="shared" si="16"/>
        <v>1431.1329438</v>
      </c>
      <c r="BP28" s="47">
        <v>343</v>
      </c>
      <c r="BQ28" s="48"/>
      <c r="BR28" s="48"/>
      <c r="BS28" s="48">
        <f t="shared" si="17"/>
        <v>296.3541441</v>
      </c>
      <c r="BT28" s="47">
        <f t="shared" si="18"/>
        <v>296.3541441</v>
      </c>
      <c r="BU28" s="47">
        <v>71</v>
      </c>
      <c r="BV28" s="48"/>
      <c r="BW28" s="48"/>
      <c r="BX28" s="48">
        <f t="shared" si="19"/>
        <v>31682.8838214</v>
      </c>
      <c r="BY28" s="47">
        <f t="shared" si="20"/>
        <v>31682.8838214</v>
      </c>
      <c r="BZ28" s="47">
        <v>7431</v>
      </c>
      <c r="CA28" s="48"/>
      <c r="CB28" s="48"/>
      <c r="CC28" s="48">
        <f t="shared" si="21"/>
        <v>174.2473866</v>
      </c>
      <c r="CD28" s="47">
        <f t="shared" si="22"/>
        <v>174.2473866</v>
      </c>
      <c r="CE28" s="47">
        <v>42</v>
      </c>
      <c r="CF28" s="48"/>
      <c r="CG28" s="48"/>
      <c r="CH28" s="48">
        <f t="shared" si="23"/>
        <v>183.97418129999997</v>
      </c>
      <c r="CI28" s="47">
        <f t="shared" si="24"/>
        <v>183.97418129999997</v>
      </c>
      <c r="CJ28" s="47">
        <v>44</v>
      </c>
      <c r="CK28" s="48"/>
      <c r="CL28" s="48"/>
      <c r="CM28" s="48">
        <f t="shared" si="25"/>
        <v>51.5979324</v>
      </c>
      <c r="CN28" s="47">
        <f t="shared" si="26"/>
        <v>51.5979324</v>
      </c>
      <c r="CO28" s="47">
        <v>12</v>
      </c>
      <c r="CP28" s="48"/>
      <c r="CQ28" s="48"/>
      <c r="CR28" s="48">
        <f t="shared" si="27"/>
        <v>950.8046183999999</v>
      </c>
      <c r="CS28" s="47">
        <f t="shared" si="28"/>
        <v>950.8046183999999</v>
      </c>
      <c r="CT28" s="47">
        <v>228</v>
      </c>
      <c r="CU28" s="48"/>
      <c r="CV28" s="48"/>
      <c r="CW28" s="48">
        <f t="shared" si="29"/>
        <v>1417.2733050000002</v>
      </c>
      <c r="CX28" s="47">
        <f t="shared" si="30"/>
        <v>1417.2733050000002</v>
      </c>
      <c r="CY28" s="47">
        <v>335</v>
      </c>
      <c r="CZ28" s="48"/>
      <c r="DA28" s="48"/>
      <c r="DB28" s="48">
        <f t="shared" si="31"/>
        <v>16698.36</v>
      </c>
      <c r="DC28" s="47">
        <f t="shared" si="32"/>
        <v>16698.36</v>
      </c>
      <c r="DD28" s="47">
        <v>4005</v>
      </c>
      <c r="DE28" s="48"/>
      <c r="DF28" s="48"/>
      <c r="DG28" s="48">
        <f t="shared" si="33"/>
        <v>828.3221478</v>
      </c>
      <c r="DH28" s="47">
        <f t="shared" si="34"/>
        <v>828.3221478</v>
      </c>
      <c r="DI28" s="47">
        <v>189</v>
      </c>
      <c r="DJ28" s="48"/>
      <c r="DK28" s="48"/>
      <c r="DL28" s="48">
        <f t="shared" si="35"/>
        <v>6622.1103711000005</v>
      </c>
      <c r="DM28" s="47">
        <f t="shared" si="36"/>
        <v>6622.1103711000005</v>
      </c>
      <c r="DN28" s="47">
        <v>1573</v>
      </c>
      <c r="DO28" s="48"/>
      <c r="DP28" s="48"/>
      <c r="DQ28" s="48">
        <f t="shared" si="37"/>
        <v>3625.1304642000005</v>
      </c>
      <c r="DR28" s="47">
        <f t="shared" si="38"/>
        <v>3625.1304642000005</v>
      </c>
      <c r="DS28" s="47">
        <v>867</v>
      </c>
      <c r="DT28" s="48"/>
      <c r="DU28" s="48"/>
      <c r="DV28" s="48">
        <f t="shared" si="39"/>
        <v>359.64092850000003</v>
      </c>
      <c r="DW28" s="47">
        <f t="shared" si="40"/>
        <v>359.64092850000003</v>
      </c>
      <c r="DX28" s="47">
        <v>85</v>
      </c>
      <c r="DY28" s="48"/>
      <c r="DZ28" s="48"/>
      <c r="EA28" s="48">
        <f t="shared" si="41"/>
        <v>25549.743177</v>
      </c>
      <c r="EB28" s="47">
        <f t="shared" si="42"/>
        <v>25549.743177</v>
      </c>
      <c r="EC28" s="47">
        <v>5888</v>
      </c>
      <c r="ED28" s="48"/>
      <c r="EE28" s="48"/>
      <c r="EF28" s="48">
        <f t="shared" si="43"/>
        <v>6024.1838454</v>
      </c>
      <c r="EG28" s="47">
        <f t="shared" si="44"/>
        <v>6024.1838454</v>
      </c>
      <c r="EH28" s="47">
        <v>1397</v>
      </c>
      <c r="EI28" s="47"/>
      <c r="EJ28" s="47"/>
      <c r="EK28" s="47">
        <f t="shared" si="45"/>
        <v>1003.0287393</v>
      </c>
      <c r="EL28" s="47">
        <f t="shared" si="46"/>
        <v>1003.0287393</v>
      </c>
      <c r="EM28" s="47">
        <v>230</v>
      </c>
      <c r="EN28" s="48"/>
      <c r="EO28" s="48"/>
      <c r="EP28" s="48">
        <f t="shared" si="47"/>
        <v>1079.6324658</v>
      </c>
      <c r="EQ28" s="47">
        <f t="shared" si="48"/>
        <v>1079.6324658</v>
      </c>
      <c r="ER28" s="47">
        <v>259</v>
      </c>
      <c r="ES28" s="48"/>
      <c r="ET28" s="48"/>
      <c r="EU28" s="48">
        <f t="shared" si="49"/>
        <v>82335.7307913</v>
      </c>
      <c r="EV28" s="47">
        <f t="shared" si="50"/>
        <v>82335.7307913</v>
      </c>
      <c r="EW28" s="47">
        <v>19652</v>
      </c>
      <c r="EX28" s="48"/>
      <c r="EY28" s="47"/>
      <c r="EZ28" s="47"/>
      <c r="FA28" s="47">
        <f t="shared" si="51"/>
        <v>0</v>
      </c>
      <c r="FB28" s="47"/>
      <c r="FC28" s="48"/>
    </row>
    <row r="29" spans="1:159" s="35" customFormat="1" ht="12.75">
      <c r="A29" s="34">
        <v>43922</v>
      </c>
      <c r="C29" s="49">
        <v>9445000</v>
      </c>
      <c r="D29" s="49">
        <v>714984</v>
      </c>
      <c r="E29" s="46">
        <f t="shared" si="0"/>
        <v>10159984</v>
      </c>
      <c r="F29" s="46">
        <f t="shared" si="1"/>
        <v>194545</v>
      </c>
      <c r="G29" s="46">
        <f t="shared" si="2"/>
        <v>83963</v>
      </c>
      <c r="H29" s="48"/>
      <c r="I29" s="49"/>
      <c r="J29" s="49"/>
      <c r="K29" s="46"/>
      <c r="L29" s="46"/>
      <c r="M29" s="46"/>
      <c r="N29" s="48"/>
      <c r="O29" s="48"/>
      <c r="P29" s="48"/>
      <c r="Q29" s="48"/>
      <c r="R29" s="48"/>
      <c r="S29" s="48"/>
      <c r="T29" s="48"/>
      <c r="U29" s="48"/>
      <c r="V29" s="48"/>
      <c r="W29" s="47"/>
      <c r="X29" s="47"/>
      <c r="Y29" s="47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>
        <v>6470000</v>
      </c>
      <c r="AN29" s="48">
        <v>297525</v>
      </c>
      <c r="AO29" s="47">
        <f t="shared" si="6"/>
        <v>6767525</v>
      </c>
      <c r="AP29" s="47">
        <v>97908</v>
      </c>
      <c r="AQ29" s="47">
        <v>83963</v>
      </c>
      <c r="AR29" s="48"/>
      <c r="AS29" s="49">
        <v>2975000</v>
      </c>
      <c r="AT29" s="49">
        <v>417459</v>
      </c>
      <c r="AU29" s="46">
        <f t="shared" si="7"/>
        <v>3392459</v>
      </c>
      <c r="AV29" s="46">
        <f t="shared" si="8"/>
        <v>96637</v>
      </c>
      <c r="AW29" s="48"/>
      <c r="AX29" s="48">
        <v>1667763</v>
      </c>
      <c r="AY29" s="48">
        <v>234024</v>
      </c>
      <c r="AZ29" s="48">
        <f t="shared" si="9"/>
        <v>1901787</v>
      </c>
      <c r="BA29" s="48">
        <v>53259</v>
      </c>
      <c r="BB29" s="48"/>
      <c r="BC29" s="47">
        <f t="shared" si="52"/>
        <v>1307237.0150000001</v>
      </c>
      <c r="BD29" s="49">
        <f t="shared" si="10"/>
        <v>183434.5737966</v>
      </c>
      <c r="BE29" s="47">
        <f t="shared" si="11"/>
        <v>1490671.5887966002</v>
      </c>
      <c r="BF29" s="47">
        <f t="shared" si="12"/>
        <v>43378</v>
      </c>
      <c r="BG29" s="48"/>
      <c r="BH29" s="48">
        <f t="shared" si="53"/>
        <v>22237.53</v>
      </c>
      <c r="BI29" s="49">
        <f t="shared" si="13"/>
        <v>3120.4225332</v>
      </c>
      <c r="BJ29" s="48">
        <f t="shared" si="14"/>
        <v>25357.952533199998</v>
      </c>
      <c r="BK29" s="48">
        <v>727</v>
      </c>
      <c r="BL29" s="48"/>
      <c r="BM29" s="48">
        <f t="shared" si="54"/>
        <v>10198.895</v>
      </c>
      <c r="BN29" s="48">
        <f t="shared" si="15"/>
        <v>1431.1329438</v>
      </c>
      <c r="BO29" s="47">
        <f t="shared" si="16"/>
        <v>11630.0279438</v>
      </c>
      <c r="BP29" s="47">
        <v>343</v>
      </c>
      <c r="BQ29" s="48"/>
      <c r="BR29" s="48">
        <f t="shared" si="55"/>
        <v>2111.9525</v>
      </c>
      <c r="BS29" s="48">
        <f t="shared" si="17"/>
        <v>296.3541441</v>
      </c>
      <c r="BT29" s="47">
        <f t="shared" si="18"/>
        <v>2408.3066441</v>
      </c>
      <c r="BU29" s="47">
        <v>71</v>
      </c>
      <c r="BV29" s="48"/>
      <c r="BW29" s="48">
        <f t="shared" si="56"/>
        <v>225786.435</v>
      </c>
      <c r="BX29" s="48">
        <f t="shared" si="19"/>
        <v>31682.8838214</v>
      </c>
      <c r="BY29" s="47">
        <f t="shared" si="20"/>
        <v>257469.3188214</v>
      </c>
      <c r="BZ29" s="47">
        <v>7431</v>
      </c>
      <c r="CA29" s="48"/>
      <c r="CB29" s="48">
        <f t="shared" si="57"/>
        <v>1241.765</v>
      </c>
      <c r="CC29" s="48">
        <f t="shared" si="21"/>
        <v>174.2473866</v>
      </c>
      <c r="CD29" s="47">
        <f t="shared" si="22"/>
        <v>1416.0123866000001</v>
      </c>
      <c r="CE29" s="47">
        <v>42</v>
      </c>
      <c r="CF29" s="48"/>
      <c r="CG29" s="48">
        <f t="shared" si="58"/>
        <v>1311.0825</v>
      </c>
      <c r="CH29" s="48">
        <f t="shared" si="23"/>
        <v>183.97418129999997</v>
      </c>
      <c r="CI29" s="47">
        <f t="shared" si="24"/>
        <v>1495.0566813</v>
      </c>
      <c r="CJ29" s="47">
        <v>44</v>
      </c>
      <c r="CK29" s="48"/>
      <c r="CL29" s="48">
        <f t="shared" si="59"/>
        <v>367.71</v>
      </c>
      <c r="CM29" s="48">
        <f t="shared" si="25"/>
        <v>51.5979324</v>
      </c>
      <c r="CN29" s="47">
        <f t="shared" si="26"/>
        <v>419.30793239999997</v>
      </c>
      <c r="CO29" s="47">
        <v>12</v>
      </c>
      <c r="CP29" s="48"/>
      <c r="CQ29" s="48">
        <f t="shared" si="60"/>
        <v>6775.86</v>
      </c>
      <c r="CR29" s="48">
        <f t="shared" si="27"/>
        <v>950.8046183999999</v>
      </c>
      <c r="CS29" s="47">
        <f t="shared" si="28"/>
        <v>7726.664618399999</v>
      </c>
      <c r="CT29" s="47">
        <v>228</v>
      </c>
      <c r="CU29" s="48"/>
      <c r="CV29" s="48">
        <f t="shared" si="61"/>
        <v>10100.125000000002</v>
      </c>
      <c r="CW29" s="48">
        <f t="shared" si="29"/>
        <v>1417.2733050000002</v>
      </c>
      <c r="CX29" s="47">
        <f t="shared" si="30"/>
        <v>11517.398305000002</v>
      </c>
      <c r="CY29" s="47">
        <v>335</v>
      </c>
      <c r="CZ29" s="48"/>
      <c r="DA29" s="48">
        <f t="shared" si="62"/>
        <v>119000</v>
      </c>
      <c r="DB29" s="48">
        <f t="shared" si="31"/>
        <v>16698.36</v>
      </c>
      <c r="DC29" s="47">
        <f t="shared" si="32"/>
        <v>135698.36</v>
      </c>
      <c r="DD29" s="47">
        <v>4005</v>
      </c>
      <c r="DE29" s="48"/>
      <c r="DF29" s="48">
        <f t="shared" si="63"/>
        <v>5902.995</v>
      </c>
      <c r="DG29" s="48">
        <f t="shared" si="33"/>
        <v>828.3221478</v>
      </c>
      <c r="DH29" s="47">
        <f t="shared" si="34"/>
        <v>6731.3171478</v>
      </c>
      <c r="DI29" s="47">
        <v>189</v>
      </c>
      <c r="DJ29" s="48"/>
      <c r="DK29" s="48">
        <f t="shared" si="64"/>
        <v>47192.1275</v>
      </c>
      <c r="DL29" s="48">
        <f t="shared" si="35"/>
        <v>6622.1103711000005</v>
      </c>
      <c r="DM29" s="47">
        <f t="shared" si="36"/>
        <v>53814.237871100006</v>
      </c>
      <c r="DN29" s="47">
        <v>1573</v>
      </c>
      <c r="DO29" s="48"/>
      <c r="DP29" s="48">
        <f t="shared" si="65"/>
        <v>25834.305</v>
      </c>
      <c r="DQ29" s="48">
        <f t="shared" si="37"/>
        <v>3625.1304642000005</v>
      </c>
      <c r="DR29" s="47">
        <f t="shared" si="38"/>
        <v>29459.4354642</v>
      </c>
      <c r="DS29" s="47">
        <v>867</v>
      </c>
      <c r="DT29" s="48"/>
      <c r="DU29" s="48">
        <f t="shared" si="66"/>
        <v>2562.9625</v>
      </c>
      <c r="DV29" s="48">
        <f t="shared" si="39"/>
        <v>359.64092850000003</v>
      </c>
      <c r="DW29" s="47">
        <f t="shared" si="40"/>
        <v>2922.6034285</v>
      </c>
      <c r="DX29" s="47">
        <v>85</v>
      </c>
      <c r="DY29" s="48"/>
      <c r="DZ29" s="48">
        <f t="shared" si="67"/>
        <v>182078.925</v>
      </c>
      <c r="EA29" s="48">
        <f t="shared" si="41"/>
        <v>25549.743177</v>
      </c>
      <c r="EB29" s="47">
        <f t="shared" si="42"/>
        <v>207628.66817699999</v>
      </c>
      <c r="EC29" s="47">
        <v>5888</v>
      </c>
      <c r="ED29" s="48"/>
      <c r="EE29" s="48">
        <f t="shared" si="68"/>
        <v>42931.035</v>
      </c>
      <c r="EF29" s="48">
        <f t="shared" si="43"/>
        <v>6024.1838454</v>
      </c>
      <c r="EG29" s="47">
        <f t="shared" si="44"/>
        <v>48955.218845400006</v>
      </c>
      <c r="EH29" s="47">
        <v>1397</v>
      </c>
      <c r="EI29" s="47"/>
      <c r="EJ29" s="47">
        <f t="shared" si="69"/>
        <v>7148.0325</v>
      </c>
      <c r="EK29" s="47">
        <f t="shared" si="45"/>
        <v>1003.0287393</v>
      </c>
      <c r="EL29" s="47">
        <f t="shared" si="46"/>
        <v>8151.0612393</v>
      </c>
      <c r="EM29" s="47">
        <v>230</v>
      </c>
      <c r="EN29" s="48"/>
      <c r="EO29" s="48">
        <f t="shared" si="70"/>
        <v>7693.945</v>
      </c>
      <c r="EP29" s="48">
        <f t="shared" si="47"/>
        <v>1079.6324658</v>
      </c>
      <c r="EQ29" s="47">
        <f t="shared" si="48"/>
        <v>8773.5774658</v>
      </c>
      <c r="ER29" s="47">
        <v>259</v>
      </c>
      <c r="ES29" s="48"/>
      <c r="ET29" s="48">
        <f t="shared" si="71"/>
        <v>586761.3325</v>
      </c>
      <c r="EU29" s="48">
        <f t="shared" si="49"/>
        <v>82335.7307913</v>
      </c>
      <c r="EV29" s="47">
        <f t="shared" si="50"/>
        <v>669097.0632913</v>
      </c>
      <c r="EW29" s="47">
        <v>19652</v>
      </c>
      <c r="EX29" s="48"/>
      <c r="EY29" s="47"/>
      <c r="EZ29" s="47"/>
      <c r="FA29" s="47">
        <f t="shared" si="51"/>
        <v>0</v>
      </c>
      <c r="FB29" s="47"/>
      <c r="FC29" s="48"/>
    </row>
    <row r="30" spans="1:159" s="35" customFormat="1" ht="12.75">
      <c r="A30" s="34">
        <v>44105</v>
      </c>
      <c r="C30" s="49"/>
      <c r="D30" s="49">
        <v>526084</v>
      </c>
      <c r="E30" s="46">
        <f t="shared" si="0"/>
        <v>526084</v>
      </c>
      <c r="F30" s="46">
        <f t="shared" si="1"/>
        <v>194545</v>
      </c>
      <c r="G30" s="46">
        <f t="shared" si="2"/>
        <v>83963</v>
      </c>
      <c r="H30" s="48"/>
      <c r="I30" s="49"/>
      <c r="J30" s="49"/>
      <c r="K30" s="46"/>
      <c r="L30" s="46"/>
      <c r="M30" s="46"/>
      <c r="N30" s="48"/>
      <c r="O30" s="48"/>
      <c r="P30" s="48"/>
      <c r="Q30" s="48"/>
      <c r="R30" s="48"/>
      <c r="S30" s="48"/>
      <c r="T30" s="48"/>
      <c r="U30" s="48"/>
      <c r="V30" s="48"/>
      <c r="W30" s="47"/>
      <c r="X30" s="47"/>
      <c r="Y30" s="47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>
        <v>168125</v>
      </c>
      <c r="AO30" s="47">
        <f t="shared" si="6"/>
        <v>168125</v>
      </c>
      <c r="AP30" s="47">
        <v>97908</v>
      </c>
      <c r="AQ30" s="47">
        <v>83963</v>
      </c>
      <c r="AR30" s="48"/>
      <c r="AS30" s="49"/>
      <c r="AT30" s="49">
        <v>357959</v>
      </c>
      <c r="AU30" s="46">
        <f t="shared" si="7"/>
        <v>357959</v>
      </c>
      <c r="AV30" s="46">
        <f t="shared" si="8"/>
        <v>96637</v>
      </c>
      <c r="AW30" s="48"/>
      <c r="AX30" s="48"/>
      <c r="AY30" s="48">
        <v>200669</v>
      </c>
      <c r="AZ30" s="48">
        <f t="shared" si="9"/>
        <v>200669</v>
      </c>
      <c r="BA30" s="48">
        <v>53259</v>
      </c>
      <c r="BB30" s="48"/>
      <c r="BC30" s="47"/>
      <c r="BD30" s="49">
        <f t="shared" si="10"/>
        <v>157289.83349659998</v>
      </c>
      <c r="BE30" s="47">
        <f t="shared" si="11"/>
        <v>157289.83349659998</v>
      </c>
      <c r="BF30" s="47">
        <f t="shared" si="12"/>
        <v>43378</v>
      </c>
      <c r="BG30" s="48"/>
      <c r="BH30" s="48"/>
      <c r="BI30" s="49">
        <f t="shared" si="13"/>
        <v>2675.6719332000002</v>
      </c>
      <c r="BJ30" s="48">
        <f t="shared" si="14"/>
        <v>2675.6719332000002</v>
      </c>
      <c r="BK30" s="48">
        <v>727</v>
      </c>
      <c r="BL30" s="48"/>
      <c r="BM30" s="48"/>
      <c r="BN30" s="48">
        <f t="shared" si="15"/>
        <v>1227.1550438</v>
      </c>
      <c r="BO30" s="47">
        <f t="shared" si="16"/>
        <v>1227.1550438</v>
      </c>
      <c r="BP30" s="47">
        <v>343</v>
      </c>
      <c r="BQ30" s="48"/>
      <c r="BR30" s="48"/>
      <c r="BS30" s="48">
        <f t="shared" si="17"/>
        <v>254.1150941</v>
      </c>
      <c r="BT30" s="47">
        <f t="shared" si="18"/>
        <v>254.1150941</v>
      </c>
      <c r="BU30" s="47">
        <v>71</v>
      </c>
      <c r="BV30" s="48"/>
      <c r="BW30" s="48"/>
      <c r="BX30" s="48">
        <f t="shared" si="19"/>
        <v>27167.1551214</v>
      </c>
      <c r="BY30" s="47">
        <f t="shared" si="20"/>
        <v>27167.1551214</v>
      </c>
      <c r="BZ30" s="47">
        <v>7431</v>
      </c>
      <c r="CA30" s="48"/>
      <c r="CB30" s="48"/>
      <c r="CC30" s="48">
        <f t="shared" si="21"/>
        <v>149.4120866</v>
      </c>
      <c r="CD30" s="47">
        <f t="shared" si="22"/>
        <v>149.4120866</v>
      </c>
      <c r="CE30" s="47">
        <v>42</v>
      </c>
      <c r="CF30" s="48"/>
      <c r="CG30" s="48"/>
      <c r="CH30" s="48">
        <f t="shared" si="23"/>
        <v>157.7525313</v>
      </c>
      <c r="CI30" s="47">
        <f t="shared" si="24"/>
        <v>157.7525313</v>
      </c>
      <c r="CJ30" s="47">
        <v>44</v>
      </c>
      <c r="CK30" s="48"/>
      <c r="CL30" s="48"/>
      <c r="CM30" s="48">
        <f t="shared" si="25"/>
        <v>44.2437324</v>
      </c>
      <c r="CN30" s="47">
        <f t="shared" si="26"/>
        <v>44.2437324</v>
      </c>
      <c r="CO30" s="47">
        <v>12</v>
      </c>
      <c r="CP30" s="48"/>
      <c r="CQ30" s="48"/>
      <c r="CR30" s="48">
        <f t="shared" si="27"/>
        <v>815.2874184</v>
      </c>
      <c r="CS30" s="47">
        <f t="shared" si="28"/>
        <v>815.2874184</v>
      </c>
      <c r="CT30" s="47">
        <v>228</v>
      </c>
      <c r="CU30" s="48"/>
      <c r="CV30" s="48"/>
      <c r="CW30" s="48">
        <f t="shared" si="29"/>
        <v>1215.270805</v>
      </c>
      <c r="CX30" s="47">
        <f t="shared" si="30"/>
        <v>1215.270805</v>
      </c>
      <c r="CY30" s="47">
        <v>335</v>
      </c>
      <c r="CZ30" s="48"/>
      <c r="DA30" s="48"/>
      <c r="DB30" s="48">
        <f t="shared" si="31"/>
        <v>14318.36</v>
      </c>
      <c r="DC30" s="47">
        <f t="shared" si="32"/>
        <v>14318.36</v>
      </c>
      <c r="DD30" s="47">
        <v>4005</v>
      </c>
      <c r="DE30" s="48"/>
      <c r="DF30" s="48"/>
      <c r="DG30" s="48">
        <f t="shared" si="33"/>
        <v>710.2622478000001</v>
      </c>
      <c r="DH30" s="47">
        <f t="shared" si="34"/>
        <v>710.2622478000001</v>
      </c>
      <c r="DI30" s="47">
        <v>189</v>
      </c>
      <c r="DJ30" s="48"/>
      <c r="DK30" s="48"/>
      <c r="DL30" s="48">
        <f t="shared" si="35"/>
        <v>5678.2678211</v>
      </c>
      <c r="DM30" s="47">
        <f t="shared" si="36"/>
        <v>5678.2678211</v>
      </c>
      <c r="DN30" s="47">
        <v>1573</v>
      </c>
      <c r="DO30" s="48"/>
      <c r="DP30" s="48"/>
      <c r="DQ30" s="48">
        <f t="shared" si="37"/>
        <v>3108.4443642000006</v>
      </c>
      <c r="DR30" s="47">
        <f t="shared" si="38"/>
        <v>3108.4443642000006</v>
      </c>
      <c r="DS30" s="47">
        <v>867</v>
      </c>
      <c r="DT30" s="48"/>
      <c r="DU30" s="48"/>
      <c r="DV30" s="48">
        <f t="shared" si="39"/>
        <v>308.3816785</v>
      </c>
      <c r="DW30" s="47">
        <f t="shared" si="40"/>
        <v>308.3816785</v>
      </c>
      <c r="DX30" s="47">
        <v>85</v>
      </c>
      <c r="DY30" s="48"/>
      <c r="DZ30" s="48"/>
      <c r="EA30" s="48">
        <f t="shared" si="41"/>
        <v>21908.164677</v>
      </c>
      <c r="EB30" s="47">
        <f t="shared" si="42"/>
        <v>21908.164677</v>
      </c>
      <c r="EC30" s="47">
        <v>5888</v>
      </c>
      <c r="ED30" s="48"/>
      <c r="EE30" s="48"/>
      <c r="EF30" s="48">
        <f t="shared" si="43"/>
        <v>5165.5631453999995</v>
      </c>
      <c r="EG30" s="47">
        <f t="shared" si="44"/>
        <v>5165.5631453999995</v>
      </c>
      <c r="EH30" s="47">
        <v>1397</v>
      </c>
      <c r="EI30" s="47"/>
      <c r="EJ30" s="47"/>
      <c r="EK30" s="47">
        <f t="shared" si="45"/>
        <v>860.0680893</v>
      </c>
      <c r="EL30" s="47">
        <f t="shared" si="46"/>
        <v>860.0680893</v>
      </c>
      <c r="EM30" s="47">
        <v>230</v>
      </c>
      <c r="EN30" s="48"/>
      <c r="EO30" s="48"/>
      <c r="EP30" s="48">
        <f t="shared" si="47"/>
        <v>925.7535658</v>
      </c>
      <c r="EQ30" s="47">
        <f t="shared" si="48"/>
        <v>925.7535658</v>
      </c>
      <c r="ER30" s="47">
        <v>259</v>
      </c>
      <c r="ES30" s="48"/>
      <c r="ET30" s="48"/>
      <c r="EU30" s="48">
        <f t="shared" si="49"/>
        <v>70600.5041413</v>
      </c>
      <c r="EV30" s="47">
        <f t="shared" si="50"/>
        <v>70600.5041413</v>
      </c>
      <c r="EW30" s="47">
        <v>19652</v>
      </c>
      <c r="EX30" s="48"/>
      <c r="EY30" s="47"/>
      <c r="EZ30" s="47"/>
      <c r="FA30" s="47">
        <f t="shared" si="51"/>
        <v>0</v>
      </c>
      <c r="FB30" s="47"/>
      <c r="FC30" s="48"/>
    </row>
    <row r="31" spans="1:159" s="35" customFormat="1" ht="12.75">
      <c r="A31" s="34">
        <v>44287</v>
      </c>
      <c r="C31" s="49">
        <v>9820000</v>
      </c>
      <c r="D31" s="49">
        <v>526084</v>
      </c>
      <c r="E31" s="46">
        <f t="shared" si="0"/>
        <v>10346084</v>
      </c>
      <c r="F31" s="46">
        <f t="shared" si="1"/>
        <v>194541</v>
      </c>
      <c r="G31" s="46">
        <f t="shared" si="2"/>
        <v>83950</v>
      </c>
      <c r="H31" s="48"/>
      <c r="I31" s="49"/>
      <c r="J31" s="49"/>
      <c r="K31" s="46"/>
      <c r="L31" s="46"/>
      <c r="M31" s="46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>
        <v>6725000</v>
      </c>
      <c r="AN31" s="48">
        <v>168125</v>
      </c>
      <c r="AO31" s="47">
        <f t="shared" si="6"/>
        <v>6893125</v>
      </c>
      <c r="AP31" s="47">
        <v>97904</v>
      </c>
      <c r="AQ31" s="47">
        <v>83950</v>
      </c>
      <c r="AR31" s="48"/>
      <c r="AS31" s="49">
        <v>3095000</v>
      </c>
      <c r="AT31" s="49">
        <v>357959</v>
      </c>
      <c r="AU31" s="46">
        <f t="shared" si="7"/>
        <v>3452959</v>
      </c>
      <c r="AV31" s="46">
        <f t="shared" si="8"/>
        <v>96637</v>
      </c>
      <c r="AW31" s="48"/>
      <c r="AX31" s="48">
        <v>1735034</v>
      </c>
      <c r="AY31" s="48">
        <v>200669</v>
      </c>
      <c r="AZ31" s="48">
        <f t="shared" si="9"/>
        <v>1935703</v>
      </c>
      <c r="BA31" s="48">
        <v>53259</v>
      </c>
      <c r="BB31" s="48"/>
      <c r="BC31" s="47">
        <f t="shared" si="52"/>
        <v>1359965.903</v>
      </c>
      <c r="BD31" s="49">
        <f t="shared" si="10"/>
        <v>157289.83349659998</v>
      </c>
      <c r="BE31" s="47">
        <f t="shared" si="11"/>
        <v>1517255.7364965999</v>
      </c>
      <c r="BF31" s="47">
        <f t="shared" si="12"/>
        <v>43378</v>
      </c>
      <c r="BG31" s="48"/>
      <c r="BH31" s="48">
        <f t="shared" si="53"/>
        <v>23134.506</v>
      </c>
      <c r="BI31" s="49">
        <f t="shared" si="13"/>
        <v>2675.6719332000002</v>
      </c>
      <c r="BJ31" s="48">
        <f t="shared" si="14"/>
        <v>25810.1779332</v>
      </c>
      <c r="BK31" s="48">
        <v>727</v>
      </c>
      <c r="BL31" s="48"/>
      <c r="BM31" s="48">
        <f t="shared" si="54"/>
        <v>10610.279000000002</v>
      </c>
      <c r="BN31" s="48">
        <f t="shared" si="15"/>
        <v>1227.1550438</v>
      </c>
      <c r="BO31" s="47">
        <f t="shared" si="16"/>
        <v>11837.434043800002</v>
      </c>
      <c r="BP31" s="47">
        <v>343</v>
      </c>
      <c r="BQ31" s="48"/>
      <c r="BR31" s="48">
        <f t="shared" si="55"/>
        <v>2197.1405</v>
      </c>
      <c r="BS31" s="48">
        <f t="shared" si="17"/>
        <v>254.1150941</v>
      </c>
      <c r="BT31" s="47">
        <f t="shared" si="18"/>
        <v>2451.2555941</v>
      </c>
      <c r="BU31" s="47">
        <v>71</v>
      </c>
      <c r="BV31" s="48"/>
      <c r="BW31" s="48">
        <f t="shared" si="56"/>
        <v>234893.78699999998</v>
      </c>
      <c r="BX31" s="48">
        <f t="shared" si="19"/>
        <v>27167.1551214</v>
      </c>
      <c r="BY31" s="47">
        <f t="shared" si="20"/>
        <v>262060.94212139997</v>
      </c>
      <c r="BZ31" s="47">
        <v>7431</v>
      </c>
      <c r="CA31" s="48"/>
      <c r="CB31" s="48">
        <f t="shared" si="57"/>
        <v>1291.853</v>
      </c>
      <c r="CC31" s="48">
        <f t="shared" si="21"/>
        <v>149.4120866</v>
      </c>
      <c r="CD31" s="47">
        <f t="shared" si="22"/>
        <v>1441.2650866000001</v>
      </c>
      <c r="CE31" s="47">
        <v>42</v>
      </c>
      <c r="CF31" s="48"/>
      <c r="CG31" s="48">
        <f t="shared" si="58"/>
        <v>1363.9665</v>
      </c>
      <c r="CH31" s="48">
        <f t="shared" si="23"/>
        <v>157.7525313</v>
      </c>
      <c r="CI31" s="47">
        <f t="shared" si="24"/>
        <v>1521.7190313</v>
      </c>
      <c r="CJ31" s="47">
        <v>44</v>
      </c>
      <c r="CK31" s="48"/>
      <c r="CL31" s="48">
        <f t="shared" si="59"/>
        <v>382.542</v>
      </c>
      <c r="CM31" s="48">
        <f t="shared" si="25"/>
        <v>44.2437324</v>
      </c>
      <c r="CN31" s="47">
        <f t="shared" si="26"/>
        <v>426.7857324</v>
      </c>
      <c r="CO31" s="47">
        <v>12</v>
      </c>
      <c r="CP31" s="48"/>
      <c r="CQ31" s="48">
        <f t="shared" si="60"/>
        <v>7049.172</v>
      </c>
      <c r="CR31" s="48">
        <f t="shared" si="27"/>
        <v>815.2874184</v>
      </c>
      <c r="CS31" s="47">
        <f t="shared" si="28"/>
        <v>7864.4594184</v>
      </c>
      <c r="CT31" s="47">
        <v>228</v>
      </c>
      <c r="CU31" s="48"/>
      <c r="CV31" s="48">
        <f t="shared" si="61"/>
        <v>10507.525</v>
      </c>
      <c r="CW31" s="48">
        <f t="shared" si="29"/>
        <v>1215.270805</v>
      </c>
      <c r="CX31" s="47">
        <f t="shared" si="30"/>
        <v>11722.795805</v>
      </c>
      <c r="CY31" s="47">
        <v>335</v>
      </c>
      <c r="CZ31" s="48"/>
      <c r="DA31" s="48">
        <f t="shared" si="62"/>
        <v>123800</v>
      </c>
      <c r="DB31" s="48">
        <f t="shared" si="31"/>
        <v>14318.36</v>
      </c>
      <c r="DC31" s="47">
        <f t="shared" si="32"/>
        <v>138118.36</v>
      </c>
      <c r="DD31" s="47">
        <v>4005</v>
      </c>
      <c r="DE31" s="48"/>
      <c r="DF31" s="48">
        <f t="shared" si="63"/>
        <v>6141.099</v>
      </c>
      <c r="DG31" s="48">
        <f t="shared" si="33"/>
        <v>710.2622478000001</v>
      </c>
      <c r="DH31" s="47">
        <f t="shared" si="34"/>
        <v>6851.3612478000005</v>
      </c>
      <c r="DI31" s="47">
        <v>189</v>
      </c>
      <c r="DJ31" s="48"/>
      <c r="DK31" s="48">
        <f t="shared" si="64"/>
        <v>49095.6755</v>
      </c>
      <c r="DL31" s="48">
        <f t="shared" si="35"/>
        <v>5678.2678211</v>
      </c>
      <c r="DM31" s="47">
        <f t="shared" si="36"/>
        <v>54773.9433211</v>
      </c>
      <c r="DN31" s="47">
        <v>1573</v>
      </c>
      <c r="DO31" s="48"/>
      <c r="DP31" s="48">
        <f t="shared" si="65"/>
        <v>26876.361</v>
      </c>
      <c r="DQ31" s="48">
        <f t="shared" si="37"/>
        <v>3108.4443642000006</v>
      </c>
      <c r="DR31" s="47">
        <f t="shared" si="38"/>
        <v>29984.8053642</v>
      </c>
      <c r="DS31" s="47">
        <v>867</v>
      </c>
      <c r="DT31" s="48"/>
      <c r="DU31" s="48">
        <f t="shared" si="66"/>
        <v>2666.3425</v>
      </c>
      <c r="DV31" s="48">
        <f t="shared" si="39"/>
        <v>308.3816785</v>
      </c>
      <c r="DW31" s="47">
        <f t="shared" si="40"/>
        <v>2974.7241785</v>
      </c>
      <c r="DX31" s="47">
        <v>85</v>
      </c>
      <c r="DY31" s="48"/>
      <c r="DZ31" s="48">
        <f t="shared" si="67"/>
        <v>189423.285</v>
      </c>
      <c r="EA31" s="48">
        <f t="shared" si="41"/>
        <v>21908.164677</v>
      </c>
      <c r="EB31" s="47">
        <f t="shared" si="42"/>
        <v>211331.449677</v>
      </c>
      <c r="EC31" s="47">
        <v>5888</v>
      </c>
      <c r="ED31" s="48"/>
      <c r="EE31" s="48">
        <f t="shared" si="68"/>
        <v>44662.707</v>
      </c>
      <c r="EF31" s="48">
        <f t="shared" si="43"/>
        <v>5165.5631453999995</v>
      </c>
      <c r="EG31" s="47">
        <f t="shared" si="44"/>
        <v>49828.270145400005</v>
      </c>
      <c r="EH31" s="47">
        <v>1397</v>
      </c>
      <c r="EI31" s="47"/>
      <c r="EJ31" s="47">
        <f t="shared" si="69"/>
        <v>7436.3565</v>
      </c>
      <c r="EK31" s="47">
        <f t="shared" si="45"/>
        <v>860.0680893</v>
      </c>
      <c r="EL31" s="47">
        <f t="shared" si="46"/>
        <v>8296.4245893</v>
      </c>
      <c r="EM31" s="47">
        <v>230</v>
      </c>
      <c r="EN31" s="48"/>
      <c r="EO31" s="48">
        <f t="shared" si="70"/>
        <v>8004.289000000001</v>
      </c>
      <c r="EP31" s="48">
        <f t="shared" si="47"/>
        <v>925.7535658</v>
      </c>
      <c r="EQ31" s="47">
        <f t="shared" si="48"/>
        <v>8930.0425658</v>
      </c>
      <c r="ER31" s="47">
        <v>259</v>
      </c>
      <c r="ES31" s="48"/>
      <c r="ET31" s="48">
        <f t="shared" si="71"/>
        <v>610429.0165</v>
      </c>
      <c r="EU31" s="48">
        <f t="shared" si="49"/>
        <v>70600.5041413</v>
      </c>
      <c r="EV31" s="47">
        <f t="shared" si="50"/>
        <v>681029.5206413</v>
      </c>
      <c r="EW31" s="47">
        <v>19652</v>
      </c>
      <c r="EX31" s="48"/>
      <c r="EY31" s="47"/>
      <c r="EZ31" s="47"/>
      <c r="FA31" s="47">
        <f t="shared" si="51"/>
        <v>0</v>
      </c>
      <c r="FB31" s="47"/>
      <c r="FC31" s="48"/>
    </row>
    <row r="32" spans="1:159" s="35" customFormat="1" ht="12.75">
      <c r="A32" s="34">
        <v>44470</v>
      </c>
      <c r="C32" s="49"/>
      <c r="D32" s="49">
        <v>280584</v>
      </c>
      <c r="E32" s="46">
        <f t="shared" si="0"/>
        <v>280584</v>
      </c>
      <c r="F32" s="46">
        <f t="shared" si="1"/>
        <v>96637</v>
      </c>
      <c r="G32" s="46">
        <f t="shared" si="2"/>
        <v>0</v>
      </c>
      <c r="H32" s="48"/>
      <c r="I32" s="49"/>
      <c r="J32" s="49"/>
      <c r="K32" s="46"/>
      <c r="L32" s="46"/>
      <c r="M32" s="46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7"/>
      <c r="AP32" s="47"/>
      <c r="AQ32" s="47"/>
      <c r="AR32" s="48"/>
      <c r="AS32" s="49"/>
      <c r="AT32" s="49">
        <v>280584</v>
      </c>
      <c r="AU32" s="46">
        <f t="shared" si="7"/>
        <v>280584</v>
      </c>
      <c r="AV32" s="46">
        <f t="shared" si="8"/>
        <v>96637</v>
      </c>
      <c r="AW32" s="48"/>
      <c r="AX32" s="48"/>
      <c r="AY32" s="48">
        <v>157293</v>
      </c>
      <c r="AZ32" s="48">
        <f t="shared" si="9"/>
        <v>157293</v>
      </c>
      <c r="BA32" s="48">
        <v>53259</v>
      </c>
      <c r="BB32" s="48"/>
      <c r="BC32" s="47"/>
      <c r="BD32" s="49">
        <f t="shared" si="10"/>
        <v>123290.6859216</v>
      </c>
      <c r="BE32" s="47">
        <f t="shared" si="11"/>
        <v>123290.6859216</v>
      </c>
      <c r="BF32" s="47">
        <f t="shared" si="12"/>
        <v>43378</v>
      </c>
      <c r="BG32" s="48"/>
      <c r="BH32" s="48"/>
      <c r="BI32" s="49">
        <f t="shared" si="13"/>
        <v>2097.3092832</v>
      </c>
      <c r="BJ32" s="48">
        <f t="shared" si="14"/>
        <v>2097.3092832</v>
      </c>
      <c r="BK32" s="48">
        <v>727</v>
      </c>
      <c r="BL32" s="48"/>
      <c r="BM32" s="48"/>
      <c r="BN32" s="48">
        <f t="shared" si="15"/>
        <v>961.8980688</v>
      </c>
      <c r="BO32" s="47">
        <f t="shared" si="16"/>
        <v>961.8980688</v>
      </c>
      <c r="BP32" s="47">
        <v>343</v>
      </c>
      <c r="BQ32" s="48"/>
      <c r="BR32" s="48"/>
      <c r="BS32" s="48">
        <f t="shared" si="17"/>
        <v>199.18658159999998</v>
      </c>
      <c r="BT32" s="47">
        <f t="shared" si="18"/>
        <v>199.18658159999998</v>
      </c>
      <c r="BU32" s="47">
        <v>71</v>
      </c>
      <c r="BV32" s="48"/>
      <c r="BW32" s="48"/>
      <c r="BX32" s="48">
        <f t="shared" si="19"/>
        <v>21294.8104464</v>
      </c>
      <c r="BY32" s="47">
        <f t="shared" si="20"/>
        <v>21294.8104464</v>
      </c>
      <c r="BZ32" s="47">
        <v>7431</v>
      </c>
      <c r="CA32" s="48"/>
      <c r="CB32" s="48"/>
      <c r="CC32" s="48">
        <f t="shared" si="21"/>
        <v>117.1157616</v>
      </c>
      <c r="CD32" s="47">
        <f t="shared" si="22"/>
        <v>117.1157616</v>
      </c>
      <c r="CE32" s="47">
        <v>42</v>
      </c>
      <c r="CF32" s="48"/>
      <c r="CG32" s="48"/>
      <c r="CH32" s="48">
        <f t="shared" si="23"/>
        <v>123.6533688</v>
      </c>
      <c r="CI32" s="47">
        <f t="shared" si="24"/>
        <v>123.6533688</v>
      </c>
      <c r="CJ32" s="47">
        <v>44</v>
      </c>
      <c r="CK32" s="48"/>
      <c r="CL32" s="48"/>
      <c r="CM32" s="48">
        <f t="shared" si="25"/>
        <v>34.6801824</v>
      </c>
      <c r="CN32" s="47">
        <f t="shared" si="26"/>
        <v>34.6801824</v>
      </c>
      <c r="CO32" s="47">
        <v>12</v>
      </c>
      <c r="CP32" s="48"/>
      <c r="CQ32" s="48"/>
      <c r="CR32" s="48">
        <f t="shared" si="27"/>
        <v>639.0581183999999</v>
      </c>
      <c r="CS32" s="47">
        <f t="shared" si="28"/>
        <v>639.0581183999999</v>
      </c>
      <c r="CT32" s="47">
        <v>228</v>
      </c>
      <c r="CU32" s="48"/>
      <c r="CV32" s="48"/>
      <c r="CW32" s="48">
        <f t="shared" si="29"/>
        <v>952.5826800000001</v>
      </c>
      <c r="CX32" s="47">
        <f t="shared" si="30"/>
        <v>952.5826800000001</v>
      </c>
      <c r="CY32" s="47">
        <v>335</v>
      </c>
      <c r="CZ32" s="48"/>
      <c r="DA32" s="48"/>
      <c r="DB32" s="48">
        <f t="shared" si="31"/>
        <v>11223.36</v>
      </c>
      <c r="DC32" s="47">
        <f t="shared" si="32"/>
        <v>11223.36</v>
      </c>
      <c r="DD32" s="47">
        <v>4005</v>
      </c>
      <c r="DE32" s="48"/>
      <c r="DF32" s="48"/>
      <c r="DG32" s="48">
        <f t="shared" si="33"/>
        <v>556.7347728000001</v>
      </c>
      <c r="DH32" s="47">
        <f t="shared" si="34"/>
        <v>556.7347728000001</v>
      </c>
      <c r="DI32" s="47">
        <v>189</v>
      </c>
      <c r="DJ32" s="48"/>
      <c r="DK32" s="48"/>
      <c r="DL32" s="48">
        <f t="shared" si="35"/>
        <v>4450.8759336</v>
      </c>
      <c r="DM32" s="47">
        <f t="shared" si="36"/>
        <v>4450.8759336</v>
      </c>
      <c r="DN32" s="47">
        <v>1573</v>
      </c>
      <c r="DO32" s="48"/>
      <c r="DP32" s="48"/>
      <c r="DQ32" s="48">
        <f t="shared" si="37"/>
        <v>2436.5353392</v>
      </c>
      <c r="DR32" s="47">
        <f t="shared" si="38"/>
        <v>2436.5353392</v>
      </c>
      <c r="DS32" s="47">
        <v>867</v>
      </c>
      <c r="DT32" s="48"/>
      <c r="DU32" s="48"/>
      <c r="DV32" s="48">
        <f t="shared" si="39"/>
        <v>241.723116</v>
      </c>
      <c r="DW32" s="47">
        <f t="shared" si="40"/>
        <v>241.723116</v>
      </c>
      <c r="DX32" s="47">
        <v>85</v>
      </c>
      <c r="DY32" s="48"/>
      <c r="DZ32" s="48"/>
      <c r="EA32" s="48">
        <f t="shared" si="41"/>
        <v>17172.582552</v>
      </c>
      <c r="EB32" s="47">
        <f t="shared" si="42"/>
        <v>17172.582552</v>
      </c>
      <c r="EC32" s="47">
        <v>5888</v>
      </c>
      <c r="ED32" s="48"/>
      <c r="EE32" s="48"/>
      <c r="EF32" s="48">
        <f t="shared" si="43"/>
        <v>4048.9954703999997</v>
      </c>
      <c r="EG32" s="47">
        <f t="shared" si="44"/>
        <v>4048.9954703999997</v>
      </c>
      <c r="EH32" s="47">
        <v>1397</v>
      </c>
      <c r="EI32" s="47"/>
      <c r="EJ32" s="47"/>
      <c r="EK32" s="47">
        <f t="shared" si="45"/>
        <v>674.1591768</v>
      </c>
      <c r="EL32" s="47">
        <f t="shared" si="46"/>
        <v>674.1591768</v>
      </c>
      <c r="EM32" s="47">
        <v>230</v>
      </c>
      <c r="EN32" s="48"/>
      <c r="EO32" s="48"/>
      <c r="EP32" s="48">
        <f t="shared" si="47"/>
        <v>725.6463408000001</v>
      </c>
      <c r="EQ32" s="47">
        <f t="shared" si="48"/>
        <v>725.6463408000001</v>
      </c>
      <c r="ER32" s="47">
        <v>259</v>
      </c>
      <c r="ES32" s="48"/>
      <c r="ET32" s="48"/>
      <c r="EU32" s="48">
        <f t="shared" si="49"/>
        <v>55339.778728799996</v>
      </c>
      <c r="EV32" s="47">
        <f t="shared" si="50"/>
        <v>55339.778728799996</v>
      </c>
      <c r="EW32" s="47">
        <v>19652</v>
      </c>
      <c r="EX32" s="48"/>
      <c r="EY32" s="47"/>
      <c r="EZ32" s="47"/>
      <c r="FA32" s="47">
        <f t="shared" si="51"/>
        <v>0</v>
      </c>
      <c r="FB32" s="47"/>
      <c r="FC32" s="48"/>
    </row>
    <row r="33" spans="1:159" s="35" customFormat="1" ht="12.75">
      <c r="A33" s="34">
        <v>44652</v>
      </c>
      <c r="C33" s="49">
        <v>3250000</v>
      </c>
      <c r="D33" s="49">
        <v>280584</v>
      </c>
      <c r="E33" s="46">
        <f t="shared" si="0"/>
        <v>3530584</v>
      </c>
      <c r="F33" s="46">
        <f t="shared" si="1"/>
        <v>96637</v>
      </c>
      <c r="G33" s="46">
        <f t="shared" si="2"/>
        <v>0</v>
      </c>
      <c r="H33" s="48"/>
      <c r="I33" s="49"/>
      <c r="J33" s="49"/>
      <c r="K33" s="46"/>
      <c r="L33" s="46"/>
      <c r="M33" s="46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7"/>
      <c r="AP33" s="47"/>
      <c r="AQ33" s="47"/>
      <c r="AR33" s="48"/>
      <c r="AS33" s="49">
        <v>3250000</v>
      </c>
      <c r="AT33" s="49">
        <v>280584</v>
      </c>
      <c r="AU33" s="46">
        <f t="shared" si="7"/>
        <v>3530584</v>
      </c>
      <c r="AV33" s="46">
        <f t="shared" si="8"/>
        <v>96637</v>
      </c>
      <c r="AW33" s="48"/>
      <c r="AX33" s="48">
        <v>1821926</v>
      </c>
      <c r="AY33" s="48">
        <v>157293</v>
      </c>
      <c r="AZ33" s="48">
        <f t="shared" si="9"/>
        <v>1979219</v>
      </c>
      <c r="BA33" s="48">
        <v>53259</v>
      </c>
      <c r="BB33" s="48"/>
      <c r="BC33" s="47">
        <f t="shared" si="52"/>
        <v>1428074.05</v>
      </c>
      <c r="BD33" s="49">
        <f t="shared" si="10"/>
        <v>123290.6859216</v>
      </c>
      <c r="BE33" s="47">
        <f t="shared" si="11"/>
        <v>1551364.7359216001</v>
      </c>
      <c r="BF33" s="47">
        <f t="shared" si="12"/>
        <v>43378</v>
      </c>
      <c r="BG33" s="48"/>
      <c r="BH33" s="48">
        <f t="shared" si="53"/>
        <v>24293.1</v>
      </c>
      <c r="BI33" s="49">
        <f t="shared" si="13"/>
        <v>2097.3092832</v>
      </c>
      <c r="BJ33" s="48">
        <f t="shared" si="14"/>
        <v>26390.4092832</v>
      </c>
      <c r="BK33" s="48">
        <v>727</v>
      </c>
      <c r="BL33" s="48"/>
      <c r="BM33" s="48">
        <f t="shared" si="54"/>
        <v>11141.65</v>
      </c>
      <c r="BN33" s="48">
        <f t="shared" si="15"/>
        <v>961.8980688</v>
      </c>
      <c r="BO33" s="47">
        <f t="shared" si="16"/>
        <v>12103.548068799999</v>
      </c>
      <c r="BP33" s="47">
        <v>343</v>
      </c>
      <c r="BQ33" s="48"/>
      <c r="BR33" s="48">
        <f t="shared" si="55"/>
        <v>2307.175</v>
      </c>
      <c r="BS33" s="48">
        <f t="shared" si="17"/>
        <v>199.18658159999998</v>
      </c>
      <c r="BT33" s="47">
        <f t="shared" si="18"/>
        <v>2506.3615816</v>
      </c>
      <c r="BU33" s="47">
        <v>71</v>
      </c>
      <c r="BV33" s="48"/>
      <c r="BW33" s="48">
        <f t="shared" si="56"/>
        <v>246657.45</v>
      </c>
      <c r="BX33" s="48">
        <f t="shared" si="19"/>
        <v>21294.8104464</v>
      </c>
      <c r="BY33" s="47">
        <f t="shared" si="20"/>
        <v>267952.26044640003</v>
      </c>
      <c r="BZ33" s="47">
        <v>7431</v>
      </c>
      <c r="CA33" s="48"/>
      <c r="CB33" s="48">
        <f t="shared" si="57"/>
        <v>1356.55</v>
      </c>
      <c r="CC33" s="48">
        <f t="shared" si="21"/>
        <v>117.1157616</v>
      </c>
      <c r="CD33" s="47">
        <f t="shared" si="22"/>
        <v>1473.6657616</v>
      </c>
      <c r="CE33" s="47">
        <v>42</v>
      </c>
      <c r="CF33" s="48"/>
      <c r="CG33" s="48">
        <f t="shared" si="58"/>
        <v>1432.275</v>
      </c>
      <c r="CH33" s="48">
        <f t="shared" si="23"/>
        <v>123.6533688</v>
      </c>
      <c r="CI33" s="47">
        <f t="shared" si="24"/>
        <v>1555.9283688</v>
      </c>
      <c r="CJ33" s="47">
        <v>44</v>
      </c>
      <c r="CK33" s="48"/>
      <c r="CL33" s="48">
        <f t="shared" si="59"/>
        <v>401.7</v>
      </c>
      <c r="CM33" s="48">
        <f t="shared" si="25"/>
        <v>34.6801824</v>
      </c>
      <c r="CN33" s="47">
        <f t="shared" si="26"/>
        <v>436.38018239999997</v>
      </c>
      <c r="CO33" s="47">
        <v>12</v>
      </c>
      <c r="CP33" s="48"/>
      <c r="CQ33" s="48">
        <f t="shared" si="60"/>
        <v>7402.2</v>
      </c>
      <c r="CR33" s="48">
        <f t="shared" si="27"/>
        <v>639.0581183999999</v>
      </c>
      <c r="CS33" s="47">
        <f t="shared" si="28"/>
        <v>8041.2581184</v>
      </c>
      <c r="CT33" s="47">
        <v>228</v>
      </c>
      <c r="CU33" s="48"/>
      <c r="CV33" s="48">
        <f t="shared" si="61"/>
        <v>11033.75</v>
      </c>
      <c r="CW33" s="48">
        <f t="shared" si="29"/>
        <v>952.5826800000001</v>
      </c>
      <c r="CX33" s="47">
        <f t="shared" si="30"/>
        <v>11986.33268</v>
      </c>
      <c r="CY33" s="47">
        <v>335</v>
      </c>
      <c r="CZ33" s="48"/>
      <c r="DA33" s="48">
        <f t="shared" si="62"/>
        <v>130000</v>
      </c>
      <c r="DB33" s="48">
        <f t="shared" si="31"/>
        <v>11223.36</v>
      </c>
      <c r="DC33" s="47">
        <f t="shared" si="32"/>
        <v>141223.36</v>
      </c>
      <c r="DD33" s="47">
        <v>4005</v>
      </c>
      <c r="DE33" s="48"/>
      <c r="DF33" s="48">
        <f t="shared" si="63"/>
        <v>6448.65</v>
      </c>
      <c r="DG33" s="48">
        <f t="shared" si="33"/>
        <v>556.7347728000001</v>
      </c>
      <c r="DH33" s="47">
        <f t="shared" si="34"/>
        <v>7005.3847728</v>
      </c>
      <c r="DI33" s="47">
        <v>189</v>
      </c>
      <c r="DJ33" s="48"/>
      <c r="DK33" s="48">
        <f t="shared" si="64"/>
        <v>51554.425</v>
      </c>
      <c r="DL33" s="48">
        <f t="shared" si="35"/>
        <v>4450.8759336</v>
      </c>
      <c r="DM33" s="47">
        <f t="shared" si="36"/>
        <v>56005.3009336</v>
      </c>
      <c r="DN33" s="47">
        <v>1573</v>
      </c>
      <c r="DO33" s="48"/>
      <c r="DP33" s="48">
        <f t="shared" si="65"/>
        <v>28222.35</v>
      </c>
      <c r="DQ33" s="48">
        <f t="shared" si="37"/>
        <v>2436.5353392</v>
      </c>
      <c r="DR33" s="47">
        <f t="shared" si="38"/>
        <v>30658.8853392</v>
      </c>
      <c r="DS33" s="47">
        <v>867</v>
      </c>
      <c r="DT33" s="48"/>
      <c r="DU33" s="48">
        <f t="shared" si="66"/>
        <v>2799.875</v>
      </c>
      <c r="DV33" s="48">
        <f t="shared" si="39"/>
        <v>241.723116</v>
      </c>
      <c r="DW33" s="47">
        <f t="shared" si="40"/>
        <v>3041.598116</v>
      </c>
      <c r="DX33" s="47">
        <v>85</v>
      </c>
      <c r="DY33" s="48"/>
      <c r="DZ33" s="48">
        <f t="shared" si="67"/>
        <v>198909.75</v>
      </c>
      <c r="EA33" s="48">
        <f t="shared" si="41"/>
        <v>17172.582552</v>
      </c>
      <c r="EB33" s="47">
        <f t="shared" si="42"/>
        <v>216082.332552</v>
      </c>
      <c r="EC33" s="47">
        <v>5888</v>
      </c>
      <c r="ED33" s="48"/>
      <c r="EE33" s="48">
        <f t="shared" si="68"/>
        <v>46899.45</v>
      </c>
      <c r="EF33" s="48">
        <f t="shared" si="43"/>
        <v>4048.9954703999997</v>
      </c>
      <c r="EG33" s="47">
        <f t="shared" si="44"/>
        <v>50948.445470399995</v>
      </c>
      <c r="EH33" s="47">
        <v>1397</v>
      </c>
      <c r="EI33" s="47"/>
      <c r="EJ33" s="47">
        <f t="shared" si="69"/>
        <v>7808.775</v>
      </c>
      <c r="EK33" s="47">
        <f t="shared" si="45"/>
        <v>674.1591768</v>
      </c>
      <c r="EL33" s="47">
        <f t="shared" si="46"/>
        <v>8482.9341768</v>
      </c>
      <c r="EM33" s="47">
        <v>230</v>
      </c>
      <c r="EN33" s="48"/>
      <c r="EO33" s="48">
        <f t="shared" si="70"/>
        <v>8405.15</v>
      </c>
      <c r="EP33" s="48">
        <f t="shared" si="47"/>
        <v>725.6463408000001</v>
      </c>
      <c r="EQ33" s="47">
        <f t="shared" si="48"/>
        <v>9130.7963408</v>
      </c>
      <c r="ER33" s="47">
        <v>259</v>
      </c>
      <c r="ES33" s="48"/>
      <c r="ET33" s="48">
        <f t="shared" si="71"/>
        <v>640999.775</v>
      </c>
      <c r="EU33" s="48">
        <f t="shared" si="49"/>
        <v>55339.778728799996</v>
      </c>
      <c r="EV33" s="47">
        <f t="shared" si="50"/>
        <v>696339.5537288</v>
      </c>
      <c r="EW33" s="47">
        <v>19652</v>
      </c>
      <c r="EX33" s="48"/>
      <c r="EY33" s="47"/>
      <c r="EZ33" s="47"/>
      <c r="FA33" s="47">
        <f t="shared" si="51"/>
        <v>0</v>
      </c>
      <c r="FB33" s="47"/>
      <c r="FC33" s="48"/>
    </row>
    <row r="34" spans="1:159" s="35" customFormat="1" ht="12.75">
      <c r="A34" s="34">
        <v>44835</v>
      </c>
      <c r="C34" s="49"/>
      <c r="D34" s="49">
        <v>215584</v>
      </c>
      <c r="E34" s="46">
        <f t="shared" si="0"/>
        <v>215584</v>
      </c>
      <c r="F34" s="46">
        <f t="shared" si="1"/>
        <v>96637</v>
      </c>
      <c r="G34" s="46">
        <f t="shared" si="2"/>
        <v>0</v>
      </c>
      <c r="H34" s="48"/>
      <c r="I34" s="49"/>
      <c r="J34" s="49"/>
      <c r="K34" s="46"/>
      <c r="L34" s="46"/>
      <c r="M34" s="46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7"/>
      <c r="AP34" s="47"/>
      <c r="AQ34" s="47"/>
      <c r="AR34" s="48"/>
      <c r="AS34" s="49"/>
      <c r="AT34" s="49">
        <v>215584</v>
      </c>
      <c r="AU34" s="46">
        <f t="shared" si="7"/>
        <v>215584</v>
      </c>
      <c r="AV34" s="46">
        <f t="shared" si="8"/>
        <v>96637</v>
      </c>
      <c r="AW34" s="48"/>
      <c r="AX34" s="48"/>
      <c r="AY34" s="48">
        <v>120855</v>
      </c>
      <c r="AZ34" s="48">
        <f t="shared" si="9"/>
        <v>120855</v>
      </c>
      <c r="BA34" s="48">
        <v>53259</v>
      </c>
      <c r="BB34" s="48"/>
      <c r="BC34" s="47"/>
      <c r="BD34" s="49">
        <f t="shared" si="10"/>
        <v>94729.20492160002</v>
      </c>
      <c r="BE34" s="47">
        <f t="shared" si="11"/>
        <v>94729.20492160002</v>
      </c>
      <c r="BF34" s="47">
        <f t="shared" si="12"/>
        <v>43378</v>
      </c>
      <c r="BG34" s="48"/>
      <c r="BH34" s="48"/>
      <c r="BI34" s="49">
        <f t="shared" si="13"/>
        <v>1611.4472832</v>
      </c>
      <c r="BJ34" s="48">
        <f t="shared" si="14"/>
        <v>1611.4472832</v>
      </c>
      <c r="BK34" s="48">
        <v>727</v>
      </c>
      <c r="BL34" s="48"/>
      <c r="BM34" s="48"/>
      <c r="BN34" s="48">
        <f t="shared" si="15"/>
        <v>739.0650688000001</v>
      </c>
      <c r="BO34" s="47">
        <f t="shared" si="16"/>
        <v>739.0650688000001</v>
      </c>
      <c r="BP34" s="47">
        <v>343</v>
      </c>
      <c r="BQ34" s="48"/>
      <c r="BR34" s="48"/>
      <c r="BS34" s="48">
        <f t="shared" si="17"/>
        <v>153.0430816</v>
      </c>
      <c r="BT34" s="47">
        <f t="shared" si="18"/>
        <v>153.0430816</v>
      </c>
      <c r="BU34" s="47">
        <v>71</v>
      </c>
      <c r="BV34" s="48"/>
      <c r="BW34" s="48"/>
      <c r="BX34" s="48">
        <f t="shared" si="19"/>
        <v>16361.661446400001</v>
      </c>
      <c r="BY34" s="47">
        <f t="shared" si="20"/>
        <v>16361.661446400001</v>
      </c>
      <c r="BZ34" s="47">
        <v>7431</v>
      </c>
      <c r="CA34" s="48"/>
      <c r="CB34" s="48"/>
      <c r="CC34" s="48">
        <f t="shared" si="21"/>
        <v>89.9847616</v>
      </c>
      <c r="CD34" s="47">
        <f t="shared" si="22"/>
        <v>89.9847616</v>
      </c>
      <c r="CE34" s="47">
        <v>42</v>
      </c>
      <c r="CF34" s="48"/>
      <c r="CG34" s="48"/>
      <c r="CH34" s="48">
        <f t="shared" si="23"/>
        <v>95.0078688</v>
      </c>
      <c r="CI34" s="47">
        <f t="shared" si="24"/>
        <v>95.0078688</v>
      </c>
      <c r="CJ34" s="47">
        <v>44</v>
      </c>
      <c r="CK34" s="48"/>
      <c r="CL34" s="48"/>
      <c r="CM34" s="48">
        <f t="shared" si="25"/>
        <v>26.646182399999997</v>
      </c>
      <c r="CN34" s="47">
        <f t="shared" si="26"/>
        <v>26.646182399999997</v>
      </c>
      <c r="CO34" s="47">
        <v>12</v>
      </c>
      <c r="CP34" s="48"/>
      <c r="CQ34" s="48"/>
      <c r="CR34" s="48">
        <f t="shared" si="27"/>
        <v>491.01411840000003</v>
      </c>
      <c r="CS34" s="47">
        <f t="shared" si="28"/>
        <v>491.01411840000003</v>
      </c>
      <c r="CT34" s="47">
        <v>228</v>
      </c>
      <c r="CU34" s="48"/>
      <c r="CV34" s="48"/>
      <c r="CW34" s="48">
        <f t="shared" si="29"/>
        <v>731.9076800000001</v>
      </c>
      <c r="CX34" s="47">
        <f t="shared" si="30"/>
        <v>731.9076800000001</v>
      </c>
      <c r="CY34" s="47">
        <v>335</v>
      </c>
      <c r="CZ34" s="48"/>
      <c r="DA34" s="48"/>
      <c r="DB34" s="48">
        <f t="shared" si="31"/>
        <v>8623.36</v>
      </c>
      <c r="DC34" s="47">
        <f t="shared" si="32"/>
        <v>8623.36</v>
      </c>
      <c r="DD34" s="47">
        <v>4005</v>
      </c>
      <c r="DE34" s="48"/>
      <c r="DF34" s="48"/>
      <c r="DG34" s="48">
        <f t="shared" si="33"/>
        <v>427.7617728</v>
      </c>
      <c r="DH34" s="47">
        <f t="shared" si="34"/>
        <v>427.7617728</v>
      </c>
      <c r="DI34" s="47">
        <v>189</v>
      </c>
      <c r="DJ34" s="48"/>
      <c r="DK34" s="48"/>
      <c r="DL34" s="48">
        <f t="shared" si="35"/>
        <v>3419.7874336000004</v>
      </c>
      <c r="DM34" s="47">
        <f t="shared" si="36"/>
        <v>3419.7874336000004</v>
      </c>
      <c r="DN34" s="47">
        <v>1573</v>
      </c>
      <c r="DO34" s="48"/>
      <c r="DP34" s="48"/>
      <c r="DQ34" s="48">
        <f t="shared" si="37"/>
        <v>1872.0883392</v>
      </c>
      <c r="DR34" s="47">
        <f t="shared" si="38"/>
        <v>1872.0883392</v>
      </c>
      <c r="DS34" s="47">
        <v>867</v>
      </c>
      <c r="DT34" s="48"/>
      <c r="DU34" s="48"/>
      <c r="DV34" s="48">
        <f t="shared" si="39"/>
        <v>185.725616</v>
      </c>
      <c r="DW34" s="47">
        <f t="shared" si="40"/>
        <v>185.725616</v>
      </c>
      <c r="DX34" s="47">
        <v>85</v>
      </c>
      <c r="DY34" s="48"/>
      <c r="DZ34" s="48"/>
      <c r="EA34" s="48">
        <f t="shared" si="41"/>
        <v>13194.387552</v>
      </c>
      <c r="EB34" s="47">
        <f t="shared" si="42"/>
        <v>13194.387552</v>
      </c>
      <c r="EC34" s="47">
        <v>5888</v>
      </c>
      <c r="ED34" s="48"/>
      <c r="EE34" s="48"/>
      <c r="EF34" s="48">
        <f t="shared" si="43"/>
        <v>3111.0064704</v>
      </c>
      <c r="EG34" s="47">
        <f t="shared" si="44"/>
        <v>3111.0064704</v>
      </c>
      <c r="EH34" s="47">
        <v>1397</v>
      </c>
      <c r="EI34" s="47"/>
      <c r="EJ34" s="47"/>
      <c r="EK34" s="47">
        <f t="shared" si="45"/>
        <v>517.9836768</v>
      </c>
      <c r="EL34" s="47">
        <f t="shared" si="46"/>
        <v>517.9836768</v>
      </c>
      <c r="EM34" s="47">
        <v>230</v>
      </c>
      <c r="EN34" s="48"/>
      <c r="EO34" s="48"/>
      <c r="EP34" s="48">
        <f t="shared" si="47"/>
        <v>557.5433408</v>
      </c>
      <c r="EQ34" s="47">
        <f t="shared" si="48"/>
        <v>557.5433408</v>
      </c>
      <c r="ER34" s="47">
        <v>259</v>
      </c>
      <c r="ES34" s="48"/>
      <c r="ET34" s="48"/>
      <c r="EU34" s="48">
        <f t="shared" si="49"/>
        <v>42519.7832288</v>
      </c>
      <c r="EV34" s="47">
        <f t="shared" si="50"/>
        <v>42519.7832288</v>
      </c>
      <c r="EW34" s="47">
        <v>19652</v>
      </c>
      <c r="EX34" s="48"/>
      <c r="EY34" s="47"/>
      <c r="EZ34" s="47"/>
      <c r="FA34" s="47">
        <f t="shared" si="51"/>
        <v>0</v>
      </c>
      <c r="FB34" s="47"/>
      <c r="FC34" s="48"/>
    </row>
    <row r="35" spans="1:159" s="35" customFormat="1" ht="12.75">
      <c r="A35" s="34">
        <v>45017</v>
      </c>
      <c r="C35" s="49">
        <v>3380000</v>
      </c>
      <c r="D35" s="49">
        <v>215584</v>
      </c>
      <c r="E35" s="46">
        <f t="shared" si="0"/>
        <v>3595584</v>
      </c>
      <c r="F35" s="46">
        <f t="shared" si="1"/>
        <v>96637</v>
      </c>
      <c r="G35" s="46">
        <f t="shared" si="2"/>
        <v>0</v>
      </c>
      <c r="H35" s="48"/>
      <c r="I35" s="49"/>
      <c r="J35" s="49"/>
      <c r="K35" s="46"/>
      <c r="L35" s="46"/>
      <c r="M35" s="46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7"/>
      <c r="AP35" s="47"/>
      <c r="AQ35" s="47"/>
      <c r="AR35" s="48"/>
      <c r="AS35" s="49">
        <v>3380000</v>
      </c>
      <c r="AT35" s="49">
        <v>215584</v>
      </c>
      <c r="AU35" s="46">
        <f t="shared" si="7"/>
        <v>3595584</v>
      </c>
      <c r="AV35" s="46">
        <f t="shared" si="8"/>
        <v>96637</v>
      </c>
      <c r="AW35" s="48"/>
      <c r="AX35" s="48">
        <v>1894803</v>
      </c>
      <c r="AY35" s="48">
        <v>120855</v>
      </c>
      <c r="AZ35" s="48">
        <f t="shared" si="9"/>
        <v>2015658</v>
      </c>
      <c r="BA35" s="48">
        <v>53259</v>
      </c>
      <c r="BB35" s="48"/>
      <c r="BC35" s="47">
        <f t="shared" si="52"/>
        <v>1485197.012</v>
      </c>
      <c r="BD35" s="49">
        <f t="shared" si="10"/>
        <v>94729.20492160002</v>
      </c>
      <c r="BE35" s="47">
        <f t="shared" si="11"/>
        <v>1579926.2169216</v>
      </c>
      <c r="BF35" s="47">
        <f t="shared" si="12"/>
        <v>43378</v>
      </c>
      <c r="BG35" s="48"/>
      <c r="BH35" s="48">
        <f t="shared" si="53"/>
        <v>25264.824</v>
      </c>
      <c r="BI35" s="49">
        <f t="shared" si="13"/>
        <v>1611.4472832</v>
      </c>
      <c r="BJ35" s="48">
        <f t="shared" si="14"/>
        <v>26876.2712832</v>
      </c>
      <c r="BK35" s="48">
        <v>727</v>
      </c>
      <c r="BL35" s="48"/>
      <c r="BM35" s="48">
        <f t="shared" si="54"/>
        <v>11587.316</v>
      </c>
      <c r="BN35" s="48">
        <f t="shared" si="15"/>
        <v>739.0650688000001</v>
      </c>
      <c r="BO35" s="47">
        <f t="shared" si="16"/>
        <v>12326.381068800001</v>
      </c>
      <c r="BP35" s="47">
        <v>343</v>
      </c>
      <c r="BQ35" s="48"/>
      <c r="BR35" s="48">
        <f t="shared" si="55"/>
        <v>2399.462</v>
      </c>
      <c r="BS35" s="48">
        <f t="shared" si="17"/>
        <v>153.0430816</v>
      </c>
      <c r="BT35" s="47">
        <f t="shared" si="18"/>
        <v>2552.5050816</v>
      </c>
      <c r="BU35" s="47">
        <v>71</v>
      </c>
      <c r="BV35" s="48"/>
      <c r="BW35" s="48">
        <f t="shared" si="56"/>
        <v>256523.74800000002</v>
      </c>
      <c r="BX35" s="48">
        <f t="shared" si="19"/>
        <v>16361.661446400001</v>
      </c>
      <c r="BY35" s="47">
        <f t="shared" si="20"/>
        <v>272885.4094464</v>
      </c>
      <c r="BZ35" s="47">
        <v>7431</v>
      </c>
      <c r="CA35" s="48"/>
      <c r="CB35" s="48">
        <f t="shared" si="57"/>
        <v>1410.8120000000001</v>
      </c>
      <c r="CC35" s="48">
        <f t="shared" si="21"/>
        <v>89.9847616</v>
      </c>
      <c r="CD35" s="47">
        <f t="shared" si="22"/>
        <v>1500.7967616</v>
      </c>
      <c r="CE35" s="47">
        <v>42</v>
      </c>
      <c r="CF35" s="48"/>
      <c r="CG35" s="48">
        <f t="shared" si="58"/>
        <v>1489.566</v>
      </c>
      <c r="CH35" s="48">
        <f t="shared" si="23"/>
        <v>95.0078688</v>
      </c>
      <c r="CI35" s="47">
        <f t="shared" si="24"/>
        <v>1584.5738688000001</v>
      </c>
      <c r="CJ35" s="47">
        <v>44</v>
      </c>
      <c r="CK35" s="48"/>
      <c r="CL35" s="48">
        <f t="shared" si="59"/>
        <v>417.768</v>
      </c>
      <c r="CM35" s="48">
        <f t="shared" si="25"/>
        <v>26.646182399999997</v>
      </c>
      <c r="CN35" s="47">
        <f t="shared" si="26"/>
        <v>444.41418239999996</v>
      </c>
      <c r="CO35" s="47">
        <v>12</v>
      </c>
      <c r="CP35" s="48"/>
      <c r="CQ35" s="48">
        <f t="shared" si="60"/>
        <v>7698.288</v>
      </c>
      <c r="CR35" s="48">
        <f t="shared" si="27"/>
        <v>491.01411840000003</v>
      </c>
      <c r="CS35" s="47">
        <f t="shared" si="28"/>
        <v>8189.3021184</v>
      </c>
      <c r="CT35" s="47">
        <v>228</v>
      </c>
      <c r="CU35" s="48"/>
      <c r="CV35" s="48">
        <f t="shared" si="61"/>
        <v>11475.1</v>
      </c>
      <c r="CW35" s="48">
        <f t="shared" si="29"/>
        <v>731.9076800000001</v>
      </c>
      <c r="CX35" s="47">
        <f t="shared" si="30"/>
        <v>12207.00768</v>
      </c>
      <c r="CY35" s="47">
        <v>335</v>
      </c>
      <c r="CZ35" s="48"/>
      <c r="DA35" s="48">
        <f t="shared" si="62"/>
        <v>135200</v>
      </c>
      <c r="DB35" s="48">
        <f t="shared" si="31"/>
        <v>8623.36</v>
      </c>
      <c r="DC35" s="47">
        <f t="shared" si="32"/>
        <v>143823.36</v>
      </c>
      <c r="DD35" s="47">
        <v>4005</v>
      </c>
      <c r="DE35" s="48"/>
      <c r="DF35" s="48">
        <f t="shared" si="63"/>
        <v>6706.596000000001</v>
      </c>
      <c r="DG35" s="48">
        <f t="shared" si="33"/>
        <v>427.7617728</v>
      </c>
      <c r="DH35" s="47">
        <f t="shared" si="34"/>
        <v>7134.357772800002</v>
      </c>
      <c r="DI35" s="47">
        <v>189</v>
      </c>
      <c r="DJ35" s="48"/>
      <c r="DK35" s="48">
        <f t="shared" si="64"/>
        <v>53616.602</v>
      </c>
      <c r="DL35" s="48">
        <f t="shared" si="35"/>
        <v>3419.7874336000004</v>
      </c>
      <c r="DM35" s="47">
        <f t="shared" si="36"/>
        <v>57036.3894336</v>
      </c>
      <c r="DN35" s="47">
        <v>1573</v>
      </c>
      <c r="DO35" s="48"/>
      <c r="DP35" s="48">
        <f t="shared" si="65"/>
        <v>29351.244</v>
      </c>
      <c r="DQ35" s="48">
        <f t="shared" si="37"/>
        <v>1872.0883392</v>
      </c>
      <c r="DR35" s="47">
        <f t="shared" si="38"/>
        <v>31223.3323392</v>
      </c>
      <c r="DS35" s="47">
        <v>867</v>
      </c>
      <c r="DT35" s="48"/>
      <c r="DU35" s="48">
        <f t="shared" si="66"/>
        <v>2911.87</v>
      </c>
      <c r="DV35" s="48">
        <f t="shared" si="39"/>
        <v>185.725616</v>
      </c>
      <c r="DW35" s="47">
        <f t="shared" si="40"/>
        <v>3097.595616</v>
      </c>
      <c r="DX35" s="47">
        <v>85</v>
      </c>
      <c r="DY35" s="48"/>
      <c r="DZ35" s="48">
        <f t="shared" si="67"/>
        <v>206866.14</v>
      </c>
      <c r="EA35" s="48">
        <f t="shared" si="41"/>
        <v>13194.387552</v>
      </c>
      <c r="EB35" s="47">
        <f t="shared" si="42"/>
        <v>220060.527552</v>
      </c>
      <c r="EC35" s="47">
        <v>5888</v>
      </c>
      <c r="ED35" s="48"/>
      <c r="EE35" s="48">
        <f t="shared" si="68"/>
        <v>48775.428</v>
      </c>
      <c r="EF35" s="48">
        <f t="shared" si="43"/>
        <v>3111.0064704</v>
      </c>
      <c r="EG35" s="47">
        <f t="shared" si="44"/>
        <v>51886.4344704</v>
      </c>
      <c r="EH35" s="47">
        <v>1397</v>
      </c>
      <c r="EI35" s="47"/>
      <c r="EJ35" s="47">
        <f t="shared" si="69"/>
        <v>8121.126000000001</v>
      </c>
      <c r="EK35" s="47">
        <f t="shared" si="45"/>
        <v>517.9836768</v>
      </c>
      <c r="EL35" s="47">
        <f t="shared" si="46"/>
        <v>8639.1096768</v>
      </c>
      <c r="EM35" s="47">
        <v>230</v>
      </c>
      <c r="EN35" s="48"/>
      <c r="EO35" s="48">
        <f t="shared" si="70"/>
        <v>8741.356000000002</v>
      </c>
      <c r="EP35" s="48">
        <f t="shared" si="47"/>
        <v>557.5433408</v>
      </c>
      <c r="EQ35" s="47">
        <f t="shared" si="48"/>
        <v>9298.899340800002</v>
      </c>
      <c r="ER35" s="47">
        <v>259</v>
      </c>
      <c r="ES35" s="48"/>
      <c r="ET35" s="48">
        <f t="shared" si="71"/>
        <v>666639.7660000001</v>
      </c>
      <c r="EU35" s="48">
        <f t="shared" si="49"/>
        <v>42519.7832288</v>
      </c>
      <c r="EV35" s="47">
        <f t="shared" si="50"/>
        <v>709159.5492288001</v>
      </c>
      <c r="EW35" s="47">
        <v>19652</v>
      </c>
      <c r="EX35" s="48"/>
      <c r="EY35" s="47"/>
      <c r="EZ35" s="47"/>
      <c r="FA35" s="47">
        <f t="shared" si="51"/>
        <v>0</v>
      </c>
      <c r="FB35" s="47"/>
      <c r="FC35" s="48"/>
    </row>
    <row r="36" spans="1:159" s="35" customFormat="1" ht="12.75">
      <c r="A36" s="34">
        <v>45200</v>
      </c>
      <c r="C36" s="49"/>
      <c r="D36" s="49">
        <v>147984</v>
      </c>
      <c r="E36" s="46">
        <f t="shared" si="0"/>
        <v>147984</v>
      </c>
      <c r="F36" s="46">
        <f t="shared" si="1"/>
        <v>96637</v>
      </c>
      <c r="G36" s="46">
        <f t="shared" si="2"/>
        <v>0</v>
      </c>
      <c r="H36" s="48"/>
      <c r="I36" s="49"/>
      <c r="J36" s="49"/>
      <c r="K36" s="46"/>
      <c r="L36" s="46"/>
      <c r="M36" s="46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7"/>
      <c r="AP36" s="47"/>
      <c r="AQ36" s="47"/>
      <c r="AR36" s="48"/>
      <c r="AS36" s="49"/>
      <c r="AT36" s="49">
        <v>147984</v>
      </c>
      <c r="AU36" s="46">
        <f t="shared" si="7"/>
        <v>147984</v>
      </c>
      <c r="AV36" s="46">
        <f t="shared" si="8"/>
        <v>96637</v>
      </c>
      <c r="AW36" s="48"/>
      <c r="AX36" s="48"/>
      <c r="AY36" s="48">
        <v>82959</v>
      </c>
      <c r="AZ36" s="48">
        <f t="shared" si="9"/>
        <v>82959</v>
      </c>
      <c r="BA36" s="48">
        <v>53259</v>
      </c>
      <c r="BB36" s="48"/>
      <c r="BC36" s="47"/>
      <c r="BD36" s="49">
        <f t="shared" si="10"/>
        <v>65025.264681600005</v>
      </c>
      <c r="BE36" s="47">
        <f t="shared" si="11"/>
        <v>65025.264681600005</v>
      </c>
      <c r="BF36" s="47">
        <f t="shared" si="12"/>
        <v>43378</v>
      </c>
      <c r="BG36" s="48"/>
      <c r="BH36" s="48"/>
      <c r="BI36" s="49">
        <f t="shared" si="13"/>
        <v>1106.1508032000002</v>
      </c>
      <c r="BJ36" s="48">
        <f t="shared" si="14"/>
        <v>1106.1508032000002</v>
      </c>
      <c r="BK36" s="48">
        <v>727</v>
      </c>
      <c r="BL36" s="48"/>
      <c r="BM36" s="48"/>
      <c r="BN36" s="48">
        <f t="shared" si="15"/>
        <v>507.31874880000004</v>
      </c>
      <c r="BO36" s="47">
        <f t="shared" si="16"/>
        <v>507.31874880000004</v>
      </c>
      <c r="BP36" s="47">
        <v>343</v>
      </c>
      <c r="BQ36" s="48"/>
      <c r="BR36" s="48"/>
      <c r="BS36" s="48">
        <f t="shared" si="17"/>
        <v>105.0538416</v>
      </c>
      <c r="BT36" s="47">
        <f t="shared" si="18"/>
        <v>105.0538416</v>
      </c>
      <c r="BU36" s="47">
        <v>71</v>
      </c>
      <c r="BV36" s="48"/>
      <c r="BW36" s="48"/>
      <c r="BX36" s="48">
        <f t="shared" si="19"/>
        <v>11231.1864864</v>
      </c>
      <c r="BY36" s="47">
        <f t="shared" si="20"/>
        <v>11231.1864864</v>
      </c>
      <c r="BZ36" s="47">
        <v>7431</v>
      </c>
      <c r="CA36" s="48"/>
      <c r="CB36" s="48"/>
      <c r="CC36" s="48">
        <f t="shared" si="21"/>
        <v>61.76852159999999</v>
      </c>
      <c r="CD36" s="47">
        <f t="shared" si="22"/>
        <v>61.76852159999999</v>
      </c>
      <c r="CE36" s="47">
        <v>42</v>
      </c>
      <c r="CF36" s="48"/>
      <c r="CG36" s="48"/>
      <c r="CH36" s="48">
        <f t="shared" si="23"/>
        <v>65.2165488</v>
      </c>
      <c r="CI36" s="47">
        <f t="shared" si="24"/>
        <v>65.2165488</v>
      </c>
      <c r="CJ36" s="47">
        <v>44</v>
      </c>
      <c r="CK36" s="48"/>
      <c r="CL36" s="48"/>
      <c r="CM36" s="48">
        <f t="shared" si="25"/>
        <v>18.2908224</v>
      </c>
      <c r="CN36" s="47">
        <f t="shared" si="26"/>
        <v>18.2908224</v>
      </c>
      <c r="CO36" s="47">
        <v>12</v>
      </c>
      <c r="CP36" s="48"/>
      <c r="CQ36" s="48"/>
      <c r="CR36" s="48">
        <f t="shared" si="27"/>
        <v>337.0483584</v>
      </c>
      <c r="CS36" s="47">
        <f t="shared" si="28"/>
        <v>337.0483584</v>
      </c>
      <c r="CT36" s="47">
        <v>228</v>
      </c>
      <c r="CU36" s="48"/>
      <c r="CV36" s="48"/>
      <c r="CW36" s="48">
        <f t="shared" si="29"/>
        <v>502.4056800000001</v>
      </c>
      <c r="CX36" s="47">
        <f t="shared" si="30"/>
        <v>502.4056800000001</v>
      </c>
      <c r="CY36" s="47">
        <v>335</v>
      </c>
      <c r="CZ36" s="48"/>
      <c r="DA36" s="48"/>
      <c r="DB36" s="48">
        <f t="shared" si="31"/>
        <v>5919.36</v>
      </c>
      <c r="DC36" s="47">
        <f t="shared" si="32"/>
        <v>5919.36</v>
      </c>
      <c r="DD36" s="47">
        <v>4005</v>
      </c>
      <c r="DE36" s="48"/>
      <c r="DF36" s="48"/>
      <c r="DG36" s="48">
        <f t="shared" si="33"/>
        <v>293.6298528</v>
      </c>
      <c r="DH36" s="47">
        <f t="shared" si="34"/>
        <v>293.6298528</v>
      </c>
      <c r="DI36" s="47">
        <v>189</v>
      </c>
      <c r="DJ36" s="48"/>
      <c r="DK36" s="48"/>
      <c r="DL36" s="48">
        <f t="shared" si="35"/>
        <v>2347.4553935999998</v>
      </c>
      <c r="DM36" s="47">
        <f t="shared" si="36"/>
        <v>2347.4553935999998</v>
      </c>
      <c r="DN36" s="47">
        <v>1573</v>
      </c>
      <c r="DO36" s="48"/>
      <c r="DP36" s="48"/>
      <c r="DQ36" s="48">
        <f t="shared" si="37"/>
        <v>1285.0634592000001</v>
      </c>
      <c r="DR36" s="47">
        <f t="shared" si="38"/>
        <v>1285.0634592000001</v>
      </c>
      <c r="DS36" s="47">
        <v>867</v>
      </c>
      <c r="DT36" s="48"/>
      <c r="DU36" s="48"/>
      <c r="DV36" s="48">
        <f t="shared" si="39"/>
        <v>127.48821600000001</v>
      </c>
      <c r="DW36" s="47">
        <f t="shared" si="40"/>
        <v>127.48821600000001</v>
      </c>
      <c r="DX36" s="47">
        <v>85</v>
      </c>
      <c r="DY36" s="48"/>
      <c r="DZ36" s="48"/>
      <c r="EA36" s="48">
        <f t="shared" si="41"/>
        <v>9057.064752</v>
      </c>
      <c r="EB36" s="47">
        <f t="shared" si="42"/>
        <v>9057.064752</v>
      </c>
      <c r="EC36" s="47">
        <v>5888</v>
      </c>
      <c r="ED36" s="48"/>
      <c r="EE36" s="48"/>
      <c r="EF36" s="48">
        <f t="shared" si="43"/>
        <v>2135.4979104</v>
      </c>
      <c r="EG36" s="47">
        <f t="shared" si="44"/>
        <v>2135.4979104</v>
      </c>
      <c r="EH36" s="47">
        <v>1397</v>
      </c>
      <c r="EI36" s="47"/>
      <c r="EJ36" s="47"/>
      <c r="EK36" s="47">
        <f t="shared" si="45"/>
        <v>355.56115680000005</v>
      </c>
      <c r="EL36" s="47">
        <f t="shared" si="46"/>
        <v>355.56115680000005</v>
      </c>
      <c r="EM36" s="47">
        <v>230</v>
      </c>
      <c r="EN36" s="48"/>
      <c r="EO36" s="48"/>
      <c r="EP36" s="48">
        <f t="shared" si="47"/>
        <v>382.71622080000003</v>
      </c>
      <c r="EQ36" s="47">
        <f t="shared" si="48"/>
        <v>382.71622080000003</v>
      </c>
      <c r="ER36" s="47">
        <v>259</v>
      </c>
      <c r="ES36" s="48"/>
      <c r="ET36" s="48"/>
      <c r="EU36" s="48">
        <f t="shared" si="49"/>
        <v>29186.987908799998</v>
      </c>
      <c r="EV36" s="47">
        <f t="shared" si="50"/>
        <v>29186.987908799998</v>
      </c>
      <c r="EW36" s="47">
        <v>19652</v>
      </c>
      <c r="EX36" s="48"/>
      <c r="EY36" s="47"/>
      <c r="EZ36" s="47"/>
      <c r="FA36" s="47">
        <f t="shared" si="51"/>
        <v>0</v>
      </c>
      <c r="FB36" s="47"/>
      <c r="FC36" s="48"/>
    </row>
    <row r="37" spans="1:159" s="35" customFormat="1" ht="12.75">
      <c r="A37" s="34">
        <v>45383</v>
      </c>
      <c r="C37" s="49">
        <v>3515000</v>
      </c>
      <c r="D37" s="49">
        <v>147984</v>
      </c>
      <c r="E37" s="46">
        <f t="shared" si="0"/>
        <v>3662984</v>
      </c>
      <c r="F37" s="46">
        <f t="shared" si="1"/>
        <v>96637</v>
      </c>
      <c r="G37" s="46">
        <f t="shared" si="2"/>
        <v>0</v>
      </c>
      <c r="H37" s="48"/>
      <c r="I37" s="49"/>
      <c r="J37" s="49"/>
      <c r="K37" s="46"/>
      <c r="L37" s="46"/>
      <c r="M37" s="46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7"/>
      <c r="AP37" s="47"/>
      <c r="AQ37" s="47"/>
      <c r="AR37" s="48"/>
      <c r="AS37" s="49">
        <v>3515000</v>
      </c>
      <c r="AT37" s="49">
        <v>147984</v>
      </c>
      <c r="AU37" s="46">
        <f t="shared" si="7"/>
        <v>3662984</v>
      </c>
      <c r="AV37" s="46">
        <f t="shared" si="8"/>
        <v>96637</v>
      </c>
      <c r="AW37" s="48"/>
      <c r="AX37" s="48">
        <v>1970483</v>
      </c>
      <c r="AY37" s="48">
        <v>82959</v>
      </c>
      <c r="AZ37" s="48">
        <f t="shared" si="9"/>
        <v>2053442</v>
      </c>
      <c r="BA37" s="48">
        <v>53259</v>
      </c>
      <c r="BB37" s="48"/>
      <c r="BC37" s="47">
        <f t="shared" si="52"/>
        <v>1544517.011</v>
      </c>
      <c r="BD37" s="49">
        <f t="shared" si="10"/>
        <v>65025.264681600005</v>
      </c>
      <c r="BE37" s="47">
        <f t="shared" si="11"/>
        <v>1609542.2756816</v>
      </c>
      <c r="BF37" s="47">
        <f t="shared" si="12"/>
        <v>43378</v>
      </c>
      <c r="BG37" s="48"/>
      <c r="BH37" s="48">
        <f t="shared" si="53"/>
        <v>26273.922000000002</v>
      </c>
      <c r="BI37" s="49">
        <f t="shared" si="13"/>
        <v>1106.1508032000002</v>
      </c>
      <c r="BJ37" s="48">
        <f t="shared" si="14"/>
        <v>27380.072803200004</v>
      </c>
      <c r="BK37" s="48">
        <v>727</v>
      </c>
      <c r="BL37" s="48"/>
      <c r="BM37" s="48">
        <f t="shared" si="54"/>
        <v>12050.123</v>
      </c>
      <c r="BN37" s="48">
        <f t="shared" si="15"/>
        <v>507.31874880000004</v>
      </c>
      <c r="BO37" s="47">
        <f t="shared" si="16"/>
        <v>12557.4417488</v>
      </c>
      <c r="BP37" s="47">
        <v>343</v>
      </c>
      <c r="BQ37" s="48"/>
      <c r="BR37" s="48">
        <f t="shared" si="55"/>
        <v>2495.2985</v>
      </c>
      <c r="BS37" s="48">
        <f t="shared" si="17"/>
        <v>105.0538416</v>
      </c>
      <c r="BT37" s="47">
        <f t="shared" si="18"/>
        <v>2600.3523416</v>
      </c>
      <c r="BU37" s="47">
        <v>71</v>
      </c>
      <c r="BV37" s="48"/>
      <c r="BW37" s="48">
        <f t="shared" si="56"/>
        <v>266769.519</v>
      </c>
      <c r="BX37" s="48">
        <f t="shared" si="19"/>
        <v>11231.1864864</v>
      </c>
      <c r="BY37" s="47">
        <f t="shared" si="20"/>
        <v>278000.7054864</v>
      </c>
      <c r="BZ37" s="47">
        <v>7431</v>
      </c>
      <c r="CA37" s="48"/>
      <c r="CB37" s="48">
        <f t="shared" si="57"/>
        <v>1467.161</v>
      </c>
      <c r="CC37" s="48">
        <f t="shared" si="21"/>
        <v>61.76852159999999</v>
      </c>
      <c r="CD37" s="47">
        <f t="shared" si="22"/>
        <v>1528.9295216</v>
      </c>
      <c r="CE37" s="47">
        <v>42</v>
      </c>
      <c r="CF37" s="48"/>
      <c r="CG37" s="48">
        <f t="shared" si="58"/>
        <v>1549.0604999999998</v>
      </c>
      <c r="CH37" s="48">
        <f t="shared" si="23"/>
        <v>65.2165488</v>
      </c>
      <c r="CI37" s="47">
        <f t="shared" si="24"/>
        <v>1614.2770487999999</v>
      </c>
      <c r="CJ37" s="47">
        <v>44</v>
      </c>
      <c r="CK37" s="48"/>
      <c r="CL37" s="48">
        <f t="shared" si="59"/>
        <v>434.454</v>
      </c>
      <c r="CM37" s="48">
        <f t="shared" si="25"/>
        <v>18.2908224</v>
      </c>
      <c r="CN37" s="47">
        <f t="shared" si="26"/>
        <v>452.74482240000003</v>
      </c>
      <c r="CO37" s="47">
        <v>12</v>
      </c>
      <c r="CP37" s="48"/>
      <c r="CQ37" s="48">
        <f t="shared" si="60"/>
        <v>8005.764</v>
      </c>
      <c r="CR37" s="48">
        <f t="shared" si="27"/>
        <v>337.0483584</v>
      </c>
      <c r="CS37" s="47">
        <f t="shared" si="28"/>
        <v>8342.8123584</v>
      </c>
      <c r="CT37" s="47">
        <v>228</v>
      </c>
      <c r="CU37" s="48"/>
      <c r="CV37" s="48">
        <f t="shared" si="61"/>
        <v>11933.425</v>
      </c>
      <c r="CW37" s="48">
        <f t="shared" si="29"/>
        <v>502.4056800000001</v>
      </c>
      <c r="CX37" s="47">
        <f t="shared" si="30"/>
        <v>12435.83068</v>
      </c>
      <c r="CY37" s="47">
        <v>335</v>
      </c>
      <c r="CZ37" s="48"/>
      <c r="DA37" s="48">
        <f t="shared" si="62"/>
        <v>140600</v>
      </c>
      <c r="DB37" s="48">
        <f t="shared" si="31"/>
        <v>5919.36</v>
      </c>
      <c r="DC37" s="47">
        <f t="shared" si="32"/>
        <v>146519.36</v>
      </c>
      <c r="DD37" s="47">
        <v>4005</v>
      </c>
      <c r="DE37" s="48"/>
      <c r="DF37" s="48">
        <f t="shared" si="63"/>
        <v>6974.463000000001</v>
      </c>
      <c r="DG37" s="48">
        <f t="shared" si="33"/>
        <v>293.6298528</v>
      </c>
      <c r="DH37" s="47">
        <f t="shared" si="34"/>
        <v>7268.0928528</v>
      </c>
      <c r="DI37" s="47">
        <v>189</v>
      </c>
      <c r="DJ37" s="48"/>
      <c r="DK37" s="48">
        <f t="shared" si="64"/>
        <v>55758.093499999995</v>
      </c>
      <c r="DL37" s="48">
        <f t="shared" si="35"/>
        <v>2347.4553935999998</v>
      </c>
      <c r="DM37" s="47">
        <f t="shared" si="36"/>
        <v>58105.5488936</v>
      </c>
      <c r="DN37" s="47">
        <v>1573</v>
      </c>
      <c r="DO37" s="48"/>
      <c r="DP37" s="48">
        <f t="shared" si="65"/>
        <v>30523.557</v>
      </c>
      <c r="DQ37" s="48">
        <f t="shared" si="37"/>
        <v>1285.0634592000001</v>
      </c>
      <c r="DR37" s="47">
        <f t="shared" si="38"/>
        <v>31808.6204592</v>
      </c>
      <c r="DS37" s="47">
        <v>867</v>
      </c>
      <c r="DT37" s="48"/>
      <c r="DU37" s="48">
        <f t="shared" si="66"/>
        <v>3028.1725</v>
      </c>
      <c r="DV37" s="48">
        <f t="shared" si="39"/>
        <v>127.48821600000001</v>
      </c>
      <c r="DW37" s="47">
        <f t="shared" si="40"/>
        <v>3155.6607160000003</v>
      </c>
      <c r="DX37" s="47">
        <v>85</v>
      </c>
      <c r="DY37" s="48"/>
      <c r="DZ37" s="48">
        <f t="shared" si="67"/>
        <v>215128.545</v>
      </c>
      <c r="EA37" s="48">
        <f t="shared" si="41"/>
        <v>9057.064752</v>
      </c>
      <c r="EB37" s="47">
        <f t="shared" si="42"/>
        <v>224185.60975200002</v>
      </c>
      <c r="EC37" s="47">
        <v>5888</v>
      </c>
      <c r="ED37" s="48"/>
      <c r="EE37" s="48">
        <f t="shared" si="68"/>
        <v>50723.559</v>
      </c>
      <c r="EF37" s="48">
        <f t="shared" si="43"/>
        <v>2135.4979104</v>
      </c>
      <c r="EG37" s="47">
        <f t="shared" si="44"/>
        <v>52859.0569104</v>
      </c>
      <c r="EH37" s="47">
        <v>1397</v>
      </c>
      <c r="EI37" s="47"/>
      <c r="EJ37" s="47">
        <f t="shared" si="69"/>
        <v>8445.4905</v>
      </c>
      <c r="EK37" s="47">
        <f t="shared" si="45"/>
        <v>355.56115680000005</v>
      </c>
      <c r="EL37" s="47">
        <f t="shared" si="46"/>
        <v>8801.0516568</v>
      </c>
      <c r="EM37" s="47">
        <v>230</v>
      </c>
      <c r="EN37" s="48"/>
      <c r="EO37" s="48">
        <f t="shared" si="70"/>
        <v>9090.493</v>
      </c>
      <c r="EP37" s="48">
        <f t="shared" si="47"/>
        <v>382.71622080000003</v>
      </c>
      <c r="EQ37" s="47">
        <f t="shared" si="48"/>
        <v>9473.209220800001</v>
      </c>
      <c r="ER37" s="47">
        <v>259</v>
      </c>
      <c r="ES37" s="48"/>
      <c r="ET37" s="48">
        <f t="shared" si="71"/>
        <v>693265.9105</v>
      </c>
      <c r="EU37" s="48">
        <f t="shared" si="49"/>
        <v>29186.987908799998</v>
      </c>
      <c r="EV37" s="47">
        <f t="shared" si="50"/>
        <v>722452.8984088</v>
      </c>
      <c r="EW37" s="47">
        <v>19652</v>
      </c>
      <c r="EX37" s="48"/>
      <c r="EY37" s="47"/>
      <c r="EZ37" s="47"/>
      <c r="FA37" s="47">
        <f t="shared" si="51"/>
        <v>0</v>
      </c>
      <c r="FB37" s="47"/>
      <c r="FC37" s="48"/>
    </row>
    <row r="38" spans="1:159" ht="12.75">
      <c r="A38" s="2">
        <v>45566</v>
      </c>
      <c r="C38" s="49"/>
      <c r="D38" s="49">
        <v>75488</v>
      </c>
      <c r="E38" s="46">
        <f t="shared" si="0"/>
        <v>75488</v>
      </c>
      <c r="F38" s="46">
        <f t="shared" si="1"/>
        <v>96637</v>
      </c>
      <c r="G38" s="46">
        <f t="shared" si="2"/>
        <v>0</v>
      </c>
      <c r="H38" s="47"/>
      <c r="I38" s="49"/>
      <c r="J38" s="49"/>
      <c r="K38" s="46"/>
      <c r="L38" s="46"/>
      <c r="M38" s="46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9"/>
      <c r="AT38" s="49">
        <v>75488</v>
      </c>
      <c r="AU38" s="46">
        <f t="shared" si="7"/>
        <v>75488</v>
      </c>
      <c r="AV38" s="46">
        <f t="shared" si="8"/>
        <v>96637</v>
      </c>
      <c r="AW38" s="47"/>
      <c r="AX38" s="47"/>
      <c r="AY38" s="48">
        <v>42318</v>
      </c>
      <c r="AZ38" s="48">
        <f t="shared" si="9"/>
        <v>42318</v>
      </c>
      <c r="BA38" s="48">
        <v>53259</v>
      </c>
      <c r="BB38" s="47"/>
      <c r="BC38" s="47"/>
      <c r="BD38" s="49">
        <f t="shared" si="10"/>
        <v>33169.9858112</v>
      </c>
      <c r="BE38" s="47">
        <f t="shared" si="11"/>
        <v>33169.9858112</v>
      </c>
      <c r="BF38" s="47">
        <f t="shared" si="12"/>
        <v>43378</v>
      </c>
      <c r="BG38" s="47"/>
      <c r="BH38" s="48"/>
      <c r="BI38" s="49">
        <f t="shared" si="13"/>
        <v>564.2577024000001</v>
      </c>
      <c r="BJ38" s="48">
        <f t="shared" si="14"/>
        <v>564.2577024000001</v>
      </c>
      <c r="BK38" s="48">
        <v>727</v>
      </c>
      <c r="BL38" s="47"/>
      <c r="BM38" s="48"/>
      <c r="BN38" s="48">
        <f t="shared" si="15"/>
        <v>258.7879616</v>
      </c>
      <c r="BO38" s="47">
        <f t="shared" si="16"/>
        <v>258.7879616</v>
      </c>
      <c r="BP38" s="47">
        <v>343</v>
      </c>
      <c r="BQ38" s="47"/>
      <c r="BR38" s="48"/>
      <c r="BS38" s="48">
        <f t="shared" si="17"/>
        <v>53.5889312</v>
      </c>
      <c r="BT38" s="47">
        <f t="shared" si="18"/>
        <v>53.5889312</v>
      </c>
      <c r="BU38" s="47">
        <v>71</v>
      </c>
      <c r="BV38" s="47"/>
      <c r="BW38" s="48"/>
      <c r="BX38" s="48">
        <f t="shared" si="19"/>
        <v>5729.1315648</v>
      </c>
      <c r="BY38" s="47">
        <f t="shared" si="20"/>
        <v>5729.1315648</v>
      </c>
      <c r="BZ38" s="47">
        <v>7431</v>
      </c>
      <c r="CA38" s="47"/>
      <c r="CB38" s="48"/>
      <c r="CC38" s="48">
        <f t="shared" si="21"/>
        <v>31.508691199999998</v>
      </c>
      <c r="CD38" s="47">
        <f t="shared" si="22"/>
        <v>31.508691199999998</v>
      </c>
      <c r="CE38" s="47">
        <v>42</v>
      </c>
      <c r="CF38" s="47"/>
      <c r="CG38" s="48"/>
      <c r="CH38" s="48">
        <f t="shared" si="23"/>
        <v>33.2675616</v>
      </c>
      <c r="CI38" s="47">
        <f t="shared" si="24"/>
        <v>33.2675616</v>
      </c>
      <c r="CJ38" s="47">
        <v>44</v>
      </c>
      <c r="CK38" s="47"/>
      <c r="CL38" s="48"/>
      <c r="CM38" s="48">
        <f t="shared" si="25"/>
        <v>9.330316799999999</v>
      </c>
      <c r="CN38" s="47">
        <f t="shared" si="26"/>
        <v>9.330316799999999</v>
      </c>
      <c r="CO38" s="47">
        <v>12</v>
      </c>
      <c r="CP38" s="47"/>
      <c r="CQ38" s="48"/>
      <c r="CR38" s="48">
        <f t="shared" si="27"/>
        <v>171.9314688</v>
      </c>
      <c r="CS38" s="47">
        <f t="shared" si="28"/>
        <v>171.9314688</v>
      </c>
      <c r="CT38" s="47">
        <v>228</v>
      </c>
      <c r="CU38" s="47"/>
      <c r="CV38" s="48"/>
      <c r="CW38" s="48">
        <f t="shared" si="29"/>
        <v>256.28176</v>
      </c>
      <c r="CX38" s="47">
        <f t="shared" si="30"/>
        <v>256.28176</v>
      </c>
      <c r="CY38" s="47">
        <v>335</v>
      </c>
      <c r="CZ38" s="47"/>
      <c r="DA38" s="48"/>
      <c r="DB38" s="48">
        <f t="shared" si="31"/>
        <v>3019.52</v>
      </c>
      <c r="DC38" s="47">
        <f t="shared" si="32"/>
        <v>3019.52</v>
      </c>
      <c r="DD38" s="47">
        <v>4005</v>
      </c>
      <c r="DE38" s="47"/>
      <c r="DF38" s="48"/>
      <c r="DG38" s="48">
        <f t="shared" si="33"/>
        <v>149.78328960000002</v>
      </c>
      <c r="DH38" s="47">
        <f t="shared" si="34"/>
        <v>149.78328960000002</v>
      </c>
      <c r="DI38" s="47">
        <v>189</v>
      </c>
      <c r="DJ38" s="47"/>
      <c r="DK38" s="48"/>
      <c r="DL38" s="48">
        <f t="shared" si="35"/>
        <v>1197.4585952</v>
      </c>
      <c r="DM38" s="47">
        <f t="shared" si="36"/>
        <v>1197.4585952</v>
      </c>
      <c r="DN38" s="47">
        <v>1573</v>
      </c>
      <c r="DO38" s="47"/>
      <c r="DP38" s="48"/>
      <c r="DQ38" s="48">
        <f t="shared" si="37"/>
        <v>655.5226944000001</v>
      </c>
      <c r="DR38" s="47">
        <f t="shared" si="38"/>
        <v>655.5226944000001</v>
      </c>
      <c r="DS38" s="47">
        <v>867</v>
      </c>
      <c r="DT38" s="47"/>
      <c r="DU38" s="48"/>
      <c r="DV38" s="48">
        <f t="shared" si="39"/>
        <v>65.03291200000001</v>
      </c>
      <c r="DW38" s="47">
        <f t="shared" si="40"/>
        <v>65.03291200000001</v>
      </c>
      <c r="DX38" s="47">
        <v>85</v>
      </c>
      <c r="DY38" s="47"/>
      <c r="DZ38" s="48"/>
      <c r="EA38" s="48">
        <f t="shared" si="41"/>
        <v>4620.092064</v>
      </c>
      <c r="EB38" s="47">
        <f t="shared" si="42"/>
        <v>4620.092064</v>
      </c>
      <c r="EC38" s="47">
        <v>5888</v>
      </c>
      <c r="ED38" s="47"/>
      <c r="EE38" s="48"/>
      <c r="EF38" s="48">
        <f t="shared" si="43"/>
        <v>1089.3371328</v>
      </c>
      <c r="EG38" s="47">
        <f t="shared" si="44"/>
        <v>1089.3371328</v>
      </c>
      <c r="EH38" s="47">
        <v>1397</v>
      </c>
      <c r="EI38" s="47"/>
      <c r="EJ38" s="47"/>
      <c r="EK38" s="47">
        <f t="shared" si="45"/>
        <v>181.37501759999998</v>
      </c>
      <c r="EL38" s="47">
        <f t="shared" si="46"/>
        <v>181.37501759999998</v>
      </c>
      <c r="EM38" s="47">
        <v>230</v>
      </c>
      <c r="EN38" s="47"/>
      <c r="EO38" s="48"/>
      <c r="EP38" s="48">
        <f t="shared" si="47"/>
        <v>195.22706560000003</v>
      </c>
      <c r="EQ38" s="47">
        <f t="shared" si="48"/>
        <v>195.22706560000003</v>
      </c>
      <c r="ER38" s="47">
        <v>259</v>
      </c>
      <c r="ES38" s="47"/>
      <c r="ET38" s="48"/>
      <c r="EU38" s="48">
        <f t="shared" si="49"/>
        <v>14888.5510816</v>
      </c>
      <c r="EV38" s="47">
        <f t="shared" si="50"/>
        <v>14888.5510816</v>
      </c>
      <c r="EW38" s="47">
        <v>19652</v>
      </c>
      <c r="EX38" s="47"/>
      <c r="EY38" s="47"/>
      <c r="EZ38" s="47"/>
      <c r="FA38" s="47">
        <f t="shared" si="51"/>
        <v>0</v>
      </c>
      <c r="FB38" s="47"/>
      <c r="FC38" s="47"/>
    </row>
    <row r="39" spans="1:159" ht="12.75">
      <c r="A39" s="2">
        <v>45748</v>
      </c>
      <c r="C39" s="49">
        <v>3660000</v>
      </c>
      <c r="D39" s="49">
        <v>75488</v>
      </c>
      <c r="E39" s="46">
        <f t="shared" si="0"/>
        <v>3735488</v>
      </c>
      <c r="F39" s="46">
        <f t="shared" si="1"/>
        <v>96590</v>
      </c>
      <c r="G39" s="46">
        <f t="shared" si="2"/>
        <v>0</v>
      </c>
      <c r="H39" s="47"/>
      <c r="I39" s="49"/>
      <c r="J39" s="49"/>
      <c r="K39" s="46"/>
      <c r="L39" s="46"/>
      <c r="M39" s="46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9">
        <v>3660000</v>
      </c>
      <c r="AT39" s="49">
        <v>75488</v>
      </c>
      <c r="AU39" s="46">
        <f t="shared" si="7"/>
        <v>3735488</v>
      </c>
      <c r="AV39" s="46">
        <f t="shared" si="8"/>
        <v>96590</v>
      </c>
      <c r="AW39" s="47"/>
      <c r="AX39" s="47">
        <v>2051769</v>
      </c>
      <c r="AY39" s="48">
        <v>42318</v>
      </c>
      <c r="AZ39" s="48">
        <f t="shared" si="9"/>
        <v>2094087</v>
      </c>
      <c r="BA39" s="48">
        <v>53256</v>
      </c>
      <c r="BB39" s="47"/>
      <c r="BC39" s="47">
        <f t="shared" si="52"/>
        <v>1608231.084</v>
      </c>
      <c r="BD39" s="49">
        <f t="shared" si="10"/>
        <v>33169.9858112</v>
      </c>
      <c r="BE39" s="47">
        <f t="shared" si="11"/>
        <v>1641401.0698112</v>
      </c>
      <c r="BF39" s="47">
        <f t="shared" si="12"/>
        <v>43334</v>
      </c>
      <c r="BG39" s="47"/>
      <c r="BH39" s="48">
        <f t="shared" si="53"/>
        <v>27357.768000000004</v>
      </c>
      <c r="BI39" s="49">
        <f t="shared" si="13"/>
        <v>564.2577024000001</v>
      </c>
      <c r="BJ39" s="48">
        <f t="shared" si="14"/>
        <v>27922.025702400002</v>
      </c>
      <c r="BK39" s="48">
        <v>715</v>
      </c>
      <c r="BL39" s="47"/>
      <c r="BM39" s="48">
        <f t="shared" si="54"/>
        <v>12547.212</v>
      </c>
      <c r="BN39" s="48">
        <f t="shared" si="15"/>
        <v>258.7879616</v>
      </c>
      <c r="BO39" s="47">
        <f t="shared" si="16"/>
        <v>12805.999961599999</v>
      </c>
      <c r="BP39" s="47">
        <v>350</v>
      </c>
      <c r="BQ39" s="47"/>
      <c r="BR39" s="48">
        <f t="shared" si="55"/>
        <v>2598.234</v>
      </c>
      <c r="BS39" s="48">
        <f t="shared" si="17"/>
        <v>53.5889312</v>
      </c>
      <c r="BT39" s="47">
        <f t="shared" si="18"/>
        <v>2651.8229312</v>
      </c>
      <c r="BU39" s="47">
        <v>73</v>
      </c>
      <c r="BV39" s="47"/>
      <c r="BW39" s="48">
        <f t="shared" si="56"/>
        <v>277774.236</v>
      </c>
      <c r="BX39" s="48">
        <f t="shared" si="19"/>
        <v>5729.1315648</v>
      </c>
      <c r="BY39" s="47">
        <f t="shared" si="20"/>
        <v>283503.36756479996</v>
      </c>
      <c r="BZ39" s="47">
        <v>7435</v>
      </c>
      <c r="CA39" s="47"/>
      <c r="CB39" s="48">
        <f t="shared" si="57"/>
        <v>1527.684</v>
      </c>
      <c r="CC39" s="48">
        <f t="shared" si="21"/>
        <v>31.508691199999998</v>
      </c>
      <c r="CD39" s="47">
        <f t="shared" si="22"/>
        <v>1559.1926912</v>
      </c>
      <c r="CE39" s="47">
        <v>35</v>
      </c>
      <c r="CF39" s="47"/>
      <c r="CG39" s="48">
        <f t="shared" si="58"/>
        <v>1612.9619999999998</v>
      </c>
      <c r="CH39" s="48">
        <f t="shared" si="23"/>
        <v>33.2675616</v>
      </c>
      <c r="CI39" s="47">
        <f t="shared" si="24"/>
        <v>1646.2295615999997</v>
      </c>
      <c r="CJ39" s="47">
        <v>48</v>
      </c>
      <c r="CK39" s="47"/>
      <c r="CL39" s="48">
        <f t="shared" si="59"/>
        <v>452.376</v>
      </c>
      <c r="CM39" s="48">
        <f t="shared" si="25"/>
        <v>9.330316799999999</v>
      </c>
      <c r="CN39" s="47">
        <f t="shared" si="26"/>
        <v>461.70631679999997</v>
      </c>
      <c r="CO39" s="47">
        <v>25</v>
      </c>
      <c r="CP39" s="47"/>
      <c r="CQ39" s="48">
        <f t="shared" si="60"/>
        <v>8336.016</v>
      </c>
      <c r="CR39" s="48">
        <f t="shared" si="27"/>
        <v>171.9314688</v>
      </c>
      <c r="CS39" s="47">
        <f t="shared" si="28"/>
        <v>8507.9474688</v>
      </c>
      <c r="CT39" s="47">
        <v>229</v>
      </c>
      <c r="CU39" s="47"/>
      <c r="CV39" s="48">
        <f t="shared" si="61"/>
        <v>12425.7</v>
      </c>
      <c r="CW39" s="48">
        <f t="shared" si="29"/>
        <v>256.28176</v>
      </c>
      <c r="CX39" s="47">
        <f t="shared" si="30"/>
        <v>12681.98176</v>
      </c>
      <c r="CY39" s="47">
        <v>324</v>
      </c>
      <c r="CZ39" s="47"/>
      <c r="DA39" s="48">
        <f t="shared" si="62"/>
        <v>146400</v>
      </c>
      <c r="DB39" s="48">
        <f t="shared" si="31"/>
        <v>3019.52</v>
      </c>
      <c r="DC39" s="47">
        <f t="shared" si="32"/>
        <v>149419.52</v>
      </c>
      <c r="DD39" s="47">
        <v>3992</v>
      </c>
      <c r="DE39" s="47"/>
      <c r="DF39" s="48">
        <f t="shared" si="63"/>
        <v>7262.1720000000005</v>
      </c>
      <c r="DG39" s="48">
        <f t="shared" si="33"/>
        <v>149.78328960000002</v>
      </c>
      <c r="DH39" s="47">
        <f t="shared" si="34"/>
        <v>7411.9552896000005</v>
      </c>
      <c r="DI39" s="47">
        <v>196</v>
      </c>
      <c r="DJ39" s="47"/>
      <c r="DK39" s="48">
        <f t="shared" si="64"/>
        <v>58058.21400000001</v>
      </c>
      <c r="DL39" s="48">
        <f t="shared" si="35"/>
        <v>1197.4585952</v>
      </c>
      <c r="DM39" s="47">
        <f t="shared" si="36"/>
        <v>59255.672595200005</v>
      </c>
      <c r="DN39" s="47">
        <v>1587</v>
      </c>
      <c r="DO39" s="47"/>
      <c r="DP39" s="48">
        <f t="shared" si="65"/>
        <v>31782.708000000002</v>
      </c>
      <c r="DQ39" s="48">
        <f t="shared" si="37"/>
        <v>655.5226944000001</v>
      </c>
      <c r="DR39" s="47">
        <f t="shared" si="38"/>
        <v>32438.2306944</v>
      </c>
      <c r="DS39" s="47">
        <v>856</v>
      </c>
      <c r="DT39" s="47"/>
      <c r="DU39" s="48">
        <f t="shared" si="66"/>
        <v>3153.09</v>
      </c>
      <c r="DV39" s="48">
        <f t="shared" si="39"/>
        <v>65.03291200000001</v>
      </c>
      <c r="DW39" s="47">
        <f t="shared" si="40"/>
        <v>3218.1229120000003</v>
      </c>
      <c r="DX39" s="47">
        <v>79</v>
      </c>
      <c r="DY39" s="47"/>
      <c r="DZ39" s="48">
        <f t="shared" si="67"/>
        <v>224002.98</v>
      </c>
      <c r="EA39" s="48">
        <f t="shared" si="41"/>
        <v>4620.092064</v>
      </c>
      <c r="EB39" s="47">
        <f t="shared" si="42"/>
        <v>228623.072064</v>
      </c>
      <c r="EC39" s="47">
        <v>5899</v>
      </c>
      <c r="ED39" s="47"/>
      <c r="EE39" s="48">
        <f t="shared" si="68"/>
        <v>52815.996</v>
      </c>
      <c r="EF39" s="48">
        <f t="shared" si="43"/>
        <v>1089.3371328</v>
      </c>
      <c r="EG39" s="47">
        <f t="shared" si="44"/>
        <v>53905.3331328</v>
      </c>
      <c r="EH39" s="47">
        <v>1380</v>
      </c>
      <c r="EI39" s="47"/>
      <c r="EJ39" s="47">
        <f t="shared" si="69"/>
        <v>8793.882000000001</v>
      </c>
      <c r="EK39" s="47">
        <f t="shared" si="45"/>
        <v>181.37501759999998</v>
      </c>
      <c r="EL39" s="47">
        <f t="shared" si="46"/>
        <v>8975.2570176</v>
      </c>
      <c r="EM39" s="47">
        <v>214</v>
      </c>
      <c r="EN39" s="47"/>
      <c r="EO39" s="48">
        <f t="shared" si="70"/>
        <v>9465.492</v>
      </c>
      <c r="EP39" s="48">
        <f t="shared" si="47"/>
        <v>195.22706560000003</v>
      </c>
      <c r="EQ39" s="47">
        <f t="shared" si="48"/>
        <v>9660.7190656</v>
      </c>
      <c r="ER39" s="47">
        <v>256</v>
      </c>
      <c r="ES39" s="47"/>
      <c r="ET39" s="48">
        <f t="shared" si="71"/>
        <v>721864.3620000001</v>
      </c>
      <c r="EU39" s="48">
        <f t="shared" si="49"/>
        <v>14888.5510816</v>
      </c>
      <c r="EV39" s="47">
        <f t="shared" si="50"/>
        <v>736752.9130816001</v>
      </c>
      <c r="EW39" s="47">
        <v>19641</v>
      </c>
      <c r="EX39" s="47"/>
      <c r="EY39" s="47"/>
      <c r="EZ39" s="47"/>
      <c r="FA39" s="47">
        <f t="shared" si="51"/>
        <v>0</v>
      </c>
      <c r="FB39" s="47"/>
      <c r="FC39" s="47"/>
    </row>
    <row r="40" spans="3:159" ht="12.75">
      <c r="C40" s="49"/>
      <c r="D40" s="49"/>
      <c r="E40" s="49"/>
      <c r="F40" s="49"/>
      <c r="G40" s="49"/>
      <c r="H40" s="47"/>
      <c r="I40" s="49"/>
      <c r="J40" s="49"/>
      <c r="K40" s="49"/>
      <c r="L40" s="49"/>
      <c r="M40" s="49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9"/>
      <c r="AT40" s="49"/>
      <c r="AU40" s="49"/>
      <c r="AV40" s="49"/>
      <c r="AW40" s="47"/>
      <c r="AX40" s="47"/>
      <c r="AY40" s="48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</row>
    <row r="41" spans="1:159" ht="13.5" thickBot="1">
      <c r="A41" s="13" t="s">
        <v>0</v>
      </c>
      <c r="C41" s="50">
        <f>SUM(C8:C40)</f>
        <v>152985000</v>
      </c>
      <c r="D41" s="50">
        <f>SUM(D8:D40)</f>
        <v>51828946</v>
      </c>
      <c r="E41" s="50">
        <f>SUM(E8:E40)</f>
        <v>204813946</v>
      </c>
      <c r="F41" s="50">
        <f>SUM(F8:F40)</f>
        <v>9913000</v>
      </c>
      <c r="G41" s="50">
        <f>SUM(G8:G40)</f>
        <v>4096459</v>
      </c>
      <c r="H41" s="47"/>
      <c r="I41" s="50">
        <f>SUM(I8:I40)</f>
        <v>0</v>
      </c>
      <c r="J41" s="50">
        <f>SUM(J8:J40)</f>
        <v>0</v>
      </c>
      <c r="K41" s="50">
        <f>SUM(K8:K40)</f>
        <v>0</v>
      </c>
      <c r="L41" s="50">
        <f>SUM(L8:L40)</f>
        <v>0</v>
      </c>
      <c r="M41" s="50">
        <f>SUM(M8:M40)</f>
        <v>0</v>
      </c>
      <c r="N41" s="47"/>
      <c r="O41" s="50">
        <f>SUM(O8:O40)</f>
        <v>0</v>
      </c>
      <c r="P41" s="50">
        <f>SUM(P8:P40)</f>
        <v>0</v>
      </c>
      <c r="Q41" s="50">
        <f>SUM(Q8:Q40)</f>
        <v>0</v>
      </c>
      <c r="R41" s="50">
        <f>SUM(R8:R40)</f>
        <v>0</v>
      </c>
      <c r="S41" s="50">
        <f>SUM(S8:S40)</f>
        <v>0</v>
      </c>
      <c r="T41" s="47"/>
      <c r="U41" s="50">
        <f>SUM(U8:U40)</f>
        <v>25925000</v>
      </c>
      <c r="V41" s="50">
        <f>SUM(V8:V40)</f>
        <v>6612250</v>
      </c>
      <c r="W41" s="50">
        <f>SUM(W8:W40)</f>
        <v>32537250</v>
      </c>
      <c r="X41" s="50">
        <f>SUM(X8:X40)</f>
        <v>1805206</v>
      </c>
      <c r="Y41" s="50">
        <f>SUM(Y8:Y40)</f>
        <v>1287090</v>
      </c>
      <c r="Z41" s="47"/>
      <c r="AA41" s="50">
        <f>SUM(AA8:AA40)</f>
        <v>35805000</v>
      </c>
      <c r="AB41" s="50">
        <f>SUM(AB8:AB40)</f>
        <v>10119350</v>
      </c>
      <c r="AC41" s="50">
        <f>SUM(AC8:AC40)</f>
        <v>45924350</v>
      </c>
      <c r="AD41" s="50">
        <f>SUM(AD8:AD40)</f>
        <v>2133832</v>
      </c>
      <c r="AE41" s="50">
        <f>SUM(AE8:AE40)</f>
        <v>773770</v>
      </c>
      <c r="AF41" s="47"/>
      <c r="AG41" s="50">
        <f>SUM(AG8:AG40)</f>
        <v>9490000</v>
      </c>
      <c r="AH41" s="50">
        <f>SUM(AH8:AH40)</f>
        <v>2615500</v>
      </c>
      <c r="AI41" s="50">
        <f>SUM(AI8:AI40)</f>
        <v>12105500</v>
      </c>
      <c r="AJ41" s="50">
        <f>SUM(AJ8:AJ40)</f>
        <v>531837</v>
      </c>
      <c r="AK41" s="50">
        <f>SUM(AK8:AK40)</f>
        <v>20500</v>
      </c>
      <c r="AL41" s="47"/>
      <c r="AM41" s="50">
        <f>SUM(AM8:AM40)</f>
        <v>38685000</v>
      </c>
      <c r="AN41" s="50">
        <f>SUM(AN8:AN40)</f>
        <v>14584850</v>
      </c>
      <c r="AO41" s="50">
        <f>SUM(AO8:AO40)</f>
        <v>53269850</v>
      </c>
      <c r="AP41" s="50">
        <f>SUM(AP8:AP40)</f>
        <v>2349788</v>
      </c>
      <c r="AQ41" s="50">
        <f>SUM(AQ8:AQ40)</f>
        <v>2015099</v>
      </c>
      <c r="AR41" s="47"/>
      <c r="AS41" s="50">
        <f>SUM(AS8:AS40)</f>
        <v>43080000</v>
      </c>
      <c r="AT41" s="50">
        <f>SUM(AT8:AT40)</f>
        <v>17896996</v>
      </c>
      <c r="AU41" s="50">
        <f>SUM(AU8:AU40)</f>
        <v>60976996</v>
      </c>
      <c r="AV41" s="50">
        <f>SUM(AV8:AV40)</f>
        <v>3092337</v>
      </c>
      <c r="AW41" s="47"/>
      <c r="AX41" s="50">
        <f>SUM(AX8:AX40)</f>
        <v>24150330</v>
      </c>
      <c r="AY41" s="50">
        <f>SUM(AY8:AY40)</f>
        <v>10032924</v>
      </c>
      <c r="AZ41" s="50">
        <f>SUM(AZ8:AZ40)</f>
        <v>34183254</v>
      </c>
      <c r="BA41" s="50">
        <f>SUM(BA8:BA40)</f>
        <v>1704285</v>
      </c>
      <c r="BB41" s="47"/>
      <c r="BC41" s="50">
        <f>SUM(BC8:BC40)</f>
        <v>18929670.792000003</v>
      </c>
      <c r="BD41" s="50">
        <f>SUM(BD8:BD40)</f>
        <v>7864072.480170403</v>
      </c>
      <c r="BE41" s="50">
        <f>SUM(BE8:BE40)</f>
        <v>26793743.2721704</v>
      </c>
      <c r="BF41" s="50">
        <f>SUM(BF8:BF40)</f>
        <v>1388052</v>
      </c>
      <c r="BG41" s="47"/>
      <c r="BH41" s="50">
        <f>SUM(BH8:BH40)</f>
        <v>322014.384</v>
      </c>
      <c r="BI41" s="50">
        <f>SUM(BI8:BI40)</f>
        <v>133776.4657008</v>
      </c>
      <c r="BJ41" s="50">
        <f>SUM(BJ8:BJ40)</f>
        <v>455790.84970079997</v>
      </c>
      <c r="BK41" s="50">
        <f>SUM(BK8:BK40)</f>
        <v>23252</v>
      </c>
      <c r="BL41" s="47"/>
      <c r="BM41" s="50">
        <f>SUM(BM8:BM40)</f>
        <v>147686.85600000003</v>
      </c>
      <c r="BN41" s="50">
        <f>SUM(BN8:BN40)</f>
        <v>61354.481687199994</v>
      </c>
      <c r="BO41" s="50">
        <f>SUM(BO8:BO40)</f>
        <v>209041.33768719996</v>
      </c>
      <c r="BP41" s="50">
        <f>SUM(BP8:BP40)</f>
        <v>10983</v>
      </c>
      <c r="BQ41" s="47"/>
      <c r="BR41" s="50">
        <f>SUM(BR8:BR40)</f>
        <v>30582.492000000002</v>
      </c>
      <c r="BS41" s="50">
        <f>SUM(BS8:BS40)</f>
        <v>12705.077460400003</v>
      </c>
      <c r="BT41" s="50">
        <f>SUM(BT8:BT40)</f>
        <v>43287.5694604</v>
      </c>
      <c r="BU41" s="50">
        <f>SUM(BU8:BU40)</f>
        <v>2274</v>
      </c>
      <c r="BV41" s="47"/>
      <c r="BW41" s="50">
        <f>SUM(BW8:BW40)</f>
        <v>3269539.3680000002</v>
      </c>
      <c r="BX41" s="50">
        <f>SUM(BX8:BX40)</f>
        <v>1358285.3526215996</v>
      </c>
      <c r="BY41" s="50">
        <f>SUM(BY8:BY40)</f>
        <v>4627824.7206216</v>
      </c>
      <c r="BZ41" s="50">
        <f>SUM(BZ8:BZ40)</f>
        <v>237796</v>
      </c>
      <c r="CA41" s="47"/>
      <c r="CB41" s="50">
        <f>SUM(CB8:CB40)</f>
        <v>17981.591999999997</v>
      </c>
      <c r="CC41" s="50">
        <f>SUM(CC8:CC40)</f>
        <v>7470.206130400002</v>
      </c>
      <c r="CD41" s="50">
        <f>SUM(CD8:CD40)</f>
        <v>25451.7981304</v>
      </c>
      <c r="CE41" s="50">
        <f>SUM(CE8:CE40)</f>
        <v>1337</v>
      </c>
      <c r="CF41" s="47"/>
      <c r="CG41" s="50">
        <f>SUM(CG8:CG40)</f>
        <v>18985.356000000003</v>
      </c>
      <c r="CH41" s="50">
        <f>SUM(CH8:CH40)</f>
        <v>7887.206137199999</v>
      </c>
      <c r="CI41" s="50">
        <f>SUM(CI8:CI40)</f>
        <v>26872.562137200002</v>
      </c>
      <c r="CJ41" s="50">
        <f>SUM(CJ8:CJ40)</f>
        <v>1412</v>
      </c>
      <c r="CK41" s="47"/>
      <c r="CL41" s="50">
        <f>SUM(CL8:CL40)</f>
        <v>5324.687999999999</v>
      </c>
      <c r="CM41" s="50">
        <f>SUM(CM8:CM40)</f>
        <v>2212.0687055999992</v>
      </c>
      <c r="CN41" s="50">
        <f>SUM(CN8:CN40)</f>
        <v>7536.756705600001</v>
      </c>
      <c r="CO41" s="50">
        <f>SUM(CO8:CO40)</f>
        <v>397</v>
      </c>
      <c r="CP41" s="47"/>
      <c r="CQ41" s="50">
        <f>SUM(CQ8:CQ40)</f>
        <v>98119.008</v>
      </c>
      <c r="CR41" s="50">
        <f>SUM(CR8:CR40)</f>
        <v>40762.19808960001</v>
      </c>
      <c r="CS41" s="50">
        <f>SUM(CS8:CS40)</f>
        <v>138881.20608959996</v>
      </c>
      <c r="CT41" s="50">
        <f>SUM(CT8:CT40)</f>
        <v>7297</v>
      </c>
      <c r="CU41" s="47"/>
      <c r="CV41" s="50">
        <f>SUM(CV8:CV40)</f>
        <v>146256.6</v>
      </c>
      <c r="CW41" s="50">
        <f>SUM(CW8:CW40)</f>
        <v>60760.301419999996</v>
      </c>
      <c r="CX41" s="50">
        <f>SUM(CX8:CX40)</f>
        <v>207016.90142000004</v>
      </c>
      <c r="CY41" s="50">
        <f>SUM(CY8:CY40)</f>
        <v>10709</v>
      </c>
      <c r="CZ41" s="47"/>
      <c r="DA41" s="50">
        <f>SUM(DA8:DA40)</f>
        <v>1723200</v>
      </c>
      <c r="DB41" s="50">
        <f>SUM(DB8:DB40)</f>
        <v>715879.8399999997</v>
      </c>
      <c r="DC41" s="50">
        <f>SUM(DC8:DC40)</f>
        <v>2439079.8400000012</v>
      </c>
      <c r="DD41" s="50">
        <f>SUM(DD8:DD40)</f>
        <v>128147</v>
      </c>
      <c r="DE41" s="47"/>
      <c r="DF41" s="50">
        <f>SUM(DF8:DF40)</f>
        <v>85479.33600000002</v>
      </c>
      <c r="DG41" s="50">
        <f>SUM(DG8:DG40)</f>
        <v>35511.2194632</v>
      </c>
      <c r="DH41" s="50">
        <f>SUM(DH8:DH40)</f>
        <v>120990.55546320003</v>
      </c>
      <c r="DI41" s="50">
        <f>SUM(DI8:DI40)</f>
        <v>6055</v>
      </c>
      <c r="DJ41" s="47"/>
      <c r="DK41" s="50">
        <f>SUM(DK8:DK40)</f>
        <v>683373.7320000001</v>
      </c>
      <c r="DL41" s="50">
        <f>SUM(DL8:DL40)</f>
        <v>283898.2578483999</v>
      </c>
      <c r="DM41" s="50">
        <f>SUM(DM8:DM40)</f>
        <v>967271.9898484001</v>
      </c>
      <c r="DN41" s="50">
        <f>SUM(DN8:DN40)</f>
        <v>50350</v>
      </c>
      <c r="DO41" s="47"/>
      <c r="DP41" s="50">
        <f>SUM(DP8:DP40)</f>
        <v>374098.10400000005</v>
      </c>
      <c r="DQ41" s="50">
        <f>SUM(DQ8:DQ40)</f>
        <v>155413.93386479994</v>
      </c>
      <c r="DR41" s="50">
        <f>SUM(DR8:DR40)</f>
        <v>529512.0378648</v>
      </c>
      <c r="DS41" s="50">
        <f>SUM(DS8:DS40)</f>
        <v>27733</v>
      </c>
      <c r="DT41" s="47"/>
      <c r="DU41" s="50">
        <f>SUM(DU8:DU40)</f>
        <v>37113.42</v>
      </c>
      <c r="DV41" s="50">
        <f>SUM(DV8:DV40)</f>
        <v>15418.262054</v>
      </c>
      <c r="DW41" s="50">
        <f>SUM(DW8:DW40)</f>
        <v>52531.682054000004</v>
      </c>
      <c r="DX41" s="50">
        <f>SUM(DX8:DX40)</f>
        <v>2714</v>
      </c>
      <c r="DY41" s="47"/>
      <c r="DZ41" s="50">
        <f>SUM(DZ8:DZ40)</f>
        <v>2636625.24</v>
      </c>
      <c r="EA41" s="50">
        <f>SUM(EA8:EA40)</f>
        <v>1095349.8461879995</v>
      </c>
      <c r="EB41" s="50">
        <f>SUM(EB8:EB40)</f>
        <v>3731975.086188</v>
      </c>
      <c r="EC41" s="50">
        <f>SUM(EC8:EC40)</f>
        <v>188427</v>
      </c>
      <c r="ED41" s="47"/>
      <c r="EE41" s="50">
        <f>SUM(EE8:EE40)</f>
        <v>621670.248</v>
      </c>
      <c r="EF41" s="50">
        <f>SUM(EF8:EF40)</f>
        <v>258264.39047759995</v>
      </c>
      <c r="EG41" s="50">
        <f>SUM(EG8:EG40)</f>
        <v>879934.6384776002</v>
      </c>
      <c r="EH41" s="50">
        <f>SUM(EH8:EH40)</f>
        <v>44687</v>
      </c>
      <c r="EI41" s="49"/>
      <c r="EJ41" s="50">
        <f>SUM(EJ8:EJ40)</f>
        <v>103508.31599999999</v>
      </c>
      <c r="EK41" s="50">
        <f>SUM(EK8:EK40)</f>
        <v>43001.11228920004</v>
      </c>
      <c r="EL41" s="50">
        <f>SUM(EL8:EL40)</f>
        <v>146509.42828919998</v>
      </c>
      <c r="EM41" s="50">
        <f>SUM(EM8:EM40)</f>
        <v>7344</v>
      </c>
      <c r="EN41" s="47"/>
      <c r="EO41" s="50">
        <f>SUM(EO8:EO40)</f>
        <v>111413.496</v>
      </c>
      <c r="EP41" s="50">
        <f>SUM(EP8:EP40)</f>
        <v>46285.211055199994</v>
      </c>
      <c r="EQ41" s="50">
        <f>SUM(EQ8:EQ40)</f>
        <v>157698.70705519998</v>
      </c>
      <c r="ER41" s="50">
        <f>SUM(ER8:ER40)</f>
        <v>8285</v>
      </c>
      <c r="ES41" s="47"/>
      <c r="ET41" s="50">
        <f>SUM(ET8:ET40)</f>
        <v>8496698.556</v>
      </c>
      <c r="EU41" s="50">
        <f>SUM(EU8:EU40)</f>
        <v>3529837.0489772004</v>
      </c>
      <c r="EV41" s="50">
        <f>SUM(EV8:EV40)</f>
        <v>12026535.604977198</v>
      </c>
      <c r="EW41" s="50">
        <f>SUM(EW8:EW40)</f>
        <v>628853</v>
      </c>
      <c r="EX41" s="47"/>
      <c r="EY41" s="50">
        <f>SUM(EY8:EY40)</f>
        <v>0</v>
      </c>
      <c r="EZ41" s="50">
        <f>SUM(EZ8:EZ40)</f>
        <v>0</v>
      </c>
      <c r="FA41" s="50">
        <f>SUM(FA8:FA40)</f>
        <v>0</v>
      </c>
      <c r="FB41" s="49"/>
      <c r="FC41" s="47"/>
    </row>
    <row r="42" spans="70:78" ht="13.5" thickTop="1">
      <c r="BR42" s="15"/>
      <c r="BS42" s="15"/>
      <c r="BT42" s="15"/>
      <c r="BU42" s="15"/>
      <c r="BW42" s="3"/>
      <c r="BX42" s="3"/>
      <c r="BY42" s="3"/>
      <c r="BZ42" s="3"/>
    </row>
    <row r="43" spans="50:78" ht="12.75">
      <c r="AX43" s="15">
        <f>'Academic Project'!AI41+'Academic Project'!AN41+'Academic Project'!AS41+'Academic Project'!AX41+'Academic Project'!BC41+'Academic Project'!BH41+'Academic Project'!BM41+'Academic Project'!BR41+'Academic Project'!BW41+'Academic Project'!CB41+'Academic Project'!CG41+'Academic Project'!CL41+'Academic Project'!CQ41+'Academic Project'!CV41+'Academic Project'!DA41+'Academic Project'!DF41+'Academic Project'!DK41+'Academic Project'!DP41+'Academic Project'!DU41+'Academic Project'!DZ41</f>
        <v>24150329.207999993</v>
      </c>
      <c r="AY43" s="15">
        <f>'Academic Project'!AJ41+'Academic Project'!AO41+'Academic Project'!AT41+'Academic Project'!AY41+'Academic Project'!BD41+'Academic Project'!BI41+'Academic Project'!BN41+'Academic Project'!BS41+'Academic Project'!BX41+'Academic Project'!CC41+'Academic Project'!CH41+'Academic Project'!CM41+'Academic Project'!CR41+'Academic Project'!CW41+'Academic Project'!DB41+'Academic Project'!DG41+'Academic Project'!DL41+'Academic Project'!DQ41+'Academic Project'!DV41+'Academic Project'!EA41</f>
        <v>10032923.519829597</v>
      </c>
      <c r="AZ43" s="15">
        <f>'Academic Project'!AK41+'Academic Project'!AP41+'Academic Project'!AU41+'Academic Project'!AZ41+'Academic Project'!BE41+'Academic Project'!BJ41+'Academic Project'!BO41+'Academic Project'!BT41+'Academic Project'!BY41+'Academic Project'!CD41+'Academic Project'!CI41+'Academic Project'!CN41+'Academic Project'!CS41+'Academic Project'!CX41+'Academic Project'!DC41+'Academic Project'!DH41+'Academic Project'!DM41+'Academic Project'!DR41+'Academic Project'!DW41+'Academic Project'!EB41</f>
        <v>34183252.7278296</v>
      </c>
      <c r="BA43" s="15">
        <f>'Academic Project'!AL41+'Academic Project'!AQ41+'Academic Project'!AV41+'Academic Project'!BA41+'Academic Project'!BF41+'Academic Project'!BK41+'Academic Project'!BP41+'Academic Project'!BU41+'Academic Project'!BZ41+'Academic Project'!CE41+'Academic Project'!CJ41+'Academic Project'!CO41+'Academic Project'!CT41+'Academic Project'!CY41+'Academic Project'!DD41+'Academic Project'!DI41+'Academic Project'!DN41+'Academic Project'!DS41+'Academic Project'!DX41+'Academic Project'!EC41</f>
        <v>1704285</v>
      </c>
      <c r="BD43" s="15"/>
      <c r="BR43" s="15"/>
      <c r="BS43" s="15"/>
      <c r="BT43" s="15"/>
      <c r="BU43" s="15"/>
      <c r="BW43" s="3"/>
      <c r="BX43" s="3"/>
      <c r="BY43" s="3"/>
      <c r="BZ43" s="3"/>
    </row>
    <row r="44" spans="70:78" ht="12.75">
      <c r="BR44" s="15"/>
      <c r="BS44" s="15"/>
      <c r="BT44" s="15"/>
      <c r="BU44" s="15"/>
      <c r="BW44" s="3"/>
      <c r="BX44" s="3"/>
      <c r="BY44" s="3"/>
      <c r="BZ44" s="3"/>
    </row>
    <row r="45" spans="70:78" ht="12.75">
      <c r="BR45" s="15"/>
      <c r="BS45" s="15"/>
      <c r="BT45" s="15"/>
      <c r="BU45" s="15"/>
      <c r="BW45" s="3"/>
      <c r="BX45" s="3"/>
      <c r="BY45" s="3"/>
      <c r="BZ45" s="3"/>
    </row>
    <row r="46" spans="70:78" ht="12.75">
      <c r="BR46" s="15"/>
      <c r="BS46" s="15"/>
      <c r="BT46" s="15"/>
      <c r="BU46" s="15"/>
      <c r="BW46" s="3"/>
      <c r="BX46" s="3"/>
      <c r="BY46" s="3"/>
      <c r="BZ46" s="3"/>
    </row>
    <row r="47" spans="70:78" ht="12.75">
      <c r="BR47" s="15"/>
      <c r="BS47" s="15"/>
      <c r="BT47" s="15"/>
      <c r="BU47" s="15"/>
      <c r="BW47" s="3"/>
      <c r="BX47" s="3"/>
      <c r="BY47" s="3"/>
      <c r="BZ47" s="3"/>
    </row>
    <row r="48" spans="70:78" ht="12.75">
      <c r="BR48" s="15"/>
      <c r="BS48" s="15"/>
      <c r="BT48" s="15"/>
      <c r="BU48" s="15"/>
      <c r="BW48" s="3"/>
      <c r="BX48" s="3"/>
      <c r="BY48" s="3"/>
      <c r="BZ48" s="3"/>
    </row>
    <row r="49" spans="70:78" ht="12.75">
      <c r="BR49" s="15"/>
      <c r="BS49" s="15"/>
      <c r="BT49" s="15"/>
      <c r="BU49" s="15"/>
      <c r="BW49" s="3"/>
      <c r="BX49" s="3"/>
      <c r="BY49" s="3"/>
      <c r="BZ49" s="3"/>
    </row>
    <row r="50" spans="70:78" ht="12.75">
      <c r="BR50" s="15"/>
      <c r="BS50" s="15"/>
      <c r="BT50" s="15"/>
      <c r="BU50" s="15"/>
      <c r="BW50" s="3"/>
      <c r="BX50" s="3"/>
      <c r="BY50" s="3"/>
      <c r="BZ50" s="3"/>
    </row>
    <row r="51" spans="70:78" ht="12.75">
      <c r="BR51" s="15"/>
      <c r="BS51" s="15"/>
      <c r="BT51" s="15"/>
      <c r="BU51" s="15"/>
      <c r="BW51" s="3"/>
      <c r="BX51" s="3"/>
      <c r="BY51" s="3"/>
      <c r="BZ51" s="3"/>
    </row>
    <row r="52" spans="70:78" ht="12.75">
      <c r="BR52" s="15"/>
      <c r="BS52" s="15"/>
      <c r="BT52" s="15"/>
      <c r="BU52" s="15"/>
      <c r="BW52" s="3"/>
      <c r="BX52" s="3"/>
      <c r="BY52" s="3"/>
      <c r="BZ52" s="3"/>
    </row>
    <row r="53" spans="70:78" ht="12.75">
      <c r="BR53" s="15"/>
      <c r="BS53" s="15"/>
      <c r="BT53" s="15"/>
      <c r="BU53" s="15"/>
      <c r="BW53" s="3"/>
      <c r="BX53" s="3"/>
      <c r="BY53" s="3"/>
      <c r="BZ53" s="3"/>
    </row>
    <row r="54" spans="70:78" ht="12.75">
      <c r="BR54" s="15"/>
      <c r="BS54" s="15"/>
      <c r="BT54" s="15"/>
      <c r="BU54" s="15"/>
      <c r="BW54" s="3"/>
      <c r="BX54" s="3"/>
      <c r="BY54" s="3"/>
      <c r="BZ54" s="3"/>
    </row>
    <row r="55" spans="1:78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G55"/>
      <c r="BR55" s="15"/>
      <c r="BS55" s="15"/>
      <c r="BT55" s="15"/>
      <c r="BU55" s="15"/>
      <c r="BW55" s="3"/>
      <c r="BX55" s="3"/>
      <c r="BY55" s="3"/>
      <c r="BZ55" s="3"/>
    </row>
    <row r="56" spans="1:78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G56"/>
      <c r="BR56" s="15"/>
      <c r="BS56" s="15"/>
      <c r="BT56" s="15"/>
      <c r="BU56" s="15"/>
      <c r="BW56" s="3"/>
      <c r="BX56" s="3"/>
      <c r="BY56" s="3"/>
      <c r="BZ56" s="3"/>
    </row>
    <row r="57" spans="1:78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G57"/>
      <c r="BR57" s="15"/>
      <c r="BS57" s="15"/>
      <c r="BT57" s="15"/>
      <c r="BU57" s="15"/>
      <c r="BW57" s="3"/>
      <c r="BX57" s="3"/>
      <c r="BY57" s="3"/>
      <c r="BZ57" s="3"/>
    </row>
    <row r="58" spans="1:78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G58"/>
      <c r="BR58" s="15"/>
      <c r="BS58" s="15"/>
      <c r="BT58" s="15"/>
      <c r="BU58" s="15"/>
      <c r="BW58" s="3"/>
      <c r="BX58" s="3"/>
      <c r="BY58" s="3"/>
      <c r="BZ58" s="3"/>
    </row>
    <row r="59" spans="1:78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G59"/>
      <c r="BR59" s="15"/>
      <c r="BS59" s="15"/>
      <c r="BT59" s="15"/>
      <c r="BU59" s="15"/>
      <c r="BW59" s="3"/>
      <c r="BX59" s="3"/>
      <c r="BY59" s="3"/>
      <c r="BZ59" s="3"/>
    </row>
    <row r="60" spans="1:78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G60"/>
      <c r="BR60" s="15"/>
      <c r="BS60" s="15"/>
      <c r="BT60" s="15"/>
      <c r="BU60" s="15"/>
      <c r="BW60" s="3"/>
      <c r="BX60" s="3"/>
      <c r="BY60" s="3"/>
      <c r="BZ60" s="3"/>
    </row>
    <row r="61" spans="1:78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G61"/>
      <c r="BR61" s="15"/>
      <c r="BS61" s="15"/>
      <c r="BT61" s="15"/>
      <c r="BU61" s="15"/>
      <c r="BW61" s="3"/>
      <c r="BX61" s="3"/>
      <c r="BY61" s="3"/>
      <c r="BZ61" s="3"/>
    </row>
    <row r="62" spans="1:78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G62"/>
      <c r="BR62" s="15"/>
      <c r="BS62" s="15"/>
      <c r="BT62" s="15"/>
      <c r="BU62" s="15"/>
      <c r="BW62" s="3"/>
      <c r="BX62" s="3"/>
      <c r="BY62" s="3"/>
      <c r="BZ62" s="3"/>
    </row>
    <row r="63" spans="1:78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G63"/>
      <c r="BR63" s="15"/>
      <c r="BS63" s="15"/>
      <c r="BT63" s="15"/>
      <c r="BU63" s="15"/>
      <c r="BW63" s="3"/>
      <c r="BX63" s="3"/>
      <c r="BY63" s="3"/>
      <c r="BZ63" s="3"/>
    </row>
    <row r="64" spans="1:78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G64"/>
      <c r="BR64" s="15"/>
      <c r="BS64" s="15"/>
      <c r="BT64" s="15"/>
      <c r="BU64" s="15"/>
      <c r="BW64" s="3"/>
      <c r="BX64" s="3"/>
      <c r="BY64" s="3"/>
      <c r="BZ64" s="3"/>
    </row>
    <row r="65" spans="1:78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G65"/>
      <c r="BR65" s="15"/>
      <c r="BS65" s="15"/>
      <c r="BT65" s="15"/>
      <c r="BU65" s="15"/>
      <c r="BW65" s="3"/>
      <c r="BX65" s="3"/>
      <c r="BY65" s="3"/>
      <c r="BZ65" s="3"/>
    </row>
    <row r="66" spans="1:78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G66"/>
      <c r="BR66" s="15"/>
      <c r="BS66" s="15"/>
      <c r="BT66" s="15"/>
      <c r="BU66" s="15"/>
      <c r="BW66" s="3"/>
      <c r="BX66" s="3"/>
      <c r="BY66" s="3"/>
      <c r="BZ66" s="3"/>
    </row>
    <row r="67" spans="1:78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G67"/>
      <c r="BR67" s="15"/>
      <c r="BS67" s="15"/>
      <c r="BT67" s="15"/>
      <c r="BU67" s="15"/>
      <c r="BW67" s="3"/>
      <c r="BX67" s="3"/>
      <c r="BY67" s="3"/>
      <c r="BZ67" s="3"/>
    </row>
    <row r="68" spans="1:78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G68"/>
      <c r="BR68" s="15"/>
      <c r="BS68" s="15"/>
      <c r="BT68" s="15"/>
      <c r="BU68" s="15"/>
      <c r="BW68" s="3"/>
      <c r="BX68" s="3"/>
      <c r="BY68" s="3"/>
      <c r="BZ68" s="3"/>
    </row>
    <row r="69" spans="1:73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G69"/>
      <c r="BR69" s="15"/>
      <c r="BS69" s="15"/>
      <c r="BT69" s="15"/>
      <c r="BU69" s="15"/>
    </row>
    <row r="70" spans="1:73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G70"/>
      <c r="BR70" s="15"/>
      <c r="BS70" s="15"/>
      <c r="BT70" s="15"/>
      <c r="BU70" s="15"/>
    </row>
    <row r="71" spans="1:73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G71"/>
      <c r="BR71" s="15"/>
      <c r="BS71" s="15"/>
      <c r="BT71" s="15"/>
      <c r="BU71" s="15"/>
    </row>
    <row r="72" spans="1:73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G72"/>
      <c r="BR72" s="15"/>
      <c r="BS72" s="15"/>
      <c r="BT72" s="15"/>
      <c r="BU72" s="15"/>
    </row>
    <row r="73" spans="1:73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G73"/>
      <c r="BR73" s="15"/>
      <c r="BS73" s="15"/>
      <c r="BT73" s="15"/>
      <c r="BU73" s="15"/>
    </row>
    <row r="74" spans="1:73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G74"/>
      <c r="BR74" s="15"/>
      <c r="BS74" s="15"/>
      <c r="BT74" s="15"/>
      <c r="BU74" s="15"/>
    </row>
    <row r="75" spans="1:73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G75"/>
      <c r="BR75" s="15"/>
      <c r="BS75" s="15"/>
      <c r="BT75" s="15"/>
      <c r="BU75" s="15"/>
    </row>
    <row r="76" spans="1:73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G76"/>
      <c r="BR76" s="15"/>
      <c r="BS76" s="15"/>
      <c r="BT76" s="15"/>
      <c r="BU76" s="15"/>
    </row>
    <row r="77" spans="1:73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G77"/>
      <c r="BR77" s="15"/>
      <c r="BS77" s="15"/>
      <c r="BT77" s="15"/>
      <c r="BU77" s="15"/>
    </row>
    <row r="78" spans="1:73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G78"/>
      <c r="BR78" s="15"/>
      <c r="BS78" s="15"/>
      <c r="BT78" s="15"/>
      <c r="BU78" s="15"/>
    </row>
    <row r="79" spans="1:73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G79"/>
      <c r="BR79" s="15"/>
      <c r="BS79" s="15"/>
      <c r="BT79" s="15"/>
      <c r="BU79" s="15"/>
    </row>
    <row r="80" spans="1:73" ht="12.75">
      <c r="A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G80"/>
      <c r="BR80" s="15"/>
      <c r="BS80" s="15"/>
      <c r="BT80" s="15"/>
      <c r="BU80" s="15"/>
    </row>
    <row r="81" spans="1:73" ht="12.75">
      <c r="A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G81"/>
      <c r="BR81" s="15"/>
      <c r="BS81" s="15"/>
      <c r="BT81" s="15"/>
      <c r="BU81" s="15"/>
    </row>
  </sheetData>
  <sheetProtection/>
  <printOptions/>
  <pageMargins left="0.5" right="0" top="0.35" bottom="0.25" header="0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D81"/>
  <sheetViews>
    <sheetView zoomScalePageLayoutView="0" workbookViewId="0" topLeftCell="A1">
      <pane xSplit="1" ySplit="7" topLeftCell="B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3" sqref="A43"/>
    </sheetView>
  </sheetViews>
  <sheetFormatPr defaultColWidth="9.140625" defaultRowHeight="12.75"/>
  <cols>
    <col min="1" max="1" width="9.7109375" style="2" customWidth="1"/>
    <col min="2" max="2" width="3.7109375" style="0" customWidth="1"/>
    <col min="3" max="5" width="13.7109375" style="16" hidden="1" customWidth="1"/>
    <col min="6" max="6" width="3.7109375" style="15" hidden="1" customWidth="1"/>
    <col min="7" max="9" width="13.7109375" style="15" hidden="1" customWidth="1"/>
    <col min="10" max="10" width="3.7109375" style="15" hidden="1" customWidth="1"/>
    <col min="11" max="13" width="13.7109375" style="15" hidden="1" customWidth="1"/>
    <col min="14" max="14" width="3.7109375" style="15" hidden="1" customWidth="1"/>
    <col min="15" max="17" width="13.7109375" style="15" hidden="1" customWidth="1"/>
    <col min="18" max="18" width="3.7109375" style="15" hidden="1" customWidth="1"/>
    <col min="19" max="21" width="13.7109375" style="15" hidden="1" customWidth="1"/>
    <col min="22" max="22" width="3.7109375" style="15" hidden="1" customWidth="1"/>
    <col min="23" max="25" width="13.7109375" style="15" hidden="1" customWidth="1"/>
    <col min="26" max="26" width="3.7109375" style="15" hidden="1" customWidth="1"/>
    <col min="27" max="29" width="13.7109375" style="15" hidden="1" customWidth="1"/>
    <col min="30" max="30" width="3.7109375" style="15" hidden="1" customWidth="1"/>
    <col min="31" max="33" width="13.7109375" style="15" hidden="1" customWidth="1"/>
    <col min="34" max="34" width="3.7109375" style="15" hidden="1" customWidth="1"/>
    <col min="35" max="38" width="13.7109375" style="15" customWidth="1"/>
    <col min="39" max="39" width="3.7109375" style="15" customWidth="1"/>
    <col min="40" max="43" width="13.7109375" style="15" customWidth="1"/>
    <col min="44" max="44" width="3.7109375" style="15" customWidth="1"/>
    <col min="45" max="48" width="13.7109375" style="15" customWidth="1"/>
    <col min="49" max="49" width="3.7109375" style="15" customWidth="1"/>
    <col min="50" max="53" width="13.7109375" style="15" customWidth="1"/>
    <col min="54" max="54" width="3.7109375" style="15" customWidth="1"/>
    <col min="55" max="58" width="13.7109375" style="15" customWidth="1"/>
    <col min="59" max="59" width="3.7109375" style="15" customWidth="1"/>
    <col min="60" max="63" width="13.7109375" style="15" customWidth="1"/>
    <col min="64" max="64" width="3.7109375" style="15" customWidth="1"/>
    <col min="65" max="68" width="13.7109375" style="15" customWidth="1"/>
    <col min="69" max="69" width="3.7109375" style="15" customWidth="1"/>
    <col min="70" max="73" width="13.7109375" style="15" customWidth="1"/>
    <col min="74" max="74" width="3.7109375" style="15" customWidth="1"/>
    <col min="75" max="78" width="13.7109375" style="15" customWidth="1"/>
    <col min="79" max="79" width="3.7109375" style="15" customWidth="1"/>
    <col min="80" max="83" width="13.7109375" style="15" customWidth="1"/>
    <col min="84" max="84" width="3.7109375" style="15" customWidth="1"/>
    <col min="85" max="88" width="13.7109375" style="15" customWidth="1"/>
    <col min="89" max="89" width="3.7109375" style="15" customWidth="1"/>
    <col min="90" max="93" width="13.7109375" style="15" customWidth="1"/>
    <col min="94" max="94" width="3.7109375" style="15" customWidth="1"/>
    <col min="95" max="98" width="13.7109375" style="15" customWidth="1"/>
    <col min="99" max="99" width="3.7109375" style="15" customWidth="1"/>
    <col min="100" max="103" width="13.7109375" style="15" customWidth="1"/>
    <col min="104" max="104" width="3.7109375" style="15" customWidth="1"/>
    <col min="105" max="108" width="13.7109375" style="15" customWidth="1"/>
    <col min="109" max="109" width="3.7109375" style="15" customWidth="1"/>
    <col min="110" max="113" width="13.7109375" style="15" customWidth="1"/>
    <col min="114" max="114" width="3.7109375" style="15" customWidth="1"/>
    <col min="115" max="118" width="13.7109375" style="15" customWidth="1"/>
    <col min="119" max="119" width="3.7109375" style="15" customWidth="1"/>
    <col min="120" max="123" width="13.7109375" style="15" customWidth="1"/>
    <col min="124" max="124" width="3.7109375" style="15" customWidth="1"/>
    <col min="125" max="128" width="13.7109375" style="15" customWidth="1"/>
    <col min="129" max="129" width="3.7109375" style="15" customWidth="1"/>
    <col min="130" max="133" width="13.7109375" style="15" customWidth="1"/>
    <col min="134" max="134" width="3.7109375" style="15" customWidth="1"/>
  </cols>
  <sheetData>
    <row r="1" spans="1:130" ht="12.75">
      <c r="A1" s="24"/>
      <c r="B1" s="12"/>
      <c r="C1" s="23"/>
      <c r="D1" s="25"/>
      <c r="G1" s="25" t="s">
        <v>6</v>
      </c>
      <c r="S1" s="25" t="s">
        <v>6</v>
      </c>
      <c r="AE1" s="25" t="s">
        <v>6</v>
      </c>
      <c r="AI1" s="25"/>
      <c r="AN1" s="25" t="s">
        <v>6</v>
      </c>
      <c r="AX1" s="25"/>
      <c r="BC1" s="25" t="s">
        <v>6</v>
      </c>
      <c r="BM1" s="25"/>
      <c r="BR1" s="25" t="s">
        <v>6</v>
      </c>
      <c r="CB1" s="25"/>
      <c r="CG1" s="25" t="s">
        <v>6</v>
      </c>
      <c r="CV1" s="25" t="s">
        <v>6</v>
      </c>
      <c r="DF1" s="25"/>
      <c r="DK1" s="25" t="s">
        <v>6</v>
      </c>
      <c r="DU1" s="25"/>
      <c r="DZ1" s="25" t="s">
        <v>6</v>
      </c>
    </row>
    <row r="2" spans="1:130" ht="12.75">
      <c r="A2" s="24"/>
      <c r="B2" s="12"/>
      <c r="C2" s="23"/>
      <c r="D2" s="25"/>
      <c r="G2" s="25" t="s">
        <v>5</v>
      </c>
      <c r="S2" s="25" t="s">
        <v>5</v>
      </c>
      <c r="AE2" s="25" t="s">
        <v>5</v>
      </c>
      <c r="AI2" s="25"/>
      <c r="AN2" s="25" t="s">
        <v>5</v>
      </c>
      <c r="AX2" s="25"/>
      <c r="BC2" s="25" t="s">
        <v>5</v>
      </c>
      <c r="BM2" s="25"/>
      <c r="BR2" s="25" t="s">
        <v>5</v>
      </c>
      <c r="CB2" s="25"/>
      <c r="CG2" s="25" t="s">
        <v>5</v>
      </c>
      <c r="CV2" s="25" t="s">
        <v>5</v>
      </c>
      <c r="DF2" s="25"/>
      <c r="DK2" s="25" t="s">
        <v>5</v>
      </c>
      <c r="DU2" s="25"/>
      <c r="DZ2" s="25" t="s">
        <v>5</v>
      </c>
    </row>
    <row r="3" spans="1:130" ht="12.75">
      <c r="A3" s="24"/>
      <c r="B3" s="12"/>
      <c r="C3" s="23"/>
      <c r="D3" s="23"/>
      <c r="G3" s="25" t="s">
        <v>32</v>
      </c>
      <c r="S3" s="25" t="s">
        <v>32</v>
      </c>
      <c r="AE3" s="25" t="s">
        <v>32</v>
      </c>
      <c r="AI3" s="25"/>
      <c r="AN3" s="25" t="s">
        <v>32</v>
      </c>
      <c r="AX3" s="25"/>
      <c r="BC3" s="25" t="s">
        <v>32</v>
      </c>
      <c r="BM3" s="25"/>
      <c r="BR3" s="25" t="s">
        <v>32</v>
      </c>
      <c r="CB3" s="25"/>
      <c r="CG3" s="25" t="s">
        <v>32</v>
      </c>
      <c r="CV3" s="25" t="s">
        <v>32</v>
      </c>
      <c r="DF3" s="25"/>
      <c r="DK3" s="25" t="s">
        <v>32</v>
      </c>
      <c r="DU3" s="25"/>
      <c r="DZ3" s="25" t="s">
        <v>32</v>
      </c>
    </row>
    <row r="4" spans="1:4" ht="12.75">
      <c r="A4" s="24"/>
      <c r="B4" s="12"/>
      <c r="C4" s="23"/>
      <c r="D4" s="25"/>
    </row>
    <row r="5" spans="1:133" ht="12.75">
      <c r="A5" s="4" t="s">
        <v>1</v>
      </c>
      <c r="C5" s="29" t="s">
        <v>22</v>
      </c>
      <c r="D5" s="30"/>
      <c r="E5" s="31"/>
      <c r="G5" s="17" t="s">
        <v>23</v>
      </c>
      <c r="H5" s="18"/>
      <c r="I5" s="19"/>
      <c r="K5" s="17" t="s">
        <v>27</v>
      </c>
      <c r="L5" s="18"/>
      <c r="M5" s="19"/>
      <c r="O5" s="17" t="s">
        <v>28</v>
      </c>
      <c r="P5" s="18"/>
      <c r="Q5" s="19"/>
      <c r="S5" s="17" t="s">
        <v>29</v>
      </c>
      <c r="T5" s="18"/>
      <c r="U5" s="19"/>
      <c r="W5" s="17" t="s">
        <v>30</v>
      </c>
      <c r="X5" s="18"/>
      <c r="Y5" s="19"/>
      <c r="AA5" s="17" t="s">
        <v>31</v>
      </c>
      <c r="AB5" s="18"/>
      <c r="AC5" s="19"/>
      <c r="AE5" s="17" t="s">
        <v>24</v>
      </c>
      <c r="AF5" s="18"/>
      <c r="AG5" s="19"/>
      <c r="AI5" s="17" t="s">
        <v>8</v>
      </c>
      <c r="AJ5" s="18"/>
      <c r="AK5" s="19"/>
      <c r="AL5" s="21"/>
      <c r="AN5" s="17" t="s">
        <v>33</v>
      </c>
      <c r="AO5" s="18"/>
      <c r="AP5" s="19"/>
      <c r="AQ5" s="21"/>
      <c r="AS5" s="39" t="s">
        <v>34</v>
      </c>
      <c r="AT5" s="18"/>
      <c r="AU5" s="19"/>
      <c r="AV5" s="21"/>
      <c r="AX5" s="39" t="s">
        <v>35</v>
      </c>
      <c r="AY5" s="18"/>
      <c r="AZ5" s="19"/>
      <c r="BA5" s="21"/>
      <c r="BC5" s="17" t="s">
        <v>14</v>
      </c>
      <c r="BD5" s="18"/>
      <c r="BE5" s="19"/>
      <c r="BF5" s="21"/>
      <c r="BG5" s="40"/>
      <c r="BH5" s="17" t="s">
        <v>9</v>
      </c>
      <c r="BI5" s="18"/>
      <c r="BJ5" s="19"/>
      <c r="BK5" s="21"/>
      <c r="BM5" s="17" t="s">
        <v>36</v>
      </c>
      <c r="BN5" s="18"/>
      <c r="BO5" s="19"/>
      <c r="BP5" s="21"/>
      <c r="BR5" s="17" t="s">
        <v>37</v>
      </c>
      <c r="BS5" s="18"/>
      <c r="BT5" s="19"/>
      <c r="BU5" s="21"/>
      <c r="BW5" s="17" t="s">
        <v>10</v>
      </c>
      <c r="BX5" s="18"/>
      <c r="BY5" s="19"/>
      <c r="BZ5" s="21"/>
      <c r="CB5" s="17" t="s">
        <v>38</v>
      </c>
      <c r="CC5" s="18"/>
      <c r="CD5" s="19"/>
      <c r="CE5" s="21"/>
      <c r="CG5" s="17" t="s">
        <v>39</v>
      </c>
      <c r="CH5" s="18"/>
      <c r="CI5" s="19"/>
      <c r="CJ5" s="21"/>
      <c r="CK5" s="40"/>
      <c r="CL5" s="17" t="s">
        <v>58</v>
      </c>
      <c r="CM5" s="18"/>
      <c r="CN5" s="19"/>
      <c r="CO5" s="21"/>
      <c r="CQ5" s="17" t="s">
        <v>40</v>
      </c>
      <c r="CR5" s="18"/>
      <c r="CS5" s="19"/>
      <c r="CT5" s="21"/>
      <c r="CV5" s="17" t="s">
        <v>15</v>
      </c>
      <c r="CW5" s="18"/>
      <c r="CX5" s="19"/>
      <c r="CY5" s="21"/>
      <c r="DA5" s="17" t="s">
        <v>16</v>
      </c>
      <c r="DB5" s="18"/>
      <c r="DC5" s="19"/>
      <c r="DD5" s="21"/>
      <c r="DF5" s="17" t="s">
        <v>17</v>
      </c>
      <c r="DG5" s="18"/>
      <c r="DH5" s="19"/>
      <c r="DI5" s="21"/>
      <c r="DK5" s="17" t="s">
        <v>18</v>
      </c>
      <c r="DL5" s="18"/>
      <c r="DM5" s="19"/>
      <c r="DN5" s="21"/>
      <c r="DP5" s="17" t="s">
        <v>41</v>
      </c>
      <c r="DQ5" s="18"/>
      <c r="DR5" s="19"/>
      <c r="DS5" s="21"/>
      <c r="DU5" s="17" t="s">
        <v>19</v>
      </c>
      <c r="DV5" s="18"/>
      <c r="DW5" s="19"/>
      <c r="DX5" s="21"/>
      <c r="DZ5" s="17" t="s">
        <v>42</v>
      </c>
      <c r="EA5" s="18"/>
      <c r="EB5" s="19"/>
      <c r="EC5" s="21"/>
    </row>
    <row r="6" spans="1:134" s="1" customFormat="1" ht="12.75">
      <c r="A6" s="26" t="s">
        <v>2</v>
      </c>
      <c r="C6" s="20"/>
      <c r="D6" s="18"/>
      <c r="E6" s="19"/>
      <c r="F6" s="15"/>
      <c r="G6" s="20"/>
      <c r="H6" s="18"/>
      <c r="I6" s="19"/>
      <c r="J6" s="15"/>
      <c r="K6" s="20"/>
      <c r="L6" s="18"/>
      <c r="M6" s="19"/>
      <c r="N6" s="15"/>
      <c r="O6" s="20"/>
      <c r="P6" s="18"/>
      <c r="Q6" s="19"/>
      <c r="R6" s="15"/>
      <c r="S6" s="20"/>
      <c r="T6" s="18"/>
      <c r="U6" s="19"/>
      <c r="V6" s="15"/>
      <c r="W6" s="20"/>
      <c r="X6" s="18"/>
      <c r="Y6" s="19"/>
      <c r="Z6" s="15"/>
      <c r="AA6" s="20"/>
      <c r="AB6" s="18"/>
      <c r="AC6" s="19"/>
      <c r="AD6" s="15"/>
      <c r="AE6" s="20"/>
      <c r="AF6" s="38"/>
      <c r="AG6" s="19"/>
      <c r="AH6" s="15"/>
      <c r="AI6" s="20"/>
      <c r="AJ6" s="36">
        <v>0.0902238</v>
      </c>
      <c r="AK6" s="19"/>
      <c r="AL6" s="21" t="s">
        <v>59</v>
      </c>
      <c r="AM6" s="15"/>
      <c r="AN6" s="20"/>
      <c r="AO6" s="36">
        <v>0.0008478</v>
      </c>
      <c r="AP6" s="19"/>
      <c r="AQ6" s="21" t="s">
        <v>59</v>
      </c>
      <c r="AR6" s="15"/>
      <c r="AS6" s="20"/>
      <c r="AT6" s="36">
        <v>0.0271514</v>
      </c>
      <c r="AU6" s="19"/>
      <c r="AV6" s="21" t="s">
        <v>59</v>
      </c>
      <c r="AW6" s="15"/>
      <c r="AX6" s="20"/>
      <c r="AY6" s="36">
        <v>0.2273895</v>
      </c>
      <c r="AZ6" s="19"/>
      <c r="BA6" s="21" t="s">
        <v>59</v>
      </c>
      <c r="BB6" s="15"/>
      <c r="BC6" s="20"/>
      <c r="BD6" s="36">
        <v>0.0588551</v>
      </c>
      <c r="BE6" s="19"/>
      <c r="BF6" s="21" t="s">
        <v>59</v>
      </c>
      <c r="BG6" s="40"/>
      <c r="BH6" s="20"/>
      <c r="BI6" s="36">
        <v>0.0398496</v>
      </c>
      <c r="BJ6" s="19"/>
      <c r="BK6" s="21" t="s">
        <v>59</v>
      </c>
      <c r="BL6" s="15"/>
      <c r="BM6" s="20"/>
      <c r="BN6" s="36">
        <v>0.0061294</v>
      </c>
      <c r="BO6" s="19"/>
      <c r="BP6" s="21" t="s">
        <v>59</v>
      </c>
      <c r="BQ6" s="15"/>
      <c r="BR6" s="20"/>
      <c r="BS6" s="36">
        <v>0.014032</v>
      </c>
      <c r="BT6" s="19"/>
      <c r="BU6" s="21" t="s">
        <v>59</v>
      </c>
      <c r="BV6" s="15"/>
      <c r="BW6" s="20"/>
      <c r="BX6" s="36">
        <v>0.0023527</v>
      </c>
      <c r="BY6" s="19"/>
      <c r="BZ6" s="21" t="s">
        <v>59</v>
      </c>
      <c r="CA6" s="15"/>
      <c r="CB6" s="20"/>
      <c r="CC6" s="36">
        <v>0.0025449</v>
      </c>
      <c r="CD6" s="19"/>
      <c r="CE6" s="21" t="s">
        <v>59</v>
      </c>
      <c r="CF6" s="15"/>
      <c r="CG6" s="20"/>
      <c r="CH6" s="36">
        <v>0.0048599</v>
      </c>
      <c r="CI6" s="19"/>
      <c r="CJ6" s="21" t="s">
        <v>59</v>
      </c>
      <c r="CK6" s="40"/>
      <c r="CL6" s="20"/>
      <c r="CM6" s="36">
        <v>0.0008071</v>
      </c>
      <c r="CN6" s="19"/>
      <c r="CO6" s="21" t="s">
        <v>59</v>
      </c>
      <c r="CP6" s="15"/>
      <c r="CQ6" s="20"/>
      <c r="CR6" s="36">
        <v>1.4E-05</v>
      </c>
      <c r="CS6" s="19"/>
      <c r="CT6" s="21" t="s">
        <v>59</v>
      </c>
      <c r="CU6" s="15"/>
      <c r="CV6" s="20"/>
      <c r="CW6" s="36">
        <v>0.0051373</v>
      </c>
      <c r="CX6" s="19"/>
      <c r="CY6" s="21" t="s">
        <v>59</v>
      </c>
      <c r="CZ6" s="15"/>
      <c r="DA6" s="20"/>
      <c r="DB6" s="36">
        <v>0.0074436</v>
      </c>
      <c r="DC6" s="19"/>
      <c r="DD6" s="21" t="s">
        <v>59</v>
      </c>
      <c r="DE6" s="15"/>
      <c r="DF6" s="20"/>
      <c r="DG6" s="36">
        <v>0.0094183</v>
      </c>
      <c r="DH6" s="19"/>
      <c r="DI6" s="21" t="s">
        <v>59</v>
      </c>
      <c r="DJ6" s="15"/>
      <c r="DK6" s="20"/>
      <c r="DL6" s="36">
        <v>0.000876</v>
      </c>
      <c r="DM6" s="19"/>
      <c r="DN6" s="21" t="s">
        <v>59</v>
      </c>
      <c r="DO6" s="15"/>
      <c r="DP6" s="20"/>
      <c r="DQ6" s="36">
        <v>0.0165525</v>
      </c>
      <c r="DR6" s="19"/>
      <c r="DS6" s="21" t="s">
        <v>59</v>
      </c>
      <c r="DT6" s="15"/>
      <c r="DU6" s="20"/>
      <c r="DV6" s="36">
        <v>0.0429442</v>
      </c>
      <c r="DW6" s="19"/>
      <c r="DX6" s="21" t="s">
        <v>59</v>
      </c>
      <c r="DY6" s="15"/>
      <c r="DZ6" s="20"/>
      <c r="EA6" s="36">
        <v>0.0031635</v>
      </c>
      <c r="EB6" s="19"/>
      <c r="EC6" s="21" t="s">
        <v>59</v>
      </c>
      <c r="ED6" s="15"/>
    </row>
    <row r="7" spans="1:133" ht="12.75">
      <c r="A7" s="8"/>
      <c r="C7" s="21" t="s">
        <v>3</v>
      </c>
      <c r="D7" s="21" t="s">
        <v>4</v>
      </c>
      <c r="E7" s="21" t="s">
        <v>0</v>
      </c>
      <c r="G7" s="21" t="s">
        <v>3</v>
      </c>
      <c r="H7" s="21" t="s">
        <v>4</v>
      </c>
      <c r="I7" s="21" t="s">
        <v>0</v>
      </c>
      <c r="K7" s="21" t="s">
        <v>3</v>
      </c>
      <c r="L7" s="21" t="s">
        <v>4</v>
      </c>
      <c r="M7" s="21" t="s">
        <v>0</v>
      </c>
      <c r="O7" s="21" t="s">
        <v>3</v>
      </c>
      <c r="P7" s="21" t="s">
        <v>4</v>
      </c>
      <c r="Q7" s="21" t="s">
        <v>0</v>
      </c>
      <c r="S7" s="21" t="s">
        <v>3</v>
      </c>
      <c r="T7" s="21" t="s">
        <v>4</v>
      </c>
      <c r="U7" s="21" t="s">
        <v>0</v>
      </c>
      <c r="W7" s="21" t="s">
        <v>3</v>
      </c>
      <c r="X7" s="21" t="s">
        <v>4</v>
      </c>
      <c r="Y7" s="21" t="s">
        <v>0</v>
      </c>
      <c r="AA7" s="21" t="s">
        <v>3</v>
      </c>
      <c r="AB7" s="21" t="s">
        <v>4</v>
      </c>
      <c r="AC7" s="21" t="s">
        <v>0</v>
      </c>
      <c r="AE7" s="21" t="s">
        <v>3</v>
      </c>
      <c r="AF7" s="21" t="s">
        <v>4</v>
      </c>
      <c r="AG7" s="21" t="s">
        <v>0</v>
      </c>
      <c r="AI7" s="21" t="s">
        <v>3</v>
      </c>
      <c r="AJ7" s="21" t="s">
        <v>4</v>
      </c>
      <c r="AK7" s="21" t="s">
        <v>0</v>
      </c>
      <c r="AL7" s="21" t="s">
        <v>60</v>
      </c>
      <c r="AN7" s="21" t="s">
        <v>3</v>
      </c>
      <c r="AO7" s="21" t="s">
        <v>4</v>
      </c>
      <c r="AP7" s="21" t="s">
        <v>0</v>
      </c>
      <c r="AQ7" s="21" t="s">
        <v>60</v>
      </c>
      <c r="AS7" s="21" t="s">
        <v>3</v>
      </c>
      <c r="AT7" s="21" t="s">
        <v>4</v>
      </c>
      <c r="AU7" s="21" t="s">
        <v>0</v>
      </c>
      <c r="AV7" s="21" t="s">
        <v>60</v>
      </c>
      <c r="AX7" s="21" t="s">
        <v>3</v>
      </c>
      <c r="AY7" s="21" t="s">
        <v>4</v>
      </c>
      <c r="AZ7" s="21" t="s">
        <v>0</v>
      </c>
      <c r="BA7" s="21" t="s">
        <v>60</v>
      </c>
      <c r="BC7" s="21" t="s">
        <v>3</v>
      </c>
      <c r="BD7" s="21" t="s">
        <v>4</v>
      </c>
      <c r="BE7" s="21" t="s">
        <v>0</v>
      </c>
      <c r="BF7" s="21" t="s">
        <v>60</v>
      </c>
      <c r="BG7" s="41"/>
      <c r="BH7" s="21" t="s">
        <v>3</v>
      </c>
      <c r="BI7" s="21" t="s">
        <v>4</v>
      </c>
      <c r="BJ7" s="21" t="s">
        <v>0</v>
      </c>
      <c r="BK7" s="21" t="s">
        <v>60</v>
      </c>
      <c r="BM7" s="21" t="s">
        <v>3</v>
      </c>
      <c r="BN7" s="21" t="s">
        <v>4</v>
      </c>
      <c r="BO7" s="21" t="s">
        <v>0</v>
      </c>
      <c r="BP7" s="21" t="s">
        <v>60</v>
      </c>
      <c r="BR7" s="21" t="s">
        <v>3</v>
      </c>
      <c r="BS7" s="21" t="s">
        <v>4</v>
      </c>
      <c r="BT7" s="21" t="s">
        <v>0</v>
      </c>
      <c r="BU7" s="21" t="s">
        <v>60</v>
      </c>
      <c r="BW7" s="21" t="s">
        <v>3</v>
      </c>
      <c r="BX7" s="21" t="s">
        <v>4</v>
      </c>
      <c r="BY7" s="21" t="s">
        <v>0</v>
      </c>
      <c r="BZ7" s="21" t="s">
        <v>60</v>
      </c>
      <c r="CB7" s="21" t="s">
        <v>3</v>
      </c>
      <c r="CC7" s="21" t="s">
        <v>4</v>
      </c>
      <c r="CD7" s="21" t="s">
        <v>0</v>
      </c>
      <c r="CE7" s="21" t="s">
        <v>60</v>
      </c>
      <c r="CG7" s="21" t="s">
        <v>3</v>
      </c>
      <c r="CH7" s="21" t="s">
        <v>4</v>
      </c>
      <c r="CI7" s="21" t="s">
        <v>0</v>
      </c>
      <c r="CJ7" s="21" t="s">
        <v>60</v>
      </c>
      <c r="CK7" s="41"/>
      <c r="CL7" s="21" t="s">
        <v>3</v>
      </c>
      <c r="CM7" s="21" t="s">
        <v>4</v>
      </c>
      <c r="CN7" s="21" t="s">
        <v>0</v>
      </c>
      <c r="CO7" s="21" t="s">
        <v>60</v>
      </c>
      <c r="CQ7" s="21" t="s">
        <v>3</v>
      </c>
      <c r="CR7" s="21" t="s">
        <v>4</v>
      </c>
      <c r="CS7" s="21" t="s">
        <v>0</v>
      </c>
      <c r="CT7" s="21" t="s">
        <v>60</v>
      </c>
      <c r="CV7" s="21" t="s">
        <v>3</v>
      </c>
      <c r="CW7" s="21" t="s">
        <v>4</v>
      </c>
      <c r="CX7" s="21" t="s">
        <v>0</v>
      </c>
      <c r="CY7" s="21" t="s">
        <v>60</v>
      </c>
      <c r="DA7" s="21" t="s">
        <v>3</v>
      </c>
      <c r="DB7" s="21" t="s">
        <v>4</v>
      </c>
      <c r="DC7" s="21" t="s">
        <v>0</v>
      </c>
      <c r="DD7" s="21" t="s">
        <v>60</v>
      </c>
      <c r="DF7" s="21" t="s">
        <v>3</v>
      </c>
      <c r="DG7" s="21" t="s">
        <v>4</v>
      </c>
      <c r="DH7" s="21" t="s">
        <v>0</v>
      </c>
      <c r="DI7" s="21" t="s">
        <v>60</v>
      </c>
      <c r="DK7" s="21" t="s">
        <v>3</v>
      </c>
      <c r="DL7" s="21" t="s">
        <v>4</v>
      </c>
      <c r="DM7" s="21" t="s">
        <v>0</v>
      </c>
      <c r="DN7" s="21" t="s">
        <v>60</v>
      </c>
      <c r="DP7" s="21" t="s">
        <v>3</v>
      </c>
      <c r="DQ7" s="21" t="s">
        <v>4</v>
      </c>
      <c r="DR7" s="21" t="s">
        <v>0</v>
      </c>
      <c r="DS7" s="21" t="s">
        <v>60</v>
      </c>
      <c r="DU7" s="21" t="s">
        <v>3</v>
      </c>
      <c r="DV7" s="21" t="s">
        <v>4</v>
      </c>
      <c r="DW7" s="21" t="s">
        <v>0</v>
      </c>
      <c r="DX7" s="21" t="s">
        <v>60</v>
      </c>
      <c r="DZ7" s="21" t="s">
        <v>3</v>
      </c>
      <c r="EA7" s="21" t="s">
        <v>4</v>
      </c>
      <c r="EB7" s="21" t="s">
        <v>0</v>
      </c>
      <c r="EC7" s="21" t="s">
        <v>60</v>
      </c>
    </row>
    <row r="8" spans="1:133" ht="12.75">
      <c r="A8" s="2">
        <v>40087</v>
      </c>
      <c r="D8" s="16">
        <v>3483909</v>
      </c>
      <c r="E8" s="16">
        <f aca="true" t="shared" si="0" ref="E8:E39">C8+D8</f>
        <v>3483909</v>
      </c>
      <c r="G8" s="16"/>
      <c r="H8" s="16"/>
      <c r="I8" s="16"/>
      <c r="P8" s="15">
        <v>573975</v>
      </c>
      <c r="Q8" s="15">
        <f aca="true" t="shared" si="1" ref="Q8:Q25">O8+P8</f>
        <v>573975</v>
      </c>
      <c r="T8" s="15">
        <v>802825</v>
      </c>
      <c r="U8" s="15">
        <f aca="true" t="shared" si="2" ref="U8:U27">S8+T8</f>
        <v>802825</v>
      </c>
      <c r="X8" s="15">
        <v>237250</v>
      </c>
      <c r="Y8" s="15">
        <f aca="true" t="shared" si="3" ref="Y8:Y19">W8+X8</f>
        <v>237250</v>
      </c>
      <c r="AB8" s="15">
        <v>932125</v>
      </c>
      <c r="AC8" s="15">
        <f aca="true" t="shared" si="4" ref="AC8:AC31">AA8+AB8</f>
        <v>932125</v>
      </c>
      <c r="AE8" s="16"/>
      <c r="AF8" s="16">
        <v>937734</v>
      </c>
      <c r="AG8" s="16">
        <f aca="true" t="shared" si="5" ref="AG8:AG39">AE8+AF8</f>
        <v>937734</v>
      </c>
      <c r="AJ8" s="33">
        <f aca="true" t="shared" si="6" ref="AJ8:AJ39">AF8*9.02238/100</f>
        <v>84605.92486920001</v>
      </c>
      <c r="AK8" s="33">
        <f aca="true" t="shared" si="7" ref="AK8:AK39">AI8+AJ8</f>
        <v>84605.92486920001</v>
      </c>
      <c r="AL8" s="33">
        <v>8490</v>
      </c>
      <c r="AO8" s="15">
        <f aca="true" t="shared" si="8" ref="AO8:AO39">AF8*0.08478/100</f>
        <v>795.0108851999998</v>
      </c>
      <c r="AP8" s="15">
        <f aca="true" t="shared" si="9" ref="AP8:AP39">AN8+AO8</f>
        <v>795.0108851999998</v>
      </c>
      <c r="AQ8" s="15">
        <v>78</v>
      </c>
      <c r="AS8" s="33"/>
      <c r="AT8" s="15">
        <f aca="true" t="shared" si="10" ref="AT8:AT39">AF8*2.71514/100</f>
        <v>25460.7909276</v>
      </c>
      <c r="AU8" s="15">
        <f aca="true" t="shared" si="11" ref="AU8:AU39">AS8+AT8</f>
        <v>25460.7909276</v>
      </c>
      <c r="AV8" s="15">
        <v>2586</v>
      </c>
      <c r="AY8" s="15">
        <f aca="true" t="shared" si="12" ref="AY8:AY39">AF8*22.73895/100</f>
        <v>213230.865393</v>
      </c>
      <c r="AZ8" s="15">
        <f aca="true" t="shared" si="13" ref="AZ8:AZ39">AX8+AY8</f>
        <v>213230.865393</v>
      </c>
      <c r="BA8" s="15">
        <v>21774</v>
      </c>
      <c r="BD8" s="15">
        <f aca="true" t="shared" si="14" ref="BD8:BD39">AF8*5.88551/100</f>
        <v>55190.428343399995</v>
      </c>
      <c r="BE8" s="15">
        <f aca="true" t="shared" si="15" ref="BE8:BE39">BC8+BD8</f>
        <v>55190.428343399995</v>
      </c>
      <c r="BF8" s="15">
        <v>5450</v>
      </c>
      <c r="BI8" s="15">
        <f aca="true" t="shared" si="16" ref="BI8:BI39">AF8*3.98496/100</f>
        <v>37368.3248064</v>
      </c>
      <c r="BJ8" s="15">
        <f aca="true" t="shared" si="17" ref="BJ8:BJ39">BH8+BI8</f>
        <v>37368.3248064</v>
      </c>
      <c r="BK8" s="15">
        <v>3738</v>
      </c>
      <c r="BN8" s="15">
        <f aca="true" t="shared" si="18" ref="BN8:BN39">AF8*0.61294/100</f>
        <v>5747.7467796</v>
      </c>
      <c r="BO8" s="15">
        <f aca="true" t="shared" si="19" ref="BO8:BO39">BM8+BN8</f>
        <v>5747.7467796</v>
      </c>
      <c r="BP8" s="15">
        <v>587</v>
      </c>
      <c r="BS8" s="15">
        <f aca="true" t="shared" si="20" ref="BS8:BS39">AF8*1.4032/100</f>
        <v>13158.283488000001</v>
      </c>
      <c r="BT8" s="15">
        <f aca="true" t="shared" si="21" ref="BT8:BT39">BR8+BS8</f>
        <v>13158.283488000001</v>
      </c>
      <c r="BU8" s="15">
        <v>1341</v>
      </c>
      <c r="BX8" s="15">
        <f aca="true" t="shared" si="22" ref="BX8:BX39">AF8*0.23527/100</f>
        <v>2206.2067818</v>
      </c>
      <c r="BY8" s="15">
        <f aca="true" t="shared" si="23" ref="BY8:BY39">BW8+BX8</f>
        <v>2206.2067818</v>
      </c>
      <c r="BZ8" s="15">
        <v>225</v>
      </c>
      <c r="CC8" s="15">
        <f aca="true" t="shared" si="24" ref="CC8:CC39">AF8*0.25449/100</f>
        <v>2386.4392566</v>
      </c>
      <c r="CD8" s="15">
        <f aca="true" t="shared" si="25" ref="CD8:CD39">CB8+CC8</f>
        <v>2386.4392566</v>
      </c>
      <c r="CE8" s="15">
        <v>245</v>
      </c>
      <c r="CH8" s="15">
        <f aca="true" t="shared" si="26" ref="CH8:CH39">AF8*0.48599/100</f>
        <v>4557.2934666</v>
      </c>
      <c r="CI8" s="15">
        <f aca="true" t="shared" si="27" ref="CI8:CI39">CG8+CH8</f>
        <v>4557.2934666</v>
      </c>
      <c r="CJ8" s="15">
        <v>461</v>
      </c>
      <c r="CM8" s="15">
        <f aca="true" t="shared" si="28" ref="CM8:CM39">AF8*0.08071/100</f>
        <v>756.8451114000001</v>
      </c>
      <c r="CN8" s="15">
        <f aca="true" t="shared" si="29" ref="CN8:CN39">CL8+CM8</f>
        <v>756.8451114000001</v>
      </c>
      <c r="CO8" s="15">
        <v>75</v>
      </c>
      <c r="CR8" s="15">
        <f aca="true" t="shared" si="30" ref="CR8:CR39">AF8*0.0014/100</f>
        <v>13.128276000000001</v>
      </c>
      <c r="CS8" s="15">
        <f aca="true" t="shared" si="31" ref="CS8:CS39">CQ8+CR8</f>
        <v>13.128276000000001</v>
      </c>
      <c r="CW8" s="15">
        <f aca="true" t="shared" si="32" ref="CW8:CW39">AF8*0.51373/100</f>
        <v>4817.4208782000005</v>
      </c>
      <c r="CX8" s="15">
        <f aca="true" t="shared" si="33" ref="CX8:CX39">CV8+CW8</f>
        <v>4817.4208782000005</v>
      </c>
      <c r="CY8" s="15">
        <v>493</v>
      </c>
      <c r="DB8" s="15">
        <f aca="true" t="shared" si="34" ref="DB8:DB39">AF8*0.74436/100</f>
        <v>6980.1168024</v>
      </c>
      <c r="DC8" s="15">
        <f aca="true" t="shared" si="35" ref="DC8:DC39">DA8+DB8</f>
        <v>6980.1168024</v>
      </c>
      <c r="DD8" s="15">
        <v>718</v>
      </c>
      <c r="DG8" s="15">
        <f aca="true" t="shared" si="36" ref="DG8:DG39">AF8*0.94183/100</f>
        <v>8831.8601322</v>
      </c>
      <c r="DH8" s="15">
        <f aca="true" t="shared" si="37" ref="DH8:DH39">DF8+DG8</f>
        <v>8831.8601322</v>
      </c>
      <c r="DI8" s="15">
        <v>872</v>
      </c>
      <c r="DL8" s="15">
        <f aca="true" t="shared" si="38" ref="DL8:DL39">AF8*0.0876/100</f>
        <v>821.454984</v>
      </c>
      <c r="DM8" s="15">
        <f aca="true" t="shared" si="39" ref="DM8:DM39">DK8+DL8</f>
        <v>821.454984</v>
      </c>
      <c r="DN8" s="15">
        <v>85</v>
      </c>
      <c r="DQ8" s="33">
        <f aca="true" t="shared" si="40" ref="DQ8:DQ39">AF8*1.65525/100</f>
        <v>15521.842035000001</v>
      </c>
      <c r="DR8" s="15">
        <f aca="true" t="shared" si="41" ref="DR8:DR39">DP8+DQ8</f>
        <v>15521.842035000001</v>
      </c>
      <c r="DS8" s="15">
        <v>1569</v>
      </c>
      <c r="DV8" s="15">
        <f aca="true" t="shared" si="42" ref="DV8:DV39">AF8*4.29442/100</f>
        <v>40270.2364428</v>
      </c>
      <c r="DW8" s="15">
        <f aca="true" t="shared" si="43" ref="DW8:DW39">DU8+DV8</f>
        <v>40270.2364428</v>
      </c>
      <c r="DX8" s="15">
        <v>4172</v>
      </c>
      <c r="EA8" s="15">
        <f aca="true" t="shared" si="44" ref="EA8:EA39">AF8*0.31635/100</f>
        <v>2966.521509</v>
      </c>
      <c r="EB8" s="15">
        <f aca="true" t="shared" si="45" ref="EB8:EB39">DZ8+EA8</f>
        <v>2966.521509</v>
      </c>
      <c r="EC8" s="15">
        <v>300</v>
      </c>
    </row>
    <row r="9" spans="1:133" ht="12.75">
      <c r="A9" s="2">
        <v>40269</v>
      </c>
      <c r="C9" s="16">
        <v>7405000</v>
      </c>
      <c r="D9" s="16">
        <v>3483909</v>
      </c>
      <c r="E9" s="16">
        <f t="shared" si="0"/>
        <v>10888909</v>
      </c>
      <c r="G9" s="16"/>
      <c r="H9" s="16"/>
      <c r="I9" s="16"/>
      <c r="O9" s="15">
        <v>2400000</v>
      </c>
      <c r="P9" s="15">
        <v>573975</v>
      </c>
      <c r="Q9" s="15">
        <f t="shared" si="1"/>
        <v>2973975</v>
      </c>
      <c r="S9" s="15">
        <v>2985000</v>
      </c>
      <c r="T9" s="15">
        <v>802825</v>
      </c>
      <c r="U9" s="15">
        <f t="shared" si="2"/>
        <v>3787825</v>
      </c>
      <c r="X9" s="15">
        <v>237250</v>
      </c>
      <c r="Y9" s="15">
        <f t="shared" si="3"/>
        <v>237250</v>
      </c>
      <c r="AA9" s="15">
        <v>85000</v>
      </c>
      <c r="AB9" s="15">
        <v>932125</v>
      </c>
      <c r="AC9" s="15">
        <f t="shared" si="4"/>
        <v>1017125</v>
      </c>
      <c r="AE9" s="16">
        <v>1935000</v>
      </c>
      <c r="AF9" s="16">
        <v>937734</v>
      </c>
      <c r="AG9" s="16">
        <f t="shared" si="5"/>
        <v>2872734</v>
      </c>
      <c r="AI9" s="15">
        <f aca="true" t="shared" si="46" ref="AI9:AI39">AE9*9.02238/100</f>
        <v>174583.053</v>
      </c>
      <c r="AJ9" s="33">
        <f t="shared" si="6"/>
        <v>84605.92486920001</v>
      </c>
      <c r="AK9" s="33">
        <f t="shared" si="7"/>
        <v>259188.97786920003</v>
      </c>
      <c r="AL9" s="33">
        <v>8490</v>
      </c>
      <c r="AN9" s="15">
        <f aca="true" t="shared" si="47" ref="AN9:AN39">AE9*0.08478/100</f>
        <v>1640.493</v>
      </c>
      <c r="AO9" s="15">
        <f t="shared" si="8"/>
        <v>795.0108851999998</v>
      </c>
      <c r="AP9" s="15">
        <f t="shared" si="9"/>
        <v>2435.5038852</v>
      </c>
      <c r="AQ9" s="15">
        <v>78</v>
      </c>
      <c r="AS9" s="33">
        <f aca="true" t="shared" si="48" ref="AS9:AS39">AE9*2.71514/100</f>
        <v>52537.958999999995</v>
      </c>
      <c r="AT9" s="15">
        <f t="shared" si="10"/>
        <v>25460.7909276</v>
      </c>
      <c r="AU9" s="15">
        <f t="shared" si="11"/>
        <v>77998.7499276</v>
      </c>
      <c r="AV9" s="15">
        <v>2586</v>
      </c>
      <c r="AX9" s="15">
        <f aca="true" t="shared" si="49" ref="AX9:AX39">AE9*22.73895/100</f>
        <v>439998.6825</v>
      </c>
      <c r="AY9" s="15">
        <f t="shared" si="12"/>
        <v>213230.865393</v>
      </c>
      <c r="AZ9" s="15">
        <f t="shared" si="13"/>
        <v>653229.547893</v>
      </c>
      <c r="BA9" s="15">
        <v>21774</v>
      </c>
      <c r="BC9" s="15">
        <f aca="true" t="shared" si="50" ref="BC9:BC39">AE9*5.88551/100</f>
        <v>113884.6185</v>
      </c>
      <c r="BD9" s="15">
        <f t="shared" si="14"/>
        <v>55190.428343399995</v>
      </c>
      <c r="BE9" s="15">
        <f t="shared" si="15"/>
        <v>169075.0468434</v>
      </c>
      <c r="BF9" s="15">
        <v>5450</v>
      </c>
      <c r="BH9" s="15">
        <f aca="true" t="shared" si="51" ref="BH9:BH39">AE9*3.98496/100</f>
        <v>77108.97600000001</v>
      </c>
      <c r="BI9" s="15">
        <f t="shared" si="16"/>
        <v>37368.3248064</v>
      </c>
      <c r="BJ9" s="15">
        <f t="shared" si="17"/>
        <v>114477.30080640002</v>
      </c>
      <c r="BK9" s="15">
        <v>3738</v>
      </c>
      <c r="BM9" s="15">
        <f aca="true" t="shared" si="52" ref="BM9:BM39">AE9*0.61294/100</f>
        <v>11860.389000000001</v>
      </c>
      <c r="BN9" s="15">
        <f t="shared" si="18"/>
        <v>5747.7467796</v>
      </c>
      <c r="BO9" s="15">
        <f t="shared" si="19"/>
        <v>17608.1357796</v>
      </c>
      <c r="BP9" s="15">
        <v>587</v>
      </c>
      <c r="BR9" s="15">
        <f aca="true" t="shared" si="53" ref="BR9:BR39">AE9*1.4032/100</f>
        <v>27151.92</v>
      </c>
      <c r="BS9" s="15">
        <f t="shared" si="20"/>
        <v>13158.283488000001</v>
      </c>
      <c r="BT9" s="15">
        <f t="shared" si="21"/>
        <v>40310.203488</v>
      </c>
      <c r="BU9" s="15">
        <v>1341</v>
      </c>
      <c r="BW9" s="15">
        <f aca="true" t="shared" si="54" ref="BW9:BW39">AE9*0.23527/100</f>
        <v>4552.4745</v>
      </c>
      <c r="BX9" s="15">
        <f t="shared" si="22"/>
        <v>2206.2067818</v>
      </c>
      <c r="BY9" s="15">
        <f t="shared" si="23"/>
        <v>6758.6812818</v>
      </c>
      <c r="BZ9" s="15">
        <v>225</v>
      </c>
      <c r="CB9" s="15">
        <f aca="true" t="shared" si="55" ref="CB9:CB39">AE9*0.25449/100</f>
        <v>4924.3814999999995</v>
      </c>
      <c r="CC9" s="15">
        <f t="shared" si="24"/>
        <v>2386.4392566</v>
      </c>
      <c r="CD9" s="15">
        <f t="shared" si="25"/>
        <v>7310.8207566</v>
      </c>
      <c r="CE9" s="15">
        <v>245</v>
      </c>
      <c r="CG9" s="15">
        <f aca="true" t="shared" si="56" ref="CG9:CG39">AE9*0.48599/100</f>
        <v>9403.9065</v>
      </c>
      <c r="CH9" s="15">
        <f t="shared" si="26"/>
        <v>4557.2934666</v>
      </c>
      <c r="CI9" s="15">
        <f t="shared" si="27"/>
        <v>13961.1999666</v>
      </c>
      <c r="CJ9" s="15">
        <v>461</v>
      </c>
      <c r="CL9" s="15">
        <f>AE9*0.08071/100</f>
        <v>1561.7385000000002</v>
      </c>
      <c r="CM9" s="15">
        <f t="shared" si="28"/>
        <v>756.8451114000001</v>
      </c>
      <c r="CN9" s="15">
        <f t="shared" si="29"/>
        <v>2318.5836114000003</v>
      </c>
      <c r="CO9" s="15">
        <v>75</v>
      </c>
      <c r="CQ9" s="15">
        <f aca="true" t="shared" si="57" ref="CQ9:CQ39">AE9*0.0014/100</f>
        <v>27.09</v>
      </c>
      <c r="CR9" s="15">
        <f t="shared" si="30"/>
        <v>13.128276000000001</v>
      </c>
      <c r="CS9" s="15">
        <f t="shared" si="31"/>
        <v>40.218276</v>
      </c>
      <c r="CV9" s="15">
        <f aca="true" t="shared" si="58" ref="CV9:CV39">AE9*0.51373/100</f>
        <v>9940.675500000001</v>
      </c>
      <c r="CW9" s="15">
        <f t="shared" si="32"/>
        <v>4817.4208782000005</v>
      </c>
      <c r="CX9" s="15">
        <f t="shared" si="33"/>
        <v>14758.096378200002</v>
      </c>
      <c r="CY9" s="15">
        <v>493</v>
      </c>
      <c r="DA9" s="15">
        <f aca="true" t="shared" si="59" ref="DA9:DA39">AE9*0.74436/100</f>
        <v>14403.366000000002</v>
      </c>
      <c r="DB9" s="15">
        <f t="shared" si="34"/>
        <v>6980.1168024</v>
      </c>
      <c r="DC9" s="15">
        <f t="shared" si="35"/>
        <v>21383.4828024</v>
      </c>
      <c r="DD9" s="15">
        <v>718</v>
      </c>
      <c r="DF9" s="15">
        <f aca="true" t="shared" si="60" ref="DF9:DF39">AE9*0.94183/100</f>
        <v>18224.410499999998</v>
      </c>
      <c r="DG9" s="15">
        <f t="shared" si="36"/>
        <v>8831.8601322</v>
      </c>
      <c r="DH9" s="15">
        <f t="shared" si="37"/>
        <v>27056.270632199998</v>
      </c>
      <c r="DI9" s="15">
        <v>872</v>
      </c>
      <c r="DK9" s="15">
        <f aca="true" t="shared" si="61" ref="DK9:DK39">AE9*0.0876/100</f>
        <v>1695.06</v>
      </c>
      <c r="DL9" s="15">
        <f t="shared" si="38"/>
        <v>821.454984</v>
      </c>
      <c r="DM9" s="15">
        <f t="shared" si="39"/>
        <v>2516.514984</v>
      </c>
      <c r="DN9" s="15">
        <v>85</v>
      </c>
      <c r="DP9" s="15">
        <f aca="true" t="shared" si="62" ref="DP9:DP39">AE9*1.65525/100</f>
        <v>32029.0875</v>
      </c>
      <c r="DQ9" s="33">
        <f t="shared" si="40"/>
        <v>15521.842035000001</v>
      </c>
      <c r="DR9" s="15">
        <f t="shared" si="41"/>
        <v>47550.929535</v>
      </c>
      <c r="DS9" s="15">
        <v>1569</v>
      </c>
      <c r="DU9" s="15">
        <f aca="true" t="shared" si="63" ref="DU9:DU39">AE9*4.29442/100</f>
        <v>83097.02699999999</v>
      </c>
      <c r="DV9" s="15">
        <f t="shared" si="42"/>
        <v>40270.2364428</v>
      </c>
      <c r="DW9" s="15">
        <f t="shared" si="43"/>
        <v>123367.26344279999</v>
      </c>
      <c r="DX9" s="15">
        <v>4172</v>
      </c>
      <c r="DZ9" s="15">
        <f aca="true" t="shared" si="64" ref="DZ9:DZ39">AE9*0.31635/100</f>
        <v>6121.3725</v>
      </c>
      <c r="EA9" s="15">
        <f t="shared" si="44"/>
        <v>2966.521509</v>
      </c>
      <c r="EB9" s="15">
        <f t="shared" si="45"/>
        <v>9087.894009</v>
      </c>
      <c r="EC9" s="15">
        <v>300</v>
      </c>
    </row>
    <row r="10" spans="1:133" ht="12.75">
      <c r="A10" s="2">
        <v>40452</v>
      </c>
      <c r="D10" s="16">
        <v>3372834</v>
      </c>
      <c r="E10" s="16">
        <f t="shared" si="0"/>
        <v>3372834</v>
      </c>
      <c r="G10" s="16"/>
      <c r="H10" s="16"/>
      <c r="I10" s="16"/>
      <c r="P10" s="15">
        <v>537975</v>
      </c>
      <c r="Q10" s="15">
        <f t="shared" si="1"/>
        <v>537975</v>
      </c>
      <c r="T10" s="15">
        <v>758050</v>
      </c>
      <c r="U10" s="15">
        <f t="shared" si="2"/>
        <v>758050</v>
      </c>
      <c r="X10" s="15">
        <v>237250</v>
      </c>
      <c r="Y10" s="15">
        <f t="shared" si="3"/>
        <v>237250</v>
      </c>
      <c r="AB10" s="15">
        <v>930850</v>
      </c>
      <c r="AC10" s="15">
        <f t="shared" si="4"/>
        <v>930850</v>
      </c>
      <c r="AE10" s="16"/>
      <c r="AF10" s="16">
        <v>908709</v>
      </c>
      <c r="AG10" s="16">
        <f t="shared" si="5"/>
        <v>908709</v>
      </c>
      <c r="AJ10" s="33">
        <f t="shared" si="6"/>
        <v>81987.1790742</v>
      </c>
      <c r="AK10" s="33">
        <f t="shared" si="7"/>
        <v>81987.1790742</v>
      </c>
      <c r="AL10" s="33">
        <v>8490</v>
      </c>
      <c r="AO10" s="15">
        <f t="shared" si="8"/>
        <v>770.4034902</v>
      </c>
      <c r="AP10" s="15">
        <f t="shared" si="9"/>
        <v>770.4034902</v>
      </c>
      <c r="AQ10" s="15">
        <v>78</v>
      </c>
      <c r="AS10" s="33"/>
      <c r="AT10" s="15">
        <f t="shared" si="10"/>
        <v>24672.721542599997</v>
      </c>
      <c r="AU10" s="15">
        <f t="shared" si="11"/>
        <v>24672.721542599997</v>
      </c>
      <c r="AV10" s="15">
        <v>2586</v>
      </c>
      <c r="AY10" s="15">
        <f t="shared" si="12"/>
        <v>206630.8851555</v>
      </c>
      <c r="AZ10" s="15">
        <f t="shared" si="13"/>
        <v>206630.8851555</v>
      </c>
      <c r="BA10" s="15">
        <v>21774</v>
      </c>
      <c r="BD10" s="15">
        <f t="shared" si="14"/>
        <v>53482.1590659</v>
      </c>
      <c r="BE10" s="15">
        <f t="shared" si="15"/>
        <v>53482.1590659</v>
      </c>
      <c r="BF10" s="15">
        <v>5450</v>
      </c>
      <c r="BI10" s="15">
        <f t="shared" si="16"/>
        <v>36211.6901664</v>
      </c>
      <c r="BJ10" s="15">
        <f t="shared" si="17"/>
        <v>36211.6901664</v>
      </c>
      <c r="BK10" s="15">
        <v>3738</v>
      </c>
      <c r="BN10" s="15">
        <f t="shared" si="18"/>
        <v>5569.8409446000005</v>
      </c>
      <c r="BO10" s="15">
        <f t="shared" si="19"/>
        <v>5569.8409446000005</v>
      </c>
      <c r="BP10" s="15">
        <v>587</v>
      </c>
      <c r="BS10" s="15">
        <f t="shared" si="20"/>
        <v>12751.004687999999</v>
      </c>
      <c r="BT10" s="15">
        <f t="shared" si="21"/>
        <v>12751.004687999999</v>
      </c>
      <c r="BU10" s="15">
        <v>1341</v>
      </c>
      <c r="BX10" s="15">
        <f t="shared" si="22"/>
        <v>2137.9196643</v>
      </c>
      <c r="BY10" s="15">
        <f t="shared" si="23"/>
        <v>2137.9196643</v>
      </c>
      <c r="BZ10" s="15">
        <v>225</v>
      </c>
      <c r="CC10" s="15">
        <f t="shared" si="24"/>
        <v>2312.5735341</v>
      </c>
      <c r="CD10" s="15">
        <f t="shared" si="25"/>
        <v>2312.5735341</v>
      </c>
      <c r="CE10" s="15">
        <v>245</v>
      </c>
      <c r="CH10" s="15">
        <f t="shared" si="26"/>
        <v>4416.2348691</v>
      </c>
      <c r="CI10" s="15">
        <f t="shared" si="27"/>
        <v>4416.2348691</v>
      </c>
      <c r="CJ10" s="15">
        <v>461</v>
      </c>
      <c r="CM10" s="15">
        <f t="shared" si="28"/>
        <v>733.4190339</v>
      </c>
      <c r="CN10" s="15">
        <f t="shared" si="29"/>
        <v>733.4190339</v>
      </c>
      <c r="CO10" s="15">
        <v>75</v>
      </c>
      <c r="CR10" s="15">
        <f t="shared" si="30"/>
        <v>12.721926000000002</v>
      </c>
      <c r="CS10" s="15">
        <f t="shared" si="31"/>
        <v>12.721926000000002</v>
      </c>
      <c r="CW10" s="15">
        <f t="shared" si="32"/>
        <v>4668.3107457</v>
      </c>
      <c r="CX10" s="15">
        <f t="shared" si="33"/>
        <v>4668.3107457</v>
      </c>
      <c r="CY10" s="15">
        <v>493</v>
      </c>
      <c r="DB10" s="15">
        <f t="shared" si="34"/>
        <v>6764.0663124</v>
      </c>
      <c r="DC10" s="15">
        <f t="shared" si="35"/>
        <v>6764.0663124</v>
      </c>
      <c r="DD10" s="15">
        <v>718</v>
      </c>
      <c r="DG10" s="15">
        <f t="shared" si="36"/>
        <v>8558.493974699999</v>
      </c>
      <c r="DH10" s="15">
        <f t="shared" si="37"/>
        <v>8558.493974699999</v>
      </c>
      <c r="DI10" s="15">
        <v>872</v>
      </c>
      <c r="DL10" s="15">
        <f t="shared" si="38"/>
        <v>796.029084</v>
      </c>
      <c r="DM10" s="15">
        <f t="shared" si="39"/>
        <v>796.029084</v>
      </c>
      <c r="DN10" s="15">
        <v>85</v>
      </c>
      <c r="DQ10" s="33">
        <f t="shared" si="40"/>
        <v>15041.405722500002</v>
      </c>
      <c r="DR10" s="15">
        <f t="shared" si="41"/>
        <v>15041.405722500002</v>
      </c>
      <c r="DS10" s="15">
        <v>1569</v>
      </c>
      <c r="DV10" s="15">
        <f t="shared" si="42"/>
        <v>39023.78103779999</v>
      </c>
      <c r="DW10" s="15">
        <f t="shared" si="43"/>
        <v>39023.78103779999</v>
      </c>
      <c r="DX10" s="15">
        <v>4172</v>
      </c>
      <c r="EA10" s="15">
        <f t="shared" si="44"/>
        <v>2874.7009215000003</v>
      </c>
      <c r="EB10" s="15">
        <f t="shared" si="45"/>
        <v>2874.7009215000003</v>
      </c>
      <c r="EC10" s="15">
        <v>300</v>
      </c>
    </row>
    <row r="11" spans="1:133" ht="12.75">
      <c r="A11" s="2">
        <v>40634</v>
      </c>
      <c r="C11" s="16">
        <v>7630000</v>
      </c>
      <c r="D11" s="16">
        <v>3372834</v>
      </c>
      <c r="E11" s="16">
        <f t="shared" si="0"/>
        <v>11002834</v>
      </c>
      <c r="G11" s="16"/>
      <c r="H11" s="16"/>
      <c r="I11" s="16"/>
      <c r="O11" s="15">
        <v>2470000</v>
      </c>
      <c r="P11" s="15">
        <v>537975</v>
      </c>
      <c r="Q11" s="15">
        <f t="shared" si="1"/>
        <v>3007975</v>
      </c>
      <c r="S11" s="15">
        <v>3075000</v>
      </c>
      <c r="T11" s="15">
        <v>758050</v>
      </c>
      <c r="U11" s="15">
        <f t="shared" si="2"/>
        <v>3833050</v>
      </c>
      <c r="X11" s="15">
        <v>237250</v>
      </c>
      <c r="Y11" s="15">
        <f t="shared" si="3"/>
        <v>237250</v>
      </c>
      <c r="AA11" s="15">
        <v>90000</v>
      </c>
      <c r="AB11" s="15">
        <v>930850</v>
      </c>
      <c r="AC11" s="15">
        <f t="shared" si="4"/>
        <v>1020850</v>
      </c>
      <c r="AE11" s="16">
        <v>1995000</v>
      </c>
      <c r="AF11" s="16">
        <v>908709</v>
      </c>
      <c r="AG11" s="16">
        <f t="shared" si="5"/>
        <v>2903709</v>
      </c>
      <c r="AI11" s="15">
        <f t="shared" si="46"/>
        <v>179996.48100000003</v>
      </c>
      <c r="AJ11" s="33">
        <f t="shared" si="6"/>
        <v>81987.1790742</v>
      </c>
      <c r="AK11" s="33">
        <f t="shared" si="7"/>
        <v>261983.66007420002</v>
      </c>
      <c r="AL11" s="33">
        <v>8490</v>
      </c>
      <c r="AN11" s="15">
        <f t="shared" si="47"/>
        <v>1691.3609999999999</v>
      </c>
      <c r="AO11" s="15">
        <f t="shared" si="8"/>
        <v>770.4034902</v>
      </c>
      <c r="AP11" s="15">
        <f t="shared" si="9"/>
        <v>2461.7644901999997</v>
      </c>
      <c r="AQ11" s="15">
        <v>78</v>
      </c>
      <c r="AS11" s="33">
        <f t="shared" si="48"/>
        <v>54167.043</v>
      </c>
      <c r="AT11" s="15">
        <f t="shared" si="10"/>
        <v>24672.721542599997</v>
      </c>
      <c r="AU11" s="15">
        <f t="shared" si="11"/>
        <v>78839.7645426</v>
      </c>
      <c r="AV11" s="15">
        <v>2586</v>
      </c>
      <c r="AX11" s="15">
        <f t="shared" si="49"/>
        <v>453642.0525</v>
      </c>
      <c r="AY11" s="15">
        <f t="shared" si="12"/>
        <v>206630.8851555</v>
      </c>
      <c r="AZ11" s="15">
        <f t="shared" si="13"/>
        <v>660272.9376555</v>
      </c>
      <c r="BA11" s="15">
        <v>21774</v>
      </c>
      <c r="BC11" s="15">
        <f t="shared" si="50"/>
        <v>117415.9245</v>
      </c>
      <c r="BD11" s="15">
        <f t="shared" si="14"/>
        <v>53482.1590659</v>
      </c>
      <c r="BE11" s="15">
        <f t="shared" si="15"/>
        <v>170898.0835659</v>
      </c>
      <c r="BF11" s="15">
        <v>5450</v>
      </c>
      <c r="BH11" s="15">
        <f t="shared" si="51"/>
        <v>79499.952</v>
      </c>
      <c r="BI11" s="15">
        <f t="shared" si="16"/>
        <v>36211.6901664</v>
      </c>
      <c r="BJ11" s="15">
        <f t="shared" si="17"/>
        <v>115711.64216640001</v>
      </c>
      <c r="BK11" s="15">
        <v>3738</v>
      </c>
      <c r="BM11" s="15">
        <f t="shared" si="52"/>
        <v>12228.153</v>
      </c>
      <c r="BN11" s="15">
        <f t="shared" si="18"/>
        <v>5569.8409446000005</v>
      </c>
      <c r="BO11" s="15">
        <f t="shared" si="19"/>
        <v>17797.9939446</v>
      </c>
      <c r="BP11" s="15">
        <v>587</v>
      </c>
      <c r="BR11" s="15">
        <f t="shared" si="53"/>
        <v>27993.84</v>
      </c>
      <c r="BS11" s="15">
        <f t="shared" si="20"/>
        <v>12751.004687999999</v>
      </c>
      <c r="BT11" s="15">
        <f t="shared" si="21"/>
        <v>40744.844688</v>
      </c>
      <c r="BU11" s="15">
        <v>1341</v>
      </c>
      <c r="BW11" s="15">
        <f t="shared" si="54"/>
        <v>4693.6365000000005</v>
      </c>
      <c r="BX11" s="15">
        <f t="shared" si="22"/>
        <v>2137.9196643</v>
      </c>
      <c r="BY11" s="15">
        <f t="shared" si="23"/>
        <v>6831.5561643</v>
      </c>
      <c r="BZ11" s="15">
        <v>225</v>
      </c>
      <c r="CB11" s="15">
        <f t="shared" si="55"/>
        <v>5077.0755</v>
      </c>
      <c r="CC11" s="15">
        <f t="shared" si="24"/>
        <v>2312.5735341</v>
      </c>
      <c r="CD11" s="15">
        <f t="shared" si="25"/>
        <v>7389.6490341</v>
      </c>
      <c r="CE11" s="15">
        <v>245</v>
      </c>
      <c r="CG11" s="15">
        <f t="shared" si="56"/>
        <v>9695.5005</v>
      </c>
      <c r="CH11" s="15">
        <f t="shared" si="26"/>
        <v>4416.2348691</v>
      </c>
      <c r="CI11" s="15">
        <f t="shared" si="27"/>
        <v>14111.735369099999</v>
      </c>
      <c r="CJ11" s="15">
        <v>461</v>
      </c>
      <c r="CL11" s="15">
        <f>AE11*0.08071/100</f>
        <v>1610.1645</v>
      </c>
      <c r="CM11" s="15">
        <f t="shared" si="28"/>
        <v>733.4190339</v>
      </c>
      <c r="CN11" s="15">
        <f t="shared" si="29"/>
        <v>2343.5835339</v>
      </c>
      <c r="CO11" s="15">
        <v>75</v>
      </c>
      <c r="CQ11" s="15">
        <f t="shared" si="57"/>
        <v>27.93</v>
      </c>
      <c r="CR11" s="15">
        <f t="shared" si="30"/>
        <v>12.721926000000002</v>
      </c>
      <c r="CS11" s="15">
        <f t="shared" si="31"/>
        <v>40.651926</v>
      </c>
      <c r="CV11" s="15">
        <f t="shared" si="58"/>
        <v>10248.9135</v>
      </c>
      <c r="CW11" s="15">
        <f t="shared" si="32"/>
        <v>4668.3107457</v>
      </c>
      <c r="CX11" s="15">
        <f t="shared" si="33"/>
        <v>14917.2242457</v>
      </c>
      <c r="CY11" s="15">
        <v>493</v>
      </c>
      <c r="DA11" s="15">
        <f t="shared" si="59"/>
        <v>14849.982</v>
      </c>
      <c r="DB11" s="15">
        <f t="shared" si="34"/>
        <v>6764.0663124</v>
      </c>
      <c r="DC11" s="15">
        <f t="shared" si="35"/>
        <v>21614.048312400002</v>
      </c>
      <c r="DD11" s="15">
        <v>718</v>
      </c>
      <c r="DF11" s="15">
        <f t="shared" si="60"/>
        <v>18789.5085</v>
      </c>
      <c r="DG11" s="15">
        <f t="shared" si="36"/>
        <v>8558.493974699999</v>
      </c>
      <c r="DH11" s="15">
        <f t="shared" si="37"/>
        <v>27348.0024747</v>
      </c>
      <c r="DI11" s="15">
        <v>872</v>
      </c>
      <c r="DK11" s="15">
        <f t="shared" si="61"/>
        <v>1747.62</v>
      </c>
      <c r="DL11" s="15">
        <f t="shared" si="38"/>
        <v>796.029084</v>
      </c>
      <c r="DM11" s="15">
        <f t="shared" si="39"/>
        <v>2543.6490839999997</v>
      </c>
      <c r="DN11" s="15">
        <v>85</v>
      </c>
      <c r="DP11" s="15">
        <f t="shared" si="62"/>
        <v>33022.2375</v>
      </c>
      <c r="DQ11" s="33">
        <f t="shared" si="40"/>
        <v>15041.405722500002</v>
      </c>
      <c r="DR11" s="15">
        <f t="shared" si="41"/>
        <v>48063.6432225</v>
      </c>
      <c r="DS11" s="15">
        <v>1569</v>
      </c>
      <c r="DU11" s="15">
        <f t="shared" si="63"/>
        <v>85673.67899999999</v>
      </c>
      <c r="DV11" s="15">
        <f t="shared" si="42"/>
        <v>39023.78103779999</v>
      </c>
      <c r="DW11" s="15">
        <f t="shared" si="43"/>
        <v>124697.46003779999</v>
      </c>
      <c r="DX11" s="15">
        <v>4172</v>
      </c>
      <c r="DZ11" s="15">
        <f t="shared" si="64"/>
        <v>6311.1825</v>
      </c>
      <c r="EA11" s="15">
        <f t="shared" si="44"/>
        <v>2874.7009215000003</v>
      </c>
      <c r="EB11" s="15">
        <f t="shared" si="45"/>
        <v>9185.8834215</v>
      </c>
      <c r="EC11" s="15">
        <v>300</v>
      </c>
    </row>
    <row r="12" spans="1:133" ht="12.75">
      <c r="A12" s="2">
        <v>40817</v>
      </c>
      <c r="D12" s="16">
        <v>3258384</v>
      </c>
      <c r="E12" s="16">
        <f t="shared" si="0"/>
        <v>3258384</v>
      </c>
      <c r="G12" s="16"/>
      <c r="H12" s="16"/>
      <c r="I12" s="16"/>
      <c r="P12" s="15">
        <v>500925</v>
      </c>
      <c r="Q12" s="15">
        <f t="shared" si="1"/>
        <v>500925</v>
      </c>
      <c r="T12" s="15">
        <v>711925</v>
      </c>
      <c r="U12" s="15">
        <f t="shared" si="2"/>
        <v>711925</v>
      </c>
      <c r="X12" s="15">
        <v>237250</v>
      </c>
      <c r="Y12" s="15">
        <f t="shared" si="3"/>
        <v>237250</v>
      </c>
      <c r="AB12" s="15">
        <v>929500</v>
      </c>
      <c r="AC12" s="15">
        <f t="shared" si="4"/>
        <v>929500</v>
      </c>
      <c r="AE12" s="16"/>
      <c r="AF12" s="16">
        <v>878784</v>
      </c>
      <c r="AG12" s="16">
        <f t="shared" si="5"/>
        <v>878784</v>
      </c>
      <c r="AJ12" s="33">
        <f t="shared" si="6"/>
        <v>79287.2318592</v>
      </c>
      <c r="AK12" s="33">
        <f t="shared" si="7"/>
        <v>79287.2318592</v>
      </c>
      <c r="AL12" s="33">
        <v>8490</v>
      </c>
      <c r="AO12" s="15">
        <f t="shared" si="8"/>
        <v>745.0330752</v>
      </c>
      <c r="AP12" s="15">
        <f t="shared" si="9"/>
        <v>745.0330752</v>
      </c>
      <c r="AQ12" s="15">
        <v>78</v>
      </c>
      <c r="AS12" s="33"/>
      <c r="AT12" s="15">
        <f t="shared" si="10"/>
        <v>23860.2158976</v>
      </c>
      <c r="AU12" s="15">
        <f t="shared" si="11"/>
        <v>23860.2158976</v>
      </c>
      <c r="AV12" s="15">
        <v>2586</v>
      </c>
      <c r="AY12" s="15">
        <f t="shared" si="12"/>
        <v>199826.254368</v>
      </c>
      <c r="AZ12" s="15">
        <f t="shared" si="13"/>
        <v>199826.254368</v>
      </c>
      <c r="BA12" s="15">
        <v>21774</v>
      </c>
      <c r="BD12" s="15">
        <f t="shared" si="14"/>
        <v>51720.9201984</v>
      </c>
      <c r="BE12" s="15">
        <f t="shared" si="15"/>
        <v>51720.9201984</v>
      </c>
      <c r="BF12" s="15">
        <v>5450</v>
      </c>
      <c r="BI12" s="15">
        <f t="shared" si="16"/>
        <v>35019.1908864</v>
      </c>
      <c r="BJ12" s="15">
        <f t="shared" si="17"/>
        <v>35019.1908864</v>
      </c>
      <c r="BK12" s="15">
        <v>3738</v>
      </c>
      <c r="BN12" s="15">
        <f t="shared" si="18"/>
        <v>5386.4186496</v>
      </c>
      <c r="BO12" s="15">
        <f t="shared" si="19"/>
        <v>5386.4186496</v>
      </c>
      <c r="BP12" s="15">
        <v>587</v>
      </c>
      <c r="BS12" s="15">
        <f t="shared" si="20"/>
        <v>12331.097087999999</v>
      </c>
      <c r="BT12" s="15">
        <f t="shared" si="21"/>
        <v>12331.097087999999</v>
      </c>
      <c r="BU12" s="15">
        <v>1341</v>
      </c>
      <c r="BX12" s="15">
        <f t="shared" si="22"/>
        <v>2067.5151167999998</v>
      </c>
      <c r="BY12" s="15">
        <f t="shared" si="23"/>
        <v>2067.5151167999998</v>
      </c>
      <c r="BZ12" s="15">
        <v>225</v>
      </c>
      <c r="CC12" s="15">
        <f t="shared" si="24"/>
        <v>2236.4174015999997</v>
      </c>
      <c r="CD12" s="15">
        <f t="shared" si="25"/>
        <v>2236.4174015999997</v>
      </c>
      <c r="CE12" s="15">
        <v>245</v>
      </c>
      <c r="CH12" s="15">
        <f t="shared" si="26"/>
        <v>4270.8023616</v>
      </c>
      <c r="CI12" s="15">
        <f t="shared" si="27"/>
        <v>4270.8023616</v>
      </c>
      <c r="CJ12" s="15">
        <v>461</v>
      </c>
      <c r="CM12" s="15">
        <f t="shared" si="28"/>
        <v>709.2665664</v>
      </c>
      <c r="CN12" s="15">
        <f t="shared" si="29"/>
        <v>709.2665664</v>
      </c>
      <c r="CO12" s="15">
        <v>75</v>
      </c>
      <c r="CR12" s="15">
        <f t="shared" si="30"/>
        <v>12.302976</v>
      </c>
      <c r="CS12" s="15">
        <f t="shared" si="31"/>
        <v>12.302976</v>
      </c>
      <c r="CW12" s="15">
        <f t="shared" si="32"/>
        <v>4514.5770432</v>
      </c>
      <c r="CX12" s="15">
        <f t="shared" si="33"/>
        <v>4514.5770432</v>
      </c>
      <c r="CY12" s="15">
        <v>493</v>
      </c>
      <c r="DB12" s="15">
        <f t="shared" si="34"/>
        <v>6541.3165824</v>
      </c>
      <c r="DC12" s="15">
        <f t="shared" si="35"/>
        <v>6541.3165824</v>
      </c>
      <c r="DD12" s="15">
        <v>718</v>
      </c>
      <c r="DG12" s="15">
        <f t="shared" si="36"/>
        <v>8276.6513472</v>
      </c>
      <c r="DH12" s="15">
        <f t="shared" si="37"/>
        <v>8276.6513472</v>
      </c>
      <c r="DI12" s="15">
        <v>872</v>
      </c>
      <c r="DL12" s="15">
        <f t="shared" si="38"/>
        <v>769.8147839999999</v>
      </c>
      <c r="DM12" s="15">
        <f t="shared" si="39"/>
        <v>769.8147839999999</v>
      </c>
      <c r="DN12" s="15">
        <v>85</v>
      </c>
      <c r="DQ12" s="33">
        <f t="shared" si="40"/>
        <v>14546.07216</v>
      </c>
      <c r="DR12" s="15">
        <f t="shared" si="41"/>
        <v>14546.07216</v>
      </c>
      <c r="DS12" s="15">
        <v>1569</v>
      </c>
      <c r="DV12" s="15">
        <f t="shared" si="42"/>
        <v>37738.6758528</v>
      </c>
      <c r="DW12" s="15">
        <f t="shared" si="43"/>
        <v>37738.6758528</v>
      </c>
      <c r="DX12" s="15">
        <v>4172</v>
      </c>
      <c r="EA12" s="15">
        <f t="shared" si="44"/>
        <v>2780.033184</v>
      </c>
      <c r="EB12" s="15">
        <f t="shared" si="45"/>
        <v>2780.033184</v>
      </c>
      <c r="EC12" s="15">
        <v>300</v>
      </c>
    </row>
    <row r="13" spans="1:133" ht="12.75">
      <c r="A13" s="2">
        <v>41000</v>
      </c>
      <c r="C13" s="16">
        <v>7860000</v>
      </c>
      <c r="D13" s="16">
        <v>3258384</v>
      </c>
      <c r="E13" s="16">
        <f t="shared" si="0"/>
        <v>11118384</v>
      </c>
      <c r="G13" s="16"/>
      <c r="H13" s="16"/>
      <c r="I13" s="16"/>
      <c r="O13" s="15">
        <v>2545000</v>
      </c>
      <c r="P13" s="15">
        <v>500925</v>
      </c>
      <c r="Q13" s="15">
        <f t="shared" si="1"/>
        <v>3045925</v>
      </c>
      <c r="S13" s="15">
        <v>3170000</v>
      </c>
      <c r="T13" s="15">
        <v>711925</v>
      </c>
      <c r="U13" s="15">
        <f t="shared" si="2"/>
        <v>3881925</v>
      </c>
      <c r="X13" s="15">
        <v>237250</v>
      </c>
      <c r="Y13" s="15">
        <f t="shared" si="3"/>
        <v>237250</v>
      </c>
      <c r="AA13" s="15">
        <v>90000</v>
      </c>
      <c r="AB13" s="15">
        <v>929500</v>
      </c>
      <c r="AC13" s="15">
        <f t="shared" si="4"/>
        <v>1019500</v>
      </c>
      <c r="AE13" s="16">
        <v>2055000</v>
      </c>
      <c r="AF13" s="16">
        <v>878784</v>
      </c>
      <c r="AG13" s="16">
        <f t="shared" si="5"/>
        <v>2933784</v>
      </c>
      <c r="AI13" s="15">
        <f t="shared" si="46"/>
        <v>185409.90899999999</v>
      </c>
      <c r="AJ13" s="33">
        <f t="shared" si="6"/>
        <v>79287.2318592</v>
      </c>
      <c r="AK13" s="33">
        <f t="shared" si="7"/>
        <v>264697.1408592</v>
      </c>
      <c r="AL13" s="33">
        <v>8490</v>
      </c>
      <c r="AN13" s="15">
        <f t="shared" si="47"/>
        <v>1742.229</v>
      </c>
      <c r="AO13" s="15">
        <f t="shared" si="8"/>
        <v>745.0330752</v>
      </c>
      <c r="AP13" s="15">
        <f t="shared" si="9"/>
        <v>2487.2620752000003</v>
      </c>
      <c r="AQ13" s="15">
        <v>78</v>
      </c>
      <c r="AS13" s="33">
        <f t="shared" si="48"/>
        <v>55796.127</v>
      </c>
      <c r="AT13" s="15">
        <f t="shared" si="10"/>
        <v>23860.2158976</v>
      </c>
      <c r="AU13" s="15">
        <f t="shared" si="11"/>
        <v>79656.3428976</v>
      </c>
      <c r="AV13" s="15">
        <v>2586</v>
      </c>
      <c r="AX13" s="15">
        <f t="shared" si="49"/>
        <v>467285.4225</v>
      </c>
      <c r="AY13" s="15">
        <f t="shared" si="12"/>
        <v>199826.254368</v>
      </c>
      <c r="AZ13" s="15">
        <f t="shared" si="13"/>
        <v>667111.676868</v>
      </c>
      <c r="BA13" s="15">
        <v>21774</v>
      </c>
      <c r="BC13" s="15">
        <f t="shared" si="50"/>
        <v>120947.2305</v>
      </c>
      <c r="BD13" s="15">
        <f t="shared" si="14"/>
        <v>51720.9201984</v>
      </c>
      <c r="BE13" s="15">
        <f t="shared" si="15"/>
        <v>172668.15069840002</v>
      </c>
      <c r="BF13" s="15">
        <v>5450</v>
      </c>
      <c r="BH13" s="15">
        <f t="shared" si="51"/>
        <v>81890.928</v>
      </c>
      <c r="BI13" s="15">
        <f t="shared" si="16"/>
        <v>35019.1908864</v>
      </c>
      <c r="BJ13" s="15">
        <f t="shared" si="17"/>
        <v>116910.1188864</v>
      </c>
      <c r="BK13" s="15">
        <v>3738</v>
      </c>
      <c r="BM13" s="15">
        <f t="shared" si="52"/>
        <v>12595.917000000001</v>
      </c>
      <c r="BN13" s="15">
        <f t="shared" si="18"/>
        <v>5386.4186496</v>
      </c>
      <c r="BO13" s="15">
        <f t="shared" si="19"/>
        <v>17982.3356496</v>
      </c>
      <c r="BP13" s="15">
        <v>587</v>
      </c>
      <c r="BR13" s="15">
        <f t="shared" si="53"/>
        <v>28835.76</v>
      </c>
      <c r="BS13" s="15">
        <f t="shared" si="20"/>
        <v>12331.097087999999</v>
      </c>
      <c r="BT13" s="15">
        <f t="shared" si="21"/>
        <v>41166.857088</v>
      </c>
      <c r="BU13" s="15">
        <v>1341</v>
      </c>
      <c r="BW13" s="15">
        <f t="shared" si="54"/>
        <v>4834.798500000001</v>
      </c>
      <c r="BX13" s="15">
        <f t="shared" si="22"/>
        <v>2067.5151167999998</v>
      </c>
      <c r="BY13" s="15">
        <f t="shared" si="23"/>
        <v>6902.3136168</v>
      </c>
      <c r="BZ13" s="15">
        <v>225</v>
      </c>
      <c r="CB13" s="15">
        <f t="shared" si="55"/>
        <v>5229.7695</v>
      </c>
      <c r="CC13" s="15">
        <f t="shared" si="24"/>
        <v>2236.4174015999997</v>
      </c>
      <c r="CD13" s="15">
        <f t="shared" si="25"/>
        <v>7466.1869016</v>
      </c>
      <c r="CE13" s="15">
        <v>245</v>
      </c>
      <c r="CG13" s="15">
        <f t="shared" si="56"/>
        <v>9987.0945</v>
      </c>
      <c r="CH13" s="15">
        <f t="shared" si="26"/>
        <v>4270.8023616</v>
      </c>
      <c r="CI13" s="15">
        <f t="shared" si="27"/>
        <v>14257.896861599998</v>
      </c>
      <c r="CJ13" s="15">
        <v>461</v>
      </c>
      <c r="CL13" s="15">
        <f>AE13*0.08071/100</f>
        <v>1658.5905000000002</v>
      </c>
      <c r="CM13" s="15">
        <f t="shared" si="28"/>
        <v>709.2665664</v>
      </c>
      <c r="CN13" s="15">
        <f t="shared" si="29"/>
        <v>2367.8570664000003</v>
      </c>
      <c r="CO13" s="15">
        <v>75</v>
      </c>
      <c r="CQ13" s="15">
        <f t="shared" si="57"/>
        <v>28.77</v>
      </c>
      <c r="CR13" s="15">
        <f t="shared" si="30"/>
        <v>12.302976</v>
      </c>
      <c r="CS13" s="15">
        <f t="shared" si="31"/>
        <v>41.072976</v>
      </c>
      <c r="CV13" s="15">
        <f t="shared" si="58"/>
        <v>10557.151500000002</v>
      </c>
      <c r="CW13" s="15">
        <f t="shared" si="32"/>
        <v>4514.5770432</v>
      </c>
      <c r="CX13" s="15">
        <f t="shared" si="33"/>
        <v>15071.728543200003</v>
      </c>
      <c r="CY13" s="15">
        <v>493</v>
      </c>
      <c r="DA13" s="15">
        <f t="shared" si="59"/>
        <v>15296.598</v>
      </c>
      <c r="DB13" s="15">
        <f t="shared" si="34"/>
        <v>6541.3165824</v>
      </c>
      <c r="DC13" s="15">
        <f t="shared" si="35"/>
        <v>21837.9145824</v>
      </c>
      <c r="DD13" s="15">
        <v>718</v>
      </c>
      <c r="DF13" s="15">
        <f t="shared" si="60"/>
        <v>19354.606499999998</v>
      </c>
      <c r="DG13" s="15">
        <f t="shared" si="36"/>
        <v>8276.6513472</v>
      </c>
      <c r="DH13" s="15">
        <f t="shared" si="37"/>
        <v>27631.2578472</v>
      </c>
      <c r="DI13" s="15">
        <v>872</v>
      </c>
      <c r="DK13" s="15">
        <f t="shared" si="61"/>
        <v>1800.18</v>
      </c>
      <c r="DL13" s="15">
        <f t="shared" si="38"/>
        <v>769.8147839999999</v>
      </c>
      <c r="DM13" s="15">
        <f t="shared" si="39"/>
        <v>2569.994784</v>
      </c>
      <c r="DN13" s="15">
        <v>85</v>
      </c>
      <c r="DP13" s="15">
        <f t="shared" si="62"/>
        <v>34015.3875</v>
      </c>
      <c r="DQ13" s="33">
        <f t="shared" si="40"/>
        <v>14546.07216</v>
      </c>
      <c r="DR13" s="15">
        <f t="shared" si="41"/>
        <v>48561.45965999999</v>
      </c>
      <c r="DS13" s="15">
        <v>1569</v>
      </c>
      <c r="DU13" s="15">
        <f t="shared" si="63"/>
        <v>88250.33099999999</v>
      </c>
      <c r="DV13" s="15">
        <f t="shared" si="42"/>
        <v>37738.6758528</v>
      </c>
      <c r="DW13" s="15">
        <f t="shared" si="43"/>
        <v>125989.0068528</v>
      </c>
      <c r="DX13" s="15">
        <v>4172</v>
      </c>
      <c r="DZ13" s="15">
        <f t="shared" si="64"/>
        <v>6500.9925</v>
      </c>
      <c r="EA13" s="15">
        <f t="shared" si="44"/>
        <v>2780.033184</v>
      </c>
      <c r="EB13" s="15">
        <f t="shared" si="45"/>
        <v>9281.025684</v>
      </c>
      <c r="EC13" s="15">
        <v>300</v>
      </c>
    </row>
    <row r="14" spans="1:133" ht="12.75">
      <c r="A14" s="2">
        <v>41183</v>
      </c>
      <c r="D14" s="16">
        <v>3140484</v>
      </c>
      <c r="E14" s="16">
        <f t="shared" si="0"/>
        <v>3140484</v>
      </c>
      <c r="G14" s="16"/>
      <c r="H14" s="16"/>
      <c r="I14" s="16"/>
      <c r="P14" s="15">
        <v>462750</v>
      </c>
      <c r="Q14" s="15">
        <f t="shared" si="1"/>
        <v>462750</v>
      </c>
      <c r="T14" s="15">
        <v>664375</v>
      </c>
      <c r="U14" s="15">
        <f t="shared" si="2"/>
        <v>664375</v>
      </c>
      <c r="X14" s="15">
        <v>237250</v>
      </c>
      <c r="Y14" s="15">
        <f t="shared" si="3"/>
        <v>237250</v>
      </c>
      <c r="AB14" s="15">
        <v>928150</v>
      </c>
      <c r="AC14" s="15">
        <f t="shared" si="4"/>
        <v>928150</v>
      </c>
      <c r="AE14" s="16"/>
      <c r="AF14" s="16">
        <v>847959</v>
      </c>
      <c r="AG14" s="16">
        <f t="shared" si="5"/>
        <v>847959</v>
      </c>
      <c r="AJ14" s="33">
        <f t="shared" si="6"/>
        <v>76506.0832242</v>
      </c>
      <c r="AK14" s="33">
        <f t="shared" si="7"/>
        <v>76506.0832242</v>
      </c>
      <c r="AL14" s="33">
        <v>8490</v>
      </c>
      <c r="AO14" s="15">
        <f t="shared" si="8"/>
        <v>718.8996402</v>
      </c>
      <c r="AP14" s="15">
        <f t="shared" si="9"/>
        <v>718.8996402</v>
      </c>
      <c r="AQ14" s="15">
        <v>78</v>
      </c>
      <c r="AS14" s="33"/>
      <c r="AT14" s="15">
        <f t="shared" si="10"/>
        <v>23023.2739926</v>
      </c>
      <c r="AU14" s="15">
        <f t="shared" si="11"/>
        <v>23023.2739926</v>
      </c>
      <c r="AV14" s="15">
        <v>2586</v>
      </c>
      <c r="AY14" s="15">
        <f t="shared" si="12"/>
        <v>192816.9730305</v>
      </c>
      <c r="AZ14" s="15">
        <f t="shared" si="13"/>
        <v>192816.9730305</v>
      </c>
      <c r="BA14" s="15">
        <v>21774</v>
      </c>
      <c r="BD14" s="15">
        <f t="shared" si="14"/>
        <v>49906.7117409</v>
      </c>
      <c r="BE14" s="15">
        <f t="shared" si="15"/>
        <v>49906.7117409</v>
      </c>
      <c r="BF14" s="15">
        <v>5450</v>
      </c>
      <c r="BI14" s="15">
        <f t="shared" si="16"/>
        <v>33790.8269664</v>
      </c>
      <c r="BJ14" s="15">
        <f t="shared" si="17"/>
        <v>33790.8269664</v>
      </c>
      <c r="BK14" s="15">
        <v>3738</v>
      </c>
      <c r="BN14" s="15">
        <f t="shared" si="18"/>
        <v>5197.4798946</v>
      </c>
      <c r="BO14" s="15">
        <f t="shared" si="19"/>
        <v>5197.4798946</v>
      </c>
      <c r="BP14" s="15">
        <v>587</v>
      </c>
      <c r="BS14" s="15">
        <f t="shared" si="20"/>
        <v>11898.560688</v>
      </c>
      <c r="BT14" s="15">
        <f t="shared" si="21"/>
        <v>11898.560688</v>
      </c>
      <c r="BU14" s="15">
        <v>1341</v>
      </c>
      <c r="BX14" s="15">
        <f t="shared" si="22"/>
        <v>1994.9931393</v>
      </c>
      <c r="BY14" s="15">
        <f t="shared" si="23"/>
        <v>1994.9931393</v>
      </c>
      <c r="BZ14" s="15">
        <v>225</v>
      </c>
      <c r="CC14" s="15">
        <f t="shared" si="24"/>
        <v>2157.9708591</v>
      </c>
      <c r="CD14" s="15">
        <f t="shared" si="25"/>
        <v>2157.9708591</v>
      </c>
      <c r="CE14" s="15">
        <v>245</v>
      </c>
      <c r="CH14" s="15">
        <f t="shared" si="26"/>
        <v>4120.995944099999</v>
      </c>
      <c r="CI14" s="15">
        <f t="shared" si="27"/>
        <v>4120.995944099999</v>
      </c>
      <c r="CJ14" s="15">
        <v>461</v>
      </c>
      <c r="CM14" s="15">
        <f t="shared" si="28"/>
        <v>684.3877089</v>
      </c>
      <c r="CN14" s="15">
        <f t="shared" si="29"/>
        <v>684.3877089</v>
      </c>
      <c r="CO14" s="15">
        <v>75</v>
      </c>
      <c r="CR14" s="15">
        <f t="shared" si="30"/>
        <v>11.871426</v>
      </c>
      <c r="CS14" s="15">
        <f t="shared" si="31"/>
        <v>11.871426</v>
      </c>
      <c r="CW14" s="15">
        <f t="shared" si="32"/>
        <v>4356.2197707000005</v>
      </c>
      <c r="CX14" s="15">
        <f t="shared" si="33"/>
        <v>4356.2197707000005</v>
      </c>
      <c r="CY14" s="15">
        <v>493</v>
      </c>
      <c r="DB14" s="15">
        <f t="shared" si="34"/>
        <v>6311.8676124</v>
      </c>
      <c r="DC14" s="15">
        <f t="shared" si="35"/>
        <v>6311.8676124</v>
      </c>
      <c r="DD14" s="15">
        <v>718</v>
      </c>
      <c r="DG14" s="15">
        <f t="shared" si="36"/>
        <v>7986.3322497</v>
      </c>
      <c r="DH14" s="15">
        <f t="shared" si="37"/>
        <v>7986.3322497</v>
      </c>
      <c r="DI14" s="15">
        <v>872</v>
      </c>
      <c r="DL14" s="15">
        <f t="shared" si="38"/>
        <v>742.812084</v>
      </c>
      <c r="DM14" s="15">
        <f t="shared" si="39"/>
        <v>742.812084</v>
      </c>
      <c r="DN14" s="15">
        <v>85</v>
      </c>
      <c r="DQ14" s="33">
        <f t="shared" si="40"/>
        <v>14035.841347500002</v>
      </c>
      <c r="DR14" s="15">
        <f t="shared" si="41"/>
        <v>14035.841347500002</v>
      </c>
      <c r="DS14" s="15">
        <v>1569</v>
      </c>
      <c r="DV14" s="15">
        <f t="shared" si="42"/>
        <v>36414.9208878</v>
      </c>
      <c r="DW14" s="15">
        <f t="shared" si="43"/>
        <v>36414.9208878</v>
      </c>
      <c r="DX14" s="15">
        <v>4172</v>
      </c>
      <c r="EA14" s="15">
        <f t="shared" si="44"/>
        <v>2682.5182965000004</v>
      </c>
      <c r="EB14" s="15">
        <f t="shared" si="45"/>
        <v>2682.5182965000004</v>
      </c>
      <c r="EC14" s="15">
        <v>300</v>
      </c>
    </row>
    <row r="15" spans="1:133" ht="12.75">
      <c r="A15" s="2">
        <v>41365</v>
      </c>
      <c r="C15" s="16">
        <v>12575000</v>
      </c>
      <c r="D15" s="16">
        <v>3140484</v>
      </c>
      <c r="E15" s="16">
        <f t="shared" si="0"/>
        <v>15715484</v>
      </c>
      <c r="G15" s="16"/>
      <c r="H15" s="16"/>
      <c r="I15" s="16"/>
      <c r="O15" s="15">
        <v>2620000</v>
      </c>
      <c r="P15" s="15">
        <v>462750</v>
      </c>
      <c r="Q15" s="15">
        <f t="shared" si="1"/>
        <v>3082750</v>
      </c>
      <c r="S15" s="15">
        <v>3265000</v>
      </c>
      <c r="T15" s="15">
        <v>664375</v>
      </c>
      <c r="U15" s="15">
        <f t="shared" si="2"/>
        <v>3929375</v>
      </c>
      <c r="X15" s="15">
        <v>237250</v>
      </c>
      <c r="Y15" s="15">
        <f t="shared" si="3"/>
        <v>237250</v>
      </c>
      <c r="AA15" s="15">
        <v>4575000</v>
      </c>
      <c r="AB15" s="15">
        <v>928150</v>
      </c>
      <c r="AC15" s="15">
        <f t="shared" si="4"/>
        <v>5503150</v>
      </c>
      <c r="AE15" s="16">
        <v>2115000</v>
      </c>
      <c r="AF15" s="16">
        <v>847959</v>
      </c>
      <c r="AG15" s="16">
        <f t="shared" si="5"/>
        <v>2962959</v>
      </c>
      <c r="AI15" s="15">
        <f t="shared" si="46"/>
        <v>190823.337</v>
      </c>
      <c r="AJ15" s="33">
        <f t="shared" si="6"/>
        <v>76506.0832242</v>
      </c>
      <c r="AK15" s="33">
        <f t="shared" si="7"/>
        <v>267329.4202242</v>
      </c>
      <c r="AL15" s="33">
        <v>8490</v>
      </c>
      <c r="AN15" s="15">
        <f t="shared" si="47"/>
        <v>1793.0969999999998</v>
      </c>
      <c r="AO15" s="15">
        <f t="shared" si="8"/>
        <v>718.8996402</v>
      </c>
      <c r="AP15" s="15">
        <f t="shared" si="9"/>
        <v>2511.9966402</v>
      </c>
      <c r="AQ15" s="15">
        <v>78</v>
      </c>
      <c r="AS15" s="33">
        <f t="shared" si="48"/>
        <v>57425.210999999996</v>
      </c>
      <c r="AT15" s="15">
        <f t="shared" si="10"/>
        <v>23023.2739926</v>
      </c>
      <c r="AU15" s="15">
        <f t="shared" si="11"/>
        <v>80448.48499259999</v>
      </c>
      <c r="AV15" s="15">
        <v>2586</v>
      </c>
      <c r="AX15" s="15">
        <f t="shared" si="49"/>
        <v>480928.7925</v>
      </c>
      <c r="AY15" s="15">
        <f t="shared" si="12"/>
        <v>192816.9730305</v>
      </c>
      <c r="AZ15" s="15">
        <f t="shared" si="13"/>
        <v>673745.7655305</v>
      </c>
      <c r="BA15" s="15">
        <v>21774</v>
      </c>
      <c r="BC15" s="15">
        <f t="shared" si="50"/>
        <v>124478.5365</v>
      </c>
      <c r="BD15" s="15">
        <f t="shared" si="14"/>
        <v>49906.7117409</v>
      </c>
      <c r="BE15" s="15">
        <f t="shared" si="15"/>
        <v>174385.2482409</v>
      </c>
      <c r="BF15" s="15">
        <v>5450</v>
      </c>
      <c r="BH15" s="15">
        <f t="shared" si="51"/>
        <v>84281.90400000001</v>
      </c>
      <c r="BI15" s="15">
        <f t="shared" si="16"/>
        <v>33790.8269664</v>
      </c>
      <c r="BJ15" s="15">
        <f t="shared" si="17"/>
        <v>118072.7309664</v>
      </c>
      <c r="BK15" s="15">
        <v>3738</v>
      </c>
      <c r="BM15" s="15">
        <f t="shared" si="52"/>
        <v>12963.681</v>
      </c>
      <c r="BN15" s="15">
        <f t="shared" si="18"/>
        <v>5197.4798946</v>
      </c>
      <c r="BO15" s="15">
        <f t="shared" si="19"/>
        <v>18161.1608946</v>
      </c>
      <c r="BP15" s="15">
        <v>587</v>
      </c>
      <c r="BR15" s="15">
        <f t="shared" si="53"/>
        <v>29677.68</v>
      </c>
      <c r="BS15" s="15">
        <f t="shared" si="20"/>
        <v>11898.560688</v>
      </c>
      <c r="BT15" s="15">
        <f t="shared" si="21"/>
        <v>41576.240688</v>
      </c>
      <c r="BU15" s="15">
        <v>1341</v>
      </c>
      <c r="BW15" s="15">
        <f t="shared" si="54"/>
        <v>4975.9605</v>
      </c>
      <c r="BX15" s="15">
        <f t="shared" si="22"/>
        <v>1994.9931393</v>
      </c>
      <c r="BY15" s="15">
        <f t="shared" si="23"/>
        <v>6970.9536393</v>
      </c>
      <c r="BZ15" s="15">
        <v>225</v>
      </c>
      <c r="CB15" s="15">
        <f t="shared" si="55"/>
        <v>5382.4635</v>
      </c>
      <c r="CC15" s="15">
        <f t="shared" si="24"/>
        <v>2157.9708591</v>
      </c>
      <c r="CD15" s="15">
        <f t="shared" si="25"/>
        <v>7540.4343591</v>
      </c>
      <c r="CE15" s="15">
        <v>245</v>
      </c>
      <c r="CG15" s="15">
        <f t="shared" si="56"/>
        <v>10278.6885</v>
      </c>
      <c r="CH15" s="15">
        <f t="shared" si="26"/>
        <v>4120.995944099999</v>
      </c>
      <c r="CI15" s="15">
        <f t="shared" si="27"/>
        <v>14399.6844441</v>
      </c>
      <c r="CJ15" s="15">
        <v>461</v>
      </c>
      <c r="CL15" s="15">
        <f>AE15*0.08071/100</f>
        <v>1707.0165</v>
      </c>
      <c r="CM15" s="15">
        <f t="shared" si="28"/>
        <v>684.3877089</v>
      </c>
      <c r="CN15" s="15">
        <f t="shared" si="29"/>
        <v>2391.4042089</v>
      </c>
      <c r="CO15" s="15">
        <v>75</v>
      </c>
      <c r="CQ15" s="15">
        <f t="shared" si="57"/>
        <v>29.61</v>
      </c>
      <c r="CR15" s="15">
        <f t="shared" si="30"/>
        <v>11.871426</v>
      </c>
      <c r="CS15" s="15">
        <f t="shared" si="31"/>
        <v>41.481426</v>
      </c>
      <c r="CV15" s="15">
        <f t="shared" si="58"/>
        <v>10865.3895</v>
      </c>
      <c r="CW15" s="15">
        <f t="shared" si="32"/>
        <v>4356.2197707000005</v>
      </c>
      <c r="CX15" s="15">
        <f t="shared" si="33"/>
        <v>15221.609270699999</v>
      </c>
      <c r="CY15" s="15">
        <v>493</v>
      </c>
      <c r="DA15" s="15">
        <f t="shared" si="59"/>
        <v>15743.214000000002</v>
      </c>
      <c r="DB15" s="15">
        <f t="shared" si="34"/>
        <v>6311.8676124</v>
      </c>
      <c r="DC15" s="15">
        <f t="shared" si="35"/>
        <v>22055.0816124</v>
      </c>
      <c r="DD15" s="15">
        <v>718</v>
      </c>
      <c r="DF15" s="15">
        <f t="shared" si="60"/>
        <v>19919.7045</v>
      </c>
      <c r="DG15" s="15">
        <f t="shared" si="36"/>
        <v>7986.3322497</v>
      </c>
      <c r="DH15" s="15">
        <f t="shared" si="37"/>
        <v>27906.0367497</v>
      </c>
      <c r="DI15" s="15">
        <v>872</v>
      </c>
      <c r="DK15" s="15">
        <f t="shared" si="61"/>
        <v>1852.74</v>
      </c>
      <c r="DL15" s="15">
        <f t="shared" si="38"/>
        <v>742.812084</v>
      </c>
      <c r="DM15" s="15">
        <f t="shared" si="39"/>
        <v>2595.552084</v>
      </c>
      <c r="DN15" s="15">
        <v>85</v>
      </c>
      <c r="DP15" s="15">
        <f t="shared" si="62"/>
        <v>35008.5375</v>
      </c>
      <c r="DQ15" s="33">
        <f t="shared" si="40"/>
        <v>14035.841347500002</v>
      </c>
      <c r="DR15" s="15">
        <f t="shared" si="41"/>
        <v>49044.378847500004</v>
      </c>
      <c r="DS15" s="15">
        <v>1569</v>
      </c>
      <c r="DU15" s="15">
        <f t="shared" si="63"/>
        <v>90826.983</v>
      </c>
      <c r="DV15" s="15">
        <f t="shared" si="42"/>
        <v>36414.9208878</v>
      </c>
      <c r="DW15" s="15">
        <f t="shared" si="43"/>
        <v>127241.9038878</v>
      </c>
      <c r="DX15" s="15">
        <v>4172</v>
      </c>
      <c r="DZ15" s="15">
        <f t="shared" si="64"/>
        <v>6690.8025</v>
      </c>
      <c r="EA15" s="15">
        <f t="shared" si="44"/>
        <v>2682.5182965000004</v>
      </c>
      <c r="EB15" s="15">
        <f t="shared" si="45"/>
        <v>9373.3207965</v>
      </c>
      <c r="EC15" s="15">
        <v>300</v>
      </c>
    </row>
    <row r="16" spans="1:133" ht="12.75">
      <c r="A16" s="2">
        <v>41548</v>
      </c>
      <c r="D16" s="16">
        <v>2826109</v>
      </c>
      <c r="E16" s="16">
        <f t="shared" si="0"/>
        <v>2826109</v>
      </c>
      <c r="G16" s="16"/>
      <c r="H16" s="16"/>
      <c r="I16" s="16"/>
      <c r="P16" s="15">
        <v>397250</v>
      </c>
      <c r="Q16" s="15">
        <f t="shared" si="1"/>
        <v>397250</v>
      </c>
      <c r="T16" s="15">
        <v>582750</v>
      </c>
      <c r="U16" s="15">
        <f t="shared" si="2"/>
        <v>582750</v>
      </c>
      <c r="X16" s="15">
        <v>237250</v>
      </c>
      <c r="Y16" s="15">
        <f t="shared" si="3"/>
        <v>237250</v>
      </c>
      <c r="AB16" s="15">
        <v>813775</v>
      </c>
      <c r="AC16" s="15">
        <f t="shared" si="4"/>
        <v>813775</v>
      </c>
      <c r="AE16" s="16"/>
      <c r="AF16" s="16">
        <v>795084</v>
      </c>
      <c r="AG16" s="16">
        <f t="shared" si="5"/>
        <v>795084</v>
      </c>
      <c r="AJ16" s="33">
        <f t="shared" si="6"/>
        <v>71735.4997992</v>
      </c>
      <c r="AK16" s="33">
        <f t="shared" si="7"/>
        <v>71735.4997992</v>
      </c>
      <c r="AL16" s="33">
        <v>8490</v>
      </c>
      <c r="AO16" s="15">
        <f t="shared" si="8"/>
        <v>674.0722152</v>
      </c>
      <c r="AP16" s="15">
        <f t="shared" si="9"/>
        <v>674.0722152</v>
      </c>
      <c r="AQ16" s="15">
        <v>78</v>
      </c>
      <c r="AS16" s="33"/>
      <c r="AT16" s="15">
        <f t="shared" si="10"/>
        <v>21587.6437176</v>
      </c>
      <c r="AU16" s="15">
        <f t="shared" si="11"/>
        <v>21587.6437176</v>
      </c>
      <c r="AV16" s="15">
        <v>2586</v>
      </c>
      <c r="AY16" s="15">
        <f t="shared" si="12"/>
        <v>180793.753218</v>
      </c>
      <c r="AZ16" s="15">
        <f t="shared" si="13"/>
        <v>180793.753218</v>
      </c>
      <c r="BA16" s="15">
        <v>21774</v>
      </c>
      <c r="BD16" s="15">
        <f t="shared" si="14"/>
        <v>46794.748328400005</v>
      </c>
      <c r="BE16" s="15">
        <f t="shared" si="15"/>
        <v>46794.748328400005</v>
      </c>
      <c r="BF16" s="15">
        <v>5450</v>
      </c>
      <c r="BI16" s="15">
        <f t="shared" si="16"/>
        <v>31683.7793664</v>
      </c>
      <c r="BJ16" s="15">
        <f t="shared" si="17"/>
        <v>31683.7793664</v>
      </c>
      <c r="BK16" s="15">
        <v>3738</v>
      </c>
      <c r="BN16" s="15">
        <f t="shared" si="18"/>
        <v>4873.3878696</v>
      </c>
      <c r="BO16" s="15">
        <f t="shared" si="19"/>
        <v>4873.3878696</v>
      </c>
      <c r="BP16" s="15">
        <v>587</v>
      </c>
      <c r="BS16" s="15">
        <f t="shared" si="20"/>
        <v>11156.618688</v>
      </c>
      <c r="BT16" s="15">
        <f t="shared" si="21"/>
        <v>11156.618688</v>
      </c>
      <c r="BU16" s="15">
        <v>1341</v>
      </c>
      <c r="BX16" s="15">
        <f t="shared" si="22"/>
        <v>1870.5941268000001</v>
      </c>
      <c r="BY16" s="15">
        <f t="shared" si="23"/>
        <v>1870.5941268000001</v>
      </c>
      <c r="BZ16" s="15">
        <v>225</v>
      </c>
      <c r="CC16" s="15">
        <f t="shared" si="24"/>
        <v>2023.4092716</v>
      </c>
      <c r="CD16" s="15">
        <f t="shared" si="25"/>
        <v>2023.4092716</v>
      </c>
      <c r="CE16" s="15">
        <v>245</v>
      </c>
      <c r="CH16" s="15">
        <f t="shared" si="26"/>
        <v>3864.0287315999994</v>
      </c>
      <c r="CI16" s="15">
        <f t="shared" si="27"/>
        <v>3864.0287315999994</v>
      </c>
      <c r="CJ16" s="15">
        <v>461</v>
      </c>
      <c r="CM16" s="15">
        <f t="shared" si="28"/>
        <v>641.7122964</v>
      </c>
      <c r="CN16" s="15">
        <f t="shared" si="29"/>
        <v>641.7122964</v>
      </c>
      <c r="CO16" s="15">
        <v>75</v>
      </c>
      <c r="CR16" s="15">
        <f t="shared" si="30"/>
        <v>11.131176</v>
      </c>
      <c r="CS16" s="15">
        <f t="shared" si="31"/>
        <v>11.131176</v>
      </c>
      <c r="CW16" s="15">
        <f t="shared" si="32"/>
        <v>4084.5850332</v>
      </c>
      <c r="CX16" s="15">
        <f t="shared" si="33"/>
        <v>4084.5850332</v>
      </c>
      <c r="CY16" s="15">
        <v>493</v>
      </c>
      <c r="DB16" s="15">
        <f t="shared" si="34"/>
        <v>5918.2872624</v>
      </c>
      <c r="DC16" s="15">
        <f t="shared" si="35"/>
        <v>5918.2872624</v>
      </c>
      <c r="DD16" s="15">
        <v>718</v>
      </c>
      <c r="DG16" s="15">
        <f t="shared" si="36"/>
        <v>7488.3396372</v>
      </c>
      <c r="DH16" s="15">
        <f t="shared" si="37"/>
        <v>7488.3396372</v>
      </c>
      <c r="DI16" s="15">
        <v>872</v>
      </c>
      <c r="DL16" s="15">
        <f t="shared" si="38"/>
        <v>696.4935839999999</v>
      </c>
      <c r="DM16" s="15">
        <f t="shared" si="39"/>
        <v>696.4935839999999</v>
      </c>
      <c r="DN16" s="15">
        <v>85</v>
      </c>
      <c r="DQ16" s="33">
        <f t="shared" si="40"/>
        <v>13160.627910000003</v>
      </c>
      <c r="DR16" s="15">
        <f t="shared" si="41"/>
        <v>13160.627910000003</v>
      </c>
      <c r="DS16" s="15">
        <v>1569</v>
      </c>
      <c r="DV16" s="15">
        <f t="shared" si="42"/>
        <v>34144.2463128</v>
      </c>
      <c r="DW16" s="15">
        <f t="shared" si="43"/>
        <v>34144.2463128</v>
      </c>
      <c r="DX16" s="15">
        <v>4172</v>
      </c>
      <c r="EA16" s="15">
        <f t="shared" si="44"/>
        <v>2515.248234</v>
      </c>
      <c r="EB16" s="15">
        <f t="shared" si="45"/>
        <v>2515.248234</v>
      </c>
      <c r="EC16" s="15">
        <v>300</v>
      </c>
    </row>
    <row r="17" spans="1:133" ht="12.75">
      <c r="A17" s="2">
        <v>41730</v>
      </c>
      <c r="C17" s="16">
        <v>17955000</v>
      </c>
      <c r="D17" s="16">
        <v>2826109</v>
      </c>
      <c r="E17" s="16">
        <f t="shared" si="0"/>
        <v>20781109</v>
      </c>
      <c r="G17" s="16"/>
      <c r="H17" s="16"/>
      <c r="I17" s="16"/>
      <c r="O17" s="15">
        <v>2875000</v>
      </c>
      <c r="P17" s="15">
        <v>397250</v>
      </c>
      <c r="Q17" s="15">
        <f t="shared" si="1"/>
        <v>3272250</v>
      </c>
      <c r="S17" s="15">
        <v>3425000</v>
      </c>
      <c r="T17" s="15">
        <v>582750</v>
      </c>
      <c r="U17" s="15">
        <f t="shared" si="2"/>
        <v>4007750</v>
      </c>
      <c r="W17" s="15">
        <v>4630000</v>
      </c>
      <c r="X17" s="15">
        <v>237250</v>
      </c>
      <c r="Y17" s="15">
        <f t="shared" si="3"/>
        <v>4867250</v>
      </c>
      <c r="AA17" s="15">
        <v>4805000</v>
      </c>
      <c r="AB17" s="15">
        <v>813775</v>
      </c>
      <c r="AC17" s="15">
        <f t="shared" si="4"/>
        <v>5618775</v>
      </c>
      <c r="AE17" s="16">
        <v>2220000</v>
      </c>
      <c r="AF17" s="16">
        <v>795084</v>
      </c>
      <c r="AG17" s="16">
        <f t="shared" si="5"/>
        <v>3015084</v>
      </c>
      <c r="AI17" s="15">
        <f t="shared" si="46"/>
        <v>200296.836</v>
      </c>
      <c r="AJ17" s="33">
        <f t="shared" si="6"/>
        <v>71735.4997992</v>
      </c>
      <c r="AK17" s="33">
        <f t="shared" si="7"/>
        <v>272032.3357992</v>
      </c>
      <c r="AL17" s="33">
        <v>8490</v>
      </c>
      <c r="AN17" s="15">
        <f t="shared" si="47"/>
        <v>1882.1159999999998</v>
      </c>
      <c r="AO17" s="15">
        <f t="shared" si="8"/>
        <v>674.0722152</v>
      </c>
      <c r="AP17" s="15">
        <f t="shared" si="9"/>
        <v>2556.1882152</v>
      </c>
      <c r="AQ17" s="15">
        <v>78</v>
      </c>
      <c r="AS17" s="33">
        <f t="shared" si="48"/>
        <v>60276.108</v>
      </c>
      <c r="AT17" s="15">
        <f t="shared" si="10"/>
        <v>21587.6437176</v>
      </c>
      <c r="AU17" s="15">
        <f t="shared" si="11"/>
        <v>81863.7517176</v>
      </c>
      <c r="AV17" s="15">
        <v>2586</v>
      </c>
      <c r="AX17" s="15">
        <f t="shared" si="49"/>
        <v>504804.69</v>
      </c>
      <c r="AY17" s="15">
        <f t="shared" si="12"/>
        <v>180793.753218</v>
      </c>
      <c r="AZ17" s="15">
        <f t="shared" si="13"/>
        <v>685598.443218</v>
      </c>
      <c r="BA17" s="15">
        <v>21774</v>
      </c>
      <c r="BC17" s="15">
        <f t="shared" si="50"/>
        <v>130658.32199999999</v>
      </c>
      <c r="BD17" s="15">
        <f t="shared" si="14"/>
        <v>46794.748328400005</v>
      </c>
      <c r="BE17" s="15">
        <f t="shared" si="15"/>
        <v>177453.0703284</v>
      </c>
      <c r="BF17" s="15">
        <v>5450</v>
      </c>
      <c r="BH17" s="15">
        <f t="shared" si="51"/>
        <v>88466.112</v>
      </c>
      <c r="BI17" s="15">
        <f t="shared" si="16"/>
        <v>31683.7793664</v>
      </c>
      <c r="BJ17" s="15">
        <f t="shared" si="17"/>
        <v>120149.8913664</v>
      </c>
      <c r="BK17" s="15">
        <v>3738</v>
      </c>
      <c r="BM17" s="15">
        <f t="shared" si="52"/>
        <v>13607.268</v>
      </c>
      <c r="BN17" s="15">
        <f t="shared" si="18"/>
        <v>4873.3878696</v>
      </c>
      <c r="BO17" s="15">
        <f t="shared" si="19"/>
        <v>18480.6558696</v>
      </c>
      <c r="BP17" s="15">
        <v>587</v>
      </c>
      <c r="BR17" s="15">
        <f t="shared" si="53"/>
        <v>31151.04</v>
      </c>
      <c r="BS17" s="15">
        <f t="shared" si="20"/>
        <v>11156.618688</v>
      </c>
      <c r="BT17" s="15">
        <f t="shared" si="21"/>
        <v>42307.658688</v>
      </c>
      <c r="BU17" s="15">
        <v>1341</v>
      </c>
      <c r="BW17" s="15">
        <f t="shared" si="54"/>
        <v>5222.994000000001</v>
      </c>
      <c r="BX17" s="15">
        <f t="shared" si="22"/>
        <v>1870.5941268000001</v>
      </c>
      <c r="BY17" s="15">
        <f t="shared" si="23"/>
        <v>7093.588126800001</v>
      </c>
      <c r="BZ17" s="15">
        <v>225</v>
      </c>
      <c r="CB17" s="15">
        <f t="shared" si="55"/>
        <v>5649.677999999999</v>
      </c>
      <c r="CC17" s="15">
        <f t="shared" si="24"/>
        <v>2023.4092716</v>
      </c>
      <c r="CD17" s="15">
        <f t="shared" si="25"/>
        <v>7673.087271599999</v>
      </c>
      <c r="CE17" s="15">
        <v>245</v>
      </c>
      <c r="CG17" s="15">
        <f t="shared" si="56"/>
        <v>10788.978000000001</v>
      </c>
      <c r="CH17" s="15">
        <f t="shared" si="26"/>
        <v>3864.0287315999994</v>
      </c>
      <c r="CI17" s="15">
        <f t="shared" si="27"/>
        <v>14653.0067316</v>
      </c>
      <c r="CJ17" s="15">
        <v>461</v>
      </c>
      <c r="CL17" s="15">
        <f>AE17*0.08071/100</f>
        <v>1791.7620000000002</v>
      </c>
      <c r="CM17" s="15">
        <f t="shared" si="28"/>
        <v>641.7122964</v>
      </c>
      <c r="CN17" s="15">
        <f t="shared" si="29"/>
        <v>2433.4742964</v>
      </c>
      <c r="CO17" s="15">
        <v>75</v>
      </c>
      <c r="CQ17" s="15">
        <f t="shared" si="57"/>
        <v>31.08</v>
      </c>
      <c r="CR17" s="15">
        <f t="shared" si="30"/>
        <v>11.131176</v>
      </c>
      <c r="CS17" s="15">
        <f t="shared" si="31"/>
        <v>42.211175999999995</v>
      </c>
      <c r="CV17" s="15">
        <f t="shared" si="58"/>
        <v>11404.806</v>
      </c>
      <c r="CW17" s="15">
        <f t="shared" si="32"/>
        <v>4084.5850332</v>
      </c>
      <c r="CX17" s="15">
        <f t="shared" si="33"/>
        <v>15489.391033200001</v>
      </c>
      <c r="CY17" s="15">
        <v>493</v>
      </c>
      <c r="DA17" s="15">
        <f t="shared" si="59"/>
        <v>16524.792</v>
      </c>
      <c r="DB17" s="15">
        <f t="shared" si="34"/>
        <v>5918.2872624</v>
      </c>
      <c r="DC17" s="15">
        <f t="shared" si="35"/>
        <v>22443.079262400002</v>
      </c>
      <c r="DD17" s="15">
        <v>718</v>
      </c>
      <c r="DF17" s="15">
        <f t="shared" si="60"/>
        <v>20908.626</v>
      </c>
      <c r="DG17" s="15">
        <f t="shared" si="36"/>
        <v>7488.3396372</v>
      </c>
      <c r="DH17" s="15">
        <f t="shared" si="37"/>
        <v>28396.9656372</v>
      </c>
      <c r="DI17" s="15">
        <v>872</v>
      </c>
      <c r="DK17" s="15">
        <f t="shared" si="61"/>
        <v>1944.72</v>
      </c>
      <c r="DL17" s="15">
        <f t="shared" si="38"/>
        <v>696.4935839999999</v>
      </c>
      <c r="DM17" s="15">
        <f t="shared" si="39"/>
        <v>2641.213584</v>
      </c>
      <c r="DN17" s="15">
        <v>85</v>
      </c>
      <c r="DP17" s="15">
        <f t="shared" si="62"/>
        <v>36746.55</v>
      </c>
      <c r="DQ17" s="33">
        <f t="shared" si="40"/>
        <v>13160.627910000003</v>
      </c>
      <c r="DR17" s="15">
        <f t="shared" si="41"/>
        <v>49907.177910000006</v>
      </c>
      <c r="DS17" s="15">
        <v>1569</v>
      </c>
      <c r="DU17" s="15">
        <f t="shared" si="63"/>
        <v>95336.12399999998</v>
      </c>
      <c r="DV17" s="15">
        <f t="shared" si="42"/>
        <v>34144.2463128</v>
      </c>
      <c r="DW17" s="15">
        <f t="shared" si="43"/>
        <v>129480.37031279999</v>
      </c>
      <c r="DX17" s="15">
        <v>4172</v>
      </c>
      <c r="DZ17" s="15">
        <f t="shared" si="64"/>
        <v>7022.97</v>
      </c>
      <c r="EA17" s="15">
        <f t="shared" si="44"/>
        <v>2515.248234</v>
      </c>
      <c r="EB17" s="15">
        <f t="shared" si="45"/>
        <v>9538.218234</v>
      </c>
      <c r="EC17" s="15">
        <v>300</v>
      </c>
    </row>
    <row r="18" spans="1:133" ht="12.75">
      <c r="A18" s="2">
        <v>41913</v>
      </c>
      <c r="B18" s="10"/>
      <c r="D18" s="16">
        <v>2377234</v>
      </c>
      <c r="E18" s="16">
        <f t="shared" si="0"/>
        <v>2377234</v>
      </c>
      <c r="G18" s="16"/>
      <c r="H18" s="16"/>
      <c r="I18" s="16"/>
      <c r="P18" s="15">
        <v>325375</v>
      </c>
      <c r="Q18" s="15">
        <f t="shared" si="1"/>
        <v>325375</v>
      </c>
      <c r="T18" s="15">
        <v>497125</v>
      </c>
      <c r="U18" s="15">
        <f t="shared" si="2"/>
        <v>497125</v>
      </c>
      <c r="X18" s="15">
        <v>121500</v>
      </c>
      <c r="Y18" s="15">
        <f t="shared" si="3"/>
        <v>121500</v>
      </c>
      <c r="AB18" s="15">
        <v>693650</v>
      </c>
      <c r="AC18" s="15">
        <f t="shared" si="4"/>
        <v>693650</v>
      </c>
      <c r="AE18" s="16"/>
      <c r="AF18" s="16">
        <v>739584</v>
      </c>
      <c r="AG18" s="16">
        <f t="shared" si="5"/>
        <v>739584</v>
      </c>
      <c r="AJ18" s="33">
        <f t="shared" si="6"/>
        <v>66728.0788992</v>
      </c>
      <c r="AK18" s="33">
        <f t="shared" si="7"/>
        <v>66728.0788992</v>
      </c>
      <c r="AL18" s="33">
        <v>8490</v>
      </c>
      <c r="AO18" s="15">
        <f t="shared" si="8"/>
        <v>627.0193151999999</v>
      </c>
      <c r="AP18" s="15">
        <f t="shared" si="9"/>
        <v>627.0193151999999</v>
      </c>
      <c r="AQ18" s="15">
        <v>78</v>
      </c>
      <c r="AS18" s="33"/>
      <c r="AT18" s="15">
        <f t="shared" si="10"/>
        <v>20080.7410176</v>
      </c>
      <c r="AU18" s="15">
        <f t="shared" si="11"/>
        <v>20080.7410176</v>
      </c>
      <c r="AV18" s="15">
        <v>2586</v>
      </c>
      <c r="AY18" s="15">
        <f t="shared" si="12"/>
        <v>168173.635968</v>
      </c>
      <c r="AZ18" s="15">
        <f t="shared" si="13"/>
        <v>168173.635968</v>
      </c>
      <c r="BA18" s="15">
        <v>21774</v>
      </c>
      <c r="BD18" s="15">
        <f t="shared" si="14"/>
        <v>43528.290278399996</v>
      </c>
      <c r="BE18" s="15">
        <f t="shared" si="15"/>
        <v>43528.290278399996</v>
      </c>
      <c r="BF18" s="15">
        <v>5450</v>
      </c>
      <c r="BI18" s="15">
        <f t="shared" si="16"/>
        <v>29472.126566400002</v>
      </c>
      <c r="BJ18" s="15">
        <f t="shared" si="17"/>
        <v>29472.126566400002</v>
      </c>
      <c r="BK18" s="15">
        <v>3738</v>
      </c>
      <c r="BN18" s="15">
        <f t="shared" si="18"/>
        <v>4533.2061696</v>
      </c>
      <c r="BO18" s="15">
        <f t="shared" si="19"/>
        <v>4533.2061696</v>
      </c>
      <c r="BP18" s="15">
        <v>587</v>
      </c>
      <c r="BS18" s="15">
        <f t="shared" si="20"/>
        <v>10377.842687999999</v>
      </c>
      <c r="BT18" s="15">
        <f t="shared" si="21"/>
        <v>10377.842687999999</v>
      </c>
      <c r="BU18" s="15">
        <v>1341</v>
      </c>
      <c r="BX18" s="15">
        <f t="shared" si="22"/>
        <v>1740.0192768</v>
      </c>
      <c r="BY18" s="15">
        <f t="shared" si="23"/>
        <v>1740.0192768</v>
      </c>
      <c r="BZ18" s="15">
        <v>225</v>
      </c>
      <c r="CC18" s="15">
        <f t="shared" si="24"/>
        <v>1882.1673216</v>
      </c>
      <c r="CD18" s="15">
        <f t="shared" si="25"/>
        <v>1882.1673216</v>
      </c>
      <c r="CE18" s="15">
        <v>245</v>
      </c>
      <c r="CH18" s="15">
        <f t="shared" si="26"/>
        <v>3594.3042816</v>
      </c>
      <c r="CI18" s="15">
        <f t="shared" si="27"/>
        <v>3594.3042816</v>
      </c>
      <c r="CJ18" s="15">
        <v>461</v>
      </c>
      <c r="CM18" s="15">
        <f t="shared" si="28"/>
        <v>596.9182464</v>
      </c>
      <c r="CN18" s="15">
        <f t="shared" si="29"/>
        <v>596.9182464</v>
      </c>
      <c r="CO18" s="15">
        <v>75</v>
      </c>
      <c r="CR18" s="15">
        <f t="shared" si="30"/>
        <v>10.354176</v>
      </c>
      <c r="CS18" s="15">
        <f t="shared" si="31"/>
        <v>10.354176</v>
      </c>
      <c r="CW18" s="15">
        <f t="shared" si="32"/>
        <v>3799.4648832000003</v>
      </c>
      <c r="CX18" s="15">
        <f t="shared" si="33"/>
        <v>3799.4648832000003</v>
      </c>
      <c r="CY18" s="15">
        <v>493</v>
      </c>
      <c r="DB18" s="15">
        <f t="shared" si="34"/>
        <v>5505.1674624</v>
      </c>
      <c r="DC18" s="15">
        <f t="shared" si="35"/>
        <v>5505.1674624</v>
      </c>
      <c r="DD18" s="15">
        <v>718</v>
      </c>
      <c r="DG18" s="15">
        <f t="shared" si="36"/>
        <v>6965.6239872</v>
      </c>
      <c r="DH18" s="15">
        <f t="shared" si="37"/>
        <v>6965.6239872</v>
      </c>
      <c r="DI18" s="15">
        <v>872</v>
      </c>
      <c r="DL18" s="15">
        <f t="shared" si="38"/>
        <v>647.8755839999999</v>
      </c>
      <c r="DM18" s="15">
        <f t="shared" si="39"/>
        <v>647.8755839999999</v>
      </c>
      <c r="DN18" s="15">
        <v>85</v>
      </c>
      <c r="DQ18" s="33">
        <f t="shared" si="40"/>
        <v>12241.96416</v>
      </c>
      <c r="DR18" s="15">
        <f t="shared" si="41"/>
        <v>12241.96416</v>
      </c>
      <c r="DS18" s="15">
        <v>1569</v>
      </c>
      <c r="DV18" s="15">
        <f t="shared" si="42"/>
        <v>31760.8432128</v>
      </c>
      <c r="DW18" s="15">
        <f t="shared" si="43"/>
        <v>31760.8432128</v>
      </c>
      <c r="DX18" s="15">
        <v>4172</v>
      </c>
      <c r="EA18" s="15">
        <f t="shared" si="44"/>
        <v>2339.673984</v>
      </c>
      <c r="EB18" s="15">
        <f t="shared" si="45"/>
        <v>2339.673984</v>
      </c>
      <c r="EC18" s="15">
        <v>300</v>
      </c>
    </row>
    <row r="19" spans="1:133" ht="12.75">
      <c r="A19" s="2">
        <v>42095</v>
      </c>
      <c r="C19" s="16">
        <v>18845000</v>
      </c>
      <c r="D19" s="16">
        <v>2377234</v>
      </c>
      <c r="E19" s="16">
        <f t="shared" si="0"/>
        <v>21222234</v>
      </c>
      <c r="G19" s="16"/>
      <c r="H19" s="16"/>
      <c r="I19" s="16"/>
      <c r="O19" s="15">
        <v>3020000</v>
      </c>
      <c r="P19" s="15">
        <v>325375</v>
      </c>
      <c r="Q19" s="15">
        <f t="shared" si="1"/>
        <v>3345375</v>
      </c>
      <c r="S19" s="15">
        <v>3600000</v>
      </c>
      <c r="T19" s="15">
        <v>497125</v>
      </c>
      <c r="U19" s="15">
        <f t="shared" si="2"/>
        <v>4097125</v>
      </c>
      <c r="W19" s="15">
        <v>4860000</v>
      </c>
      <c r="X19" s="15">
        <v>121500</v>
      </c>
      <c r="Y19" s="15">
        <f t="shared" si="3"/>
        <v>4981500</v>
      </c>
      <c r="AA19" s="15">
        <v>5035000</v>
      </c>
      <c r="AB19" s="15">
        <v>693650</v>
      </c>
      <c r="AC19" s="15">
        <f t="shared" si="4"/>
        <v>5728650</v>
      </c>
      <c r="AE19" s="16">
        <v>2330000</v>
      </c>
      <c r="AF19" s="16">
        <v>739584</v>
      </c>
      <c r="AG19" s="16">
        <f t="shared" si="5"/>
        <v>3069584</v>
      </c>
      <c r="AI19" s="15">
        <f t="shared" si="46"/>
        <v>210221.454</v>
      </c>
      <c r="AJ19" s="33">
        <f t="shared" si="6"/>
        <v>66728.0788992</v>
      </c>
      <c r="AK19" s="33">
        <f t="shared" si="7"/>
        <v>276949.5328992</v>
      </c>
      <c r="AL19" s="33">
        <v>8490</v>
      </c>
      <c r="AN19" s="15">
        <f t="shared" si="47"/>
        <v>1975.374</v>
      </c>
      <c r="AO19" s="15">
        <f t="shared" si="8"/>
        <v>627.0193151999999</v>
      </c>
      <c r="AP19" s="15">
        <f t="shared" si="9"/>
        <v>2602.3933152</v>
      </c>
      <c r="AQ19" s="15">
        <v>78</v>
      </c>
      <c r="AS19" s="33">
        <f t="shared" si="48"/>
        <v>63262.762</v>
      </c>
      <c r="AT19" s="15">
        <f t="shared" si="10"/>
        <v>20080.7410176</v>
      </c>
      <c r="AU19" s="15">
        <f t="shared" si="11"/>
        <v>83343.5030176</v>
      </c>
      <c r="AV19" s="15">
        <v>2586</v>
      </c>
      <c r="AX19" s="15">
        <f t="shared" si="49"/>
        <v>529817.535</v>
      </c>
      <c r="AY19" s="15">
        <f t="shared" si="12"/>
        <v>168173.635968</v>
      </c>
      <c r="AZ19" s="15">
        <f t="shared" si="13"/>
        <v>697991.1709680001</v>
      </c>
      <c r="BA19" s="15">
        <v>21774</v>
      </c>
      <c r="BC19" s="15">
        <f t="shared" si="50"/>
        <v>137132.383</v>
      </c>
      <c r="BD19" s="15">
        <f t="shared" si="14"/>
        <v>43528.290278399996</v>
      </c>
      <c r="BE19" s="15">
        <f t="shared" si="15"/>
        <v>180660.6732784</v>
      </c>
      <c r="BF19" s="15">
        <v>5450</v>
      </c>
      <c r="BH19" s="15">
        <f t="shared" si="51"/>
        <v>92849.56800000001</v>
      </c>
      <c r="BI19" s="15">
        <f t="shared" si="16"/>
        <v>29472.126566400002</v>
      </c>
      <c r="BJ19" s="15">
        <f t="shared" si="17"/>
        <v>122321.69456640002</v>
      </c>
      <c r="BK19" s="15">
        <v>3738</v>
      </c>
      <c r="BM19" s="15">
        <f t="shared" si="52"/>
        <v>14281.502000000002</v>
      </c>
      <c r="BN19" s="15">
        <f t="shared" si="18"/>
        <v>4533.2061696</v>
      </c>
      <c r="BO19" s="15">
        <f t="shared" si="19"/>
        <v>18814.708169600002</v>
      </c>
      <c r="BP19" s="15">
        <v>587</v>
      </c>
      <c r="BR19" s="15">
        <f t="shared" si="53"/>
        <v>32694.56</v>
      </c>
      <c r="BS19" s="15">
        <f t="shared" si="20"/>
        <v>10377.842687999999</v>
      </c>
      <c r="BT19" s="15">
        <f t="shared" si="21"/>
        <v>43072.402688</v>
      </c>
      <c r="BU19" s="15">
        <v>1341</v>
      </c>
      <c r="BW19" s="15">
        <f t="shared" si="54"/>
        <v>5481.791</v>
      </c>
      <c r="BX19" s="15">
        <f t="shared" si="22"/>
        <v>1740.0192768</v>
      </c>
      <c r="BY19" s="15">
        <f t="shared" si="23"/>
        <v>7221.8102768</v>
      </c>
      <c r="BZ19" s="15">
        <v>225</v>
      </c>
      <c r="CB19" s="15">
        <f t="shared" si="55"/>
        <v>5929.616999999999</v>
      </c>
      <c r="CC19" s="15">
        <f t="shared" si="24"/>
        <v>1882.1673216</v>
      </c>
      <c r="CD19" s="15">
        <f t="shared" si="25"/>
        <v>7811.784321599999</v>
      </c>
      <c r="CE19" s="15">
        <v>245</v>
      </c>
      <c r="CG19" s="15">
        <f t="shared" si="56"/>
        <v>11323.567</v>
      </c>
      <c r="CH19" s="15">
        <f t="shared" si="26"/>
        <v>3594.3042816</v>
      </c>
      <c r="CI19" s="15">
        <f t="shared" si="27"/>
        <v>14917.871281599999</v>
      </c>
      <c r="CJ19" s="15">
        <v>461</v>
      </c>
      <c r="CL19" s="15">
        <f>AE19*0.08071/100</f>
        <v>1880.5430000000001</v>
      </c>
      <c r="CM19" s="15">
        <f t="shared" si="28"/>
        <v>596.9182464</v>
      </c>
      <c r="CN19" s="15">
        <f t="shared" si="29"/>
        <v>2477.4612464</v>
      </c>
      <c r="CO19" s="15">
        <v>75</v>
      </c>
      <c r="CQ19" s="15">
        <f t="shared" si="57"/>
        <v>32.62</v>
      </c>
      <c r="CR19" s="15">
        <f t="shared" si="30"/>
        <v>10.354176</v>
      </c>
      <c r="CS19" s="15">
        <f t="shared" si="31"/>
        <v>42.974176</v>
      </c>
      <c r="CV19" s="15">
        <f t="shared" si="58"/>
        <v>11969.909000000001</v>
      </c>
      <c r="CW19" s="15">
        <f t="shared" si="32"/>
        <v>3799.4648832000003</v>
      </c>
      <c r="CX19" s="15">
        <f t="shared" si="33"/>
        <v>15769.373883200002</v>
      </c>
      <c r="CY19" s="15">
        <v>493</v>
      </c>
      <c r="DA19" s="15">
        <f t="shared" si="59"/>
        <v>17343.588</v>
      </c>
      <c r="DB19" s="15">
        <f t="shared" si="34"/>
        <v>5505.1674624</v>
      </c>
      <c r="DC19" s="15">
        <f t="shared" si="35"/>
        <v>22848.7554624</v>
      </c>
      <c r="DD19" s="15">
        <v>718</v>
      </c>
      <c r="DF19" s="15">
        <f t="shared" si="60"/>
        <v>21944.639</v>
      </c>
      <c r="DG19" s="15">
        <f t="shared" si="36"/>
        <v>6965.6239872</v>
      </c>
      <c r="DH19" s="15">
        <f t="shared" si="37"/>
        <v>28910.2629872</v>
      </c>
      <c r="DI19" s="15">
        <v>872</v>
      </c>
      <c r="DK19" s="15">
        <f t="shared" si="61"/>
        <v>2041.08</v>
      </c>
      <c r="DL19" s="15">
        <f t="shared" si="38"/>
        <v>647.8755839999999</v>
      </c>
      <c r="DM19" s="15">
        <f t="shared" si="39"/>
        <v>2688.955584</v>
      </c>
      <c r="DN19" s="15">
        <v>85</v>
      </c>
      <c r="DP19" s="15">
        <f t="shared" si="62"/>
        <v>38567.325000000004</v>
      </c>
      <c r="DQ19" s="33">
        <f t="shared" si="40"/>
        <v>12241.96416</v>
      </c>
      <c r="DR19" s="15">
        <f t="shared" si="41"/>
        <v>50809.28916</v>
      </c>
      <c r="DS19" s="15">
        <v>1569</v>
      </c>
      <c r="DU19" s="15">
        <f t="shared" si="63"/>
        <v>100059.98599999999</v>
      </c>
      <c r="DV19" s="15">
        <f t="shared" si="42"/>
        <v>31760.8432128</v>
      </c>
      <c r="DW19" s="15">
        <f t="shared" si="43"/>
        <v>131820.8292128</v>
      </c>
      <c r="DX19" s="15">
        <v>4172</v>
      </c>
      <c r="DZ19" s="15">
        <f t="shared" si="64"/>
        <v>7370.955</v>
      </c>
      <c r="EA19" s="15">
        <f t="shared" si="44"/>
        <v>2339.673984</v>
      </c>
      <c r="EB19" s="15">
        <f t="shared" si="45"/>
        <v>9710.628983999999</v>
      </c>
      <c r="EC19" s="15">
        <v>300</v>
      </c>
    </row>
    <row r="20" spans="1:133" ht="12.75">
      <c r="A20" s="2">
        <v>42278</v>
      </c>
      <c r="D20" s="16">
        <v>1906109</v>
      </c>
      <c r="E20" s="16">
        <f t="shared" si="0"/>
        <v>1906109</v>
      </c>
      <c r="G20" s="16"/>
      <c r="H20" s="16"/>
      <c r="I20" s="16"/>
      <c r="P20" s="15">
        <v>249875</v>
      </c>
      <c r="Q20" s="15">
        <f t="shared" si="1"/>
        <v>249875</v>
      </c>
      <c r="T20" s="15">
        <v>407125</v>
      </c>
      <c r="U20" s="15">
        <f t="shared" si="2"/>
        <v>407125</v>
      </c>
      <c r="AB20" s="15">
        <v>567775</v>
      </c>
      <c r="AC20" s="15">
        <f t="shared" si="4"/>
        <v>567775</v>
      </c>
      <c r="AE20" s="16"/>
      <c r="AF20" s="16">
        <v>681334</v>
      </c>
      <c r="AG20" s="16">
        <f t="shared" si="5"/>
        <v>681334</v>
      </c>
      <c r="AJ20" s="33">
        <f t="shared" si="6"/>
        <v>61472.5425492</v>
      </c>
      <c r="AK20" s="33">
        <f t="shared" si="7"/>
        <v>61472.5425492</v>
      </c>
      <c r="AL20" s="33">
        <v>8490</v>
      </c>
      <c r="AO20" s="15">
        <f t="shared" si="8"/>
        <v>577.6349651999999</v>
      </c>
      <c r="AP20" s="15">
        <f t="shared" si="9"/>
        <v>577.6349651999999</v>
      </c>
      <c r="AQ20" s="15">
        <v>78</v>
      </c>
      <c r="AS20" s="33"/>
      <c r="AT20" s="15">
        <f t="shared" si="10"/>
        <v>18499.1719676</v>
      </c>
      <c r="AU20" s="15">
        <f t="shared" si="11"/>
        <v>18499.1719676</v>
      </c>
      <c r="AV20" s="15">
        <v>2586</v>
      </c>
      <c r="AY20" s="15">
        <f t="shared" si="12"/>
        <v>154928.197593</v>
      </c>
      <c r="AZ20" s="15">
        <f t="shared" si="13"/>
        <v>154928.197593</v>
      </c>
      <c r="BA20" s="15">
        <v>21774</v>
      </c>
      <c r="BD20" s="15">
        <f t="shared" si="14"/>
        <v>40099.980703400004</v>
      </c>
      <c r="BE20" s="15">
        <f t="shared" si="15"/>
        <v>40099.980703400004</v>
      </c>
      <c r="BF20" s="15">
        <v>5450</v>
      </c>
      <c r="BI20" s="15">
        <f t="shared" si="16"/>
        <v>27150.887366400002</v>
      </c>
      <c r="BJ20" s="15">
        <f t="shared" si="17"/>
        <v>27150.887366400002</v>
      </c>
      <c r="BK20" s="15">
        <v>3738</v>
      </c>
      <c r="BN20" s="15">
        <f t="shared" si="18"/>
        <v>4176.1686196</v>
      </c>
      <c r="BO20" s="15">
        <f t="shared" si="19"/>
        <v>4176.1686196</v>
      </c>
      <c r="BP20" s="15">
        <v>587</v>
      </c>
      <c r="BS20" s="15">
        <f t="shared" si="20"/>
        <v>9560.478688000001</v>
      </c>
      <c r="BT20" s="15">
        <f t="shared" si="21"/>
        <v>9560.478688000001</v>
      </c>
      <c r="BU20" s="15">
        <v>1341</v>
      </c>
      <c r="BX20" s="15">
        <f t="shared" si="22"/>
        <v>1602.9745018</v>
      </c>
      <c r="BY20" s="15">
        <f t="shared" si="23"/>
        <v>1602.9745018</v>
      </c>
      <c r="BZ20" s="15">
        <v>225</v>
      </c>
      <c r="CC20" s="15">
        <f t="shared" si="24"/>
        <v>1733.9268966</v>
      </c>
      <c r="CD20" s="15">
        <f t="shared" si="25"/>
        <v>1733.9268966</v>
      </c>
      <c r="CE20" s="15">
        <v>245</v>
      </c>
      <c r="CH20" s="15">
        <f t="shared" si="26"/>
        <v>3311.2151065999997</v>
      </c>
      <c r="CI20" s="15">
        <f t="shared" si="27"/>
        <v>3311.2151065999997</v>
      </c>
      <c r="CJ20" s="15">
        <v>461</v>
      </c>
      <c r="CM20" s="15">
        <f t="shared" si="28"/>
        <v>549.9046714</v>
      </c>
      <c r="CN20" s="15">
        <f t="shared" si="29"/>
        <v>549.9046714</v>
      </c>
      <c r="CO20" s="15">
        <v>75</v>
      </c>
      <c r="CR20" s="15">
        <f t="shared" si="30"/>
        <v>9.538676</v>
      </c>
      <c r="CS20" s="15">
        <f t="shared" si="31"/>
        <v>9.538676</v>
      </c>
      <c r="CW20" s="15">
        <f t="shared" si="32"/>
        <v>3500.2171582000005</v>
      </c>
      <c r="CX20" s="15">
        <f t="shared" si="33"/>
        <v>3500.2171582000005</v>
      </c>
      <c r="CY20" s="15">
        <v>493</v>
      </c>
      <c r="DB20" s="15">
        <f t="shared" si="34"/>
        <v>5071.5777624</v>
      </c>
      <c r="DC20" s="15">
        <f t="shared" si="35"/>
        <v>5071.5777624</v>
      </c>
      <c r="DD20" s="15">
        <v>718</v>
      </c>
      <c r="DG20" s="15">
        <f t="shared" si="36"/>
        <v>6417.008012199999</v>
      </c>
      <c r="DH20" s="15">
        <f t="shared" si="37"/>
        <v>6417.008012199999</v>
      </c>
      <c r="DI20" s="15">
        <v>872</v>
      </c>
      <c r="DL20" s="15">
        <f t="shared" si="38"/>
        <v>596.848584</v>
      </c>
      <c r="DM20" s="15">
        <f t="shared" si="39"/>
        <v>596.848584</v>
      </c>
      <c r="DN20" s="15">
        <v>85</v>
      </c>
      <c r="DQ20" s="33">
        <f t="shared" si="40"/>
        <v>11277.781035</v>
      </c>
      <c r="DR20" s="15">
        <f t="shared" si="41"/>
        <v>11277.781035</v>
      </c>
      <c r="DS20" s="15">
        <v>1569</v>
      </c>
      <c r="DV20" s="15">
        <f t="shared" si="42"/>
        <v>29259.3435628</v>
      </c>
      <c r="DW20" s="15">
        <f t="shared" si="43"/>
        <v>29259.3435628</v>
      </c>
      <c r="DX20" s="15">
        <v>4172</v>
      </c>
      <c r="EA20" s="15">
        <f t="shared" si="44"/>
        <v>2155.400109</v>
      </c>
      <c r="EB20" s="15">
        <f t="shared" si="45"/>
        <v>2155.400109</v>
      </c>
      <c r="EC20" s="15">
        <v>300</v>
      </c>
    </row>
    <row r="21" spans="1:133" ht="12.75">
      <c r="A21" s="2">
        <v>42461</v>
      </c>
      <c r="C21" s="16">
        <v>14675000</v>
      </c>
      <c r="D21" s="16">
        <v>1906109</v>
      </c>
      <c r="E21" s="16">
        <f t="shared" si="0"/>
        <v>16581109</v>
      </c>
      <c r="G21" s="16"/>
      <c r="H21" s="16"/>
      <c r="I21" s="16"/>
      <c r="O21" s="15">
        <v>3170000</v>
      </c>
      <c r="P21" s="15">
        <v>249875</v>
      </c>
      <c r="Q21" s="15">
        <f t="shared" si="1"/>
        <v>3419875</v>
      </c>
      <c r="S21" s="15">
        <v>3780000</v>
      </c>
      <c r="T21" s="15">
        <v>407125</v>
      </c>
      <c r="U21" s="15">
        <f t="shared" si="2"/>
        <v>4187125</v>
      </c>
      <c r="AA21" s="15">
        <v>5275000</v>
      </c>
      <c r="AB21" s="15">
        <v>567775</v>
      </c>
      <c r="AC21" s="15">
        <f t="shared" si="4"/>
        <v>5842775</v>
      </c>
      <c r="AE21" s="16">
        <v>2450000</v>
      </c>
      <c r="AF21" s="16">
        <v>681334</v>
      </c>
      <c r="AG21" s="16">
        <f t="shared" si="5"/>
        <v>3131334</v>
      </c>
      <c r="AI21" s="15">
        <f t="shared" si="46"/>
        <v>221048.31</v>
      </c>
      <c r="AJ21" s="33">
        <f t="shared" si="6"/>
        <v>61472.5425492</v>
      </c>
      <c r="AK21" s="33">
        <f t="shared" si="7"/>
        <v>282520.8525492</v>
      </c>
      <c r="AL21" s="33">
        <v>8490</v>
      </c>
      <c r="AN21" s="15">
        <f t="shared" si="47"/>
        <v>2077.11</v>
      </c>
      <c r="AO21" s="15">
        <f t="shared" si="8"/>
        <v>577.6349651999999</v>
      </c>
      <c r="AP21" s="15">
        <f t="shared" si="9"/>
        <v>2654.7449652</v>
      </c>
      <c r="AQ21" s="15">
        <v>78</v>
      </c>
      <c r="AS21" s="33">
        <f t="shared" si="48"/>
        <v>66520.93</v>
      </c>
      <c r="AT21" s="15">
        <f t="shared" si="10"/>
        <v>18499.1719676</v>
      </c>
      <c r="AU21" s="15">
        <f t="shared" si="11"/>
        <v>85020.1019676</v>
      </c>
      <c r="AV21" s="15">
        <v>2586</v>
      </c>
      <c r="AX21" s="15">
        <f t="shared" si="49"/>
        <v>557104.275</v>
      </c>
      <c r="AY21" s="15">
        <f t="shared" si="12"/>
        <v>154928.197593</v>
      </c>
      <c r="AZ21" s="15">
        <f t="shared" si="13"/>
        <v>712032.472593</v>
      </c>
      <c r="BA21" s="15">
        <v>21774</v>
      </c>
      <c r="BC21" s="15">
        <f t="shared" si="50"/>
        <v>144194.995</v>
      </c>
      <c r="BD21" s="15">
        <f t="shared" si="14"/>
        <v>40099.980703400004</v>
      </c>
      <c r="BE21" s="15">
        <f t="shared" si="15"/>
        <v>184294.9757034</v>
      </c>
      <c r="BF21" s="15">
        <v>5450</v>
      </c>
      <c r="BH21" s="15">
        <f t="shared" si="51"/>
        <v>97631.52</v>
      </c>
      <c r="BI21" s="15">
        <f t="shared" si="16"/>
        <v>27150.887366400002</v>
      </c>
      <c r="BJ21" s="15">
        <f t="shared" si="17"/>
        <v>124782.4073664</v>
      </c>
      <c r="BK21" s="15">
        <v>3738</v>
      </c>
      <c r="BM21" s="15">
        <f t="shared" si="52"/>
        <v>15017.03</v>
      </c>
      <c r="BN21" s="15">
        <f t="shared" si="18"/>
        <v>4176.1686196</v>
      </c>
      <c r="BO21" s="15">
        <f t="shared" si="19"/>
        <v>19193.1986196</v>
      </c>
      <c r="BP21" s="15">
        <v>587</v>
      </c>
      <c r="BR21" s="15">
        <f t="shared" si="53"/>
        <v>34378.4</v>
      </c>
      <c r="BS21" s="15">
        <f t="shared" si="20"/>
        <v>9560.478688000001</v>
      </c>
      <c r="BT21" s="15">
        <f t="shared" si="21"/>
        <v>43938.878688000004</v>
      </c>
      <c r="BU21" s="15">
        <v>1341</v>
      </c>
      <c r="BW21" s="15">
        <f t="shared" si="54"/>
        <v>5764.115</v>
      </c>
      <c r="BX21" s="15">
        <f t="shared" si="22"/>
        <v>1602.9745018</v>
      </c>
      <c r="BY21" s="15">
        <f t="shared" si="23"/>
        <v>7367.0895018</v>
      </c>
      <c r="BZ21" s="15">
        <v>225</v>
      </c>
      <c r="CB21" s="15">
        <f t="shared" si="55"/>
        <v>6235.005</v>
      </c>
      <c r="CC21" s="15">
        <f t="shared" si="24"/>
        <v>1733.9268966</v>
      </c>
      <c r="CD21" s="15">
        <f t="shared" si="25"/>
        <v>7968.9318966</v>
      </c>
      <c r="CE21" s="15">
        <v>245</v>
      </c>
      <c r="CG21" s="15">
        <f t="shared" si="56"/>
        <v>11906.755</v>
      </c>
      <c r="CH21" s="15">
        <f t="shared" si="26"/>
        <v>3311.2151065999997</v>
      </c>
      <c r="CI21" s="15">
        <f t="shared" si="27"/>
        <v>15217.970106599998</v>
      </c>
      <c r="CJ21" s="15">
        <v>461</v>
      </c>
      <c r="CL21" s="15">
        <f>AE21*0.08071/100</f>
        <v>1977.395</v>
      </c>
      <c r="CM21" s="15">
        <f t="shared" si="28"/>
        <v>549.9046714</v>
      </c>
      <c r="CN21" s="15">
        <f t="shared" si="29"/>
        <v>2527.2996714</v>
      </c>
      <c r="CO21" s="15">
        <v>75</v>
      </c>
      <c r="CQ21" s="15">
        <f t="shared" si="57"/>
        <v>34.3</v>
      </c>
      <c r="CR21" s="15">
        <f t="shared" si="30"/>
        <v>9.538676</v>
      </c>
      <c r="CS21" s="15">
        <f t="shared" si="31"/>
        <v>43.838676</v>
      </c>
      <c r="CV21" s="15">
        <f t="shared" si="58"/>
        <v>12586.385</v>
      </c>
      <c r="CW21" s="15">
        <f t="shared" si="32"/>
        <v>3500.2171582000005</v>
      </c>
      <c r="CX21" s="15">
        <f t="shared" si="33"/>
        <v>16086.602158200001</v>
      </c>
      <c r="CY21" s="15">
        <v>493</v>
      </c>
      <c r="DA21" s="15">
        <f t="shared" si="59"/>
        <v>18236.82</v>
      </c>
      <c r="DB21" s="15">
        <f t="shared" si="34"/>
        <v>5071.5777624</v>
      </c>
      <c r="DC21" s="15">
        <f t="shared" si="35"/>
        <v>23308.3977624</v>
      </c>
      <c r="DD21" s="15">
        <v>718</v>
      </c>
      <c r="DF21" s="15">
        <f t="shared" si="60"/>
        <v>23074.835</v>
      </c>
      <c r="DG21" s="15">
        <f t="shared" si="36"/>
        <v>6417.008012199999</v>
      </c>
      <c r="DH21" s="15">
        <f t="shared" si="37"/>
        <v>29491.8430122</v>
      </c>
      <c r="DI21" s="15">
        <v>872</v>
      </c>
      <c r="DK21" s="15">
        <f t="shared" si="61"/>
        <v>2146.2</v>
      </c>
      <c r="DL21" s="15">
        <f t="shared" si="38"/>
        <v>596.848584</v>
      </c>
      <c r="DM21" s="15">
        <f t="shared" si="39"/>
        <v>2743.0485839999997</v>
      </c>
      <c r="DN21" s="15">
        <v>85</v>
      </c>
      <c r="DP21" s="15">
        <f t="shared" si="62"/>
        <v>40553.62500000001</v>
      </c>
      <c r="DQ21" s="33">
        <f t="shared" si="40"/>
        <v>11277.781035</v>
      </c>
      <c r="DR21" s="15">
        <f t="shared" si="41"/>
        <v>51831.40603500001</v>
      </c>
      <c r="DS21" s="15">
        <v>1569</v>
      </c>
      <c r="DU21" s="15">
        <f t="shared" si="63"/>
        <v>105213.29</v>
      </c>
      <c r="DV21" s="15">
        <f t="shared" si="42"/>
        <v>29259.3435628</v>
      </c>
      <c r="DW21" s="15">
        <f t="shared" si="43"/>
        <v>134472.6335628</v>
      </c>
      <c r="DX21" s="15">
        <v>4172</v>
      </c>
      <c r="DZ21" s="15">
        <f t="shared" si="64"/>
        <v>7750.575</v>
      </c>
      <c r="EA21" s="15">
        <f t="shared" si="44"/>
        <v>2155.400109</v>
      </c>
      <c r="EB21" s="15">
        <f t="shared" si="45"/>
        <v>9905.975108999999</v>
      </c>
      <c r="EC21" s="15">
        <v>300</v>
      </c>
    </row>
    <row r="22" spans="1:133" ht="12.75">
      <c r="A22" s="2">
        <v>42644</v>
      </c>
      <c r="D22" s="16">
        <v>1539234</v>
      </c>
      <c r="E22" s="16">
        <f t="shared" si="0"/>
        <v>1539234</v>
      </c>
      <c r="G22" s="16"/>
      <c r="H22" s="16"/>
      <c r="I22" s="16"/>
      <c r="P22" s="15">
        <v>170625</v>
      </c>
      <c r="Q22" s="15">
        <f t="shared" si="1"/>
        <v>170625</v>
      </c>
      <c r="T22" s="15">
        <v>312625</v>
      </c>
      <c r="U22" s="15">
        <f t="shared" si="2"/>
        <v>312625</v>
      </c>
      <c r="AB22" s="15">
        <v>435900</v>
      </c>
      <c r="AC22" s="15">
        <f t="shared" si="4"/>
        <v>435900</v>
      </c>
      <c r="AE22" s="16"/>
      <c r="AF22" s="16">
        <v>620084</v>
      </c>
      <c r="AG22" s="16">
        <f t="shared" si="5"/>
        <v>620084</v>
      </c>
      <c r="AJ22" s="33">
        <f t="shared" si="6"/>
        <v>55946.3347992</v>
      </c>
      <c r="AK22" s="33">
        <f t="shared" si="7"/>
        <v>55946.3347992</v>
      </c>
      <c r="AL22" s="33">
        <v>8490</v>
      </c>
      <c r="AO22" s="15">
        <f t="shared" si="8"/>
        <v>525.7072152</v>
      </c>
      <c r="AP22" s="15">
        <f t="shared" si="9"/>
        <v>525.7072152</v>
      </c>
      <c r="AQ22" s="15">
        <v>78</v>
      </c>
      <c r="AS22" s="33"/>
      <c r="AT22" s="15">
        <f t="shared" si="10"/>
        <v>16836.1487176</v>
      </c>
      <c r="AU22" s="15">
        <f t="shared" si="11"/>
        <v>16836.1487176</v>
      </c>
      <c r="AV22" s="15">
        <v>2586</v>
      </c>
      <c r="AY22" s="15">
        <f t="shared" si="12"/>
        <v>141000.590718</v>
      </c>
      <c r="AZ22" s="15">
        <f t="shared" si="13"/>
        <v>141000.590718</v>
      </c>
      <c r="BA22" s="15">
        <v>21774</v>
      </c>
      <c r="BD22" s="15">
        <f t="shared" si="14"/>
        <v>36495.105828399996</v>
      </c>
      <c r="BE22" s="15">
        <f t="shared" si="15"/>
        <v>36495.105828399996</v>
      </c>
      <c r="BF22" s="15">
        <v>5450</v>
      </c>
      <c r="BI22" s="15">
        <f t="shared" si="16"/>
        <v>24710.099366399998</v>
      </c>
      <c r="BJ22" s="15">
        <f t="shared" si="17"/>
        <v>24710.099366399998</v>
      </c>
      <c r="BK22" s="15">
        <v>3738</v>
      </c>
      <c r="BN22" s="15">
        <f t="shared" si="18"/>
        <v>3800.7428696</v>
      </c>
      <c r="BO22" s="15">
        <f t="shared" si="19"/>
        <v>3800.7428696</v>
      </c>
      <c r="BP22" s="15">
        <v>587</v>
      </c>
      <c r="BS22" s="15">
        <f t="shared" si="20"/>
        <v>8701.018688</v>
      </c>
      <c r="BT22" s="15">
        <f t="shared" si="21"/>
        <v>8701.018688</v>
      </c>
      <c r="BU22" s="15">
        <v>1341</v>
      </c>
      <c r="BX22" s="15">
        <f t="shared" si="22"/>
        <v>1458.8716268</v>
      </c>
      <c r="BY22" s="15">
        <f t="shared" si="23"/>
        <v>1458.8716268</v>
      </c>
      <c r="BZ22" s="15">
        <v>225</v>
      </c>
      <c r="CC22" s="15">
        <f t="shared" si="24"/>
        <v>1578.0517716</v>
      </c>
      <c r="CD22" s="15">
        <f t="shared" si="25"/>
        <v>1578.0517716</v>
      </c>
      <c r="CE22" s="15">
        <v>245</v>
      </c>
      <c r="CH22" s="15">
        <f t="shared" si="26"/>
        <v>3013.5462315999994</v>
      </c>
      <c r="CI22" s="15">
        <f t="shared" si="27"/>
        <v>3013.5462315999994</v>
      </c>
      <c r="CJ22" s="15">
        <v>461</v>
      </c>
      <c r="CM22" s="15">
        <f t="shared" si="28"/>
        <v>500.46979640000006</v>
      </c>
      <c r="CN22" s="15">
        <f t="shared" si="29"/>
        <v>500.46979640000006</v>
      </c>
      <c r="CO22" s="15">
        <v>75</v>
      </c>
      <c r="CR22" s="15">
        <f t="shared" si="30"/>
        <v>8.681176</v>
      </c>
      <c r="CS22" s="15">
        <f t="shared" si="31"/>
        <v>8.681176</v>
      </c>
      <c r="CW22" s="15">
        <f t="shared" si="32"/>
        <v>3185.5575332000003</v>
      </c>
      <c r="CX22" s="15">
        <f t="shared" si="33"/>
        <v>3185.5575332000003</v>
      </c>
      <c r="CY22" s="15">
        <v>493</v>
      </c>
      <c r="DB22" s="15">
        <f t="shared" si="34"/>
        <v>4615.6572624</v>
      </c>
      <c r="DC22" s="15">
        <f t="shared" si="35"/>
        <v>4615.6572624</v>
      </c>
      <c r="DD22" s="15">
        <v>718</v>
      </c>
      <c r="DG22" s="15">
        <f t="shared" si="36"/>
        <v>5840.1371372</v>
      </c>
      <c r="DH22" s="15">
        <f t="shared" si="37"/>
        <v>5840.1371372</v>
      </c>
      <c r="DI22" s="15">
        <v>872</v>
      </c>
      <c r="DL22" s="15">
        <f t="shared" si="38"/>
        <v>543.193584</v>
      </c>
      <c r="DM22" s="15">
        <f t="shared" si="39"/>
        <v>543.193584</v>
      </c>
      <c r="DN22" s="15">
        <v>85</v>
      </c>
      <c r="DQ22" s="33">
        <f t="shared" si="40"/>
        <v>10263.940410000001</v>
      </c>
      <c r="DR22" s="15">
        <f t="shared" si="41"/>
        <v>10263.940410000001</v>
      </c>
      <c r="DS22" s="15">
        <v>1569</v>
      </c>
      <c r="DV22" s="15">
        <f t="shared" si="42"/>
        <v>26629.011312799998</v>
      </c>
      <c r="DW22" s="15">
        <f t="shared" si="43"/>
        <v>26629.011312799998</v>
      </c>
      <c r="DX22" s="15">
        <v>4172</v>
      </c>
      <c r="EA22" s="15">
        <f t="shared" si="44"/>
        <v>1961.6357340000002</v>
      </c>
      <c r="EB22" s="15">
        <f t="shared" si="45"/>
        <v>1961.6357340000002</v>
      </c>
      <c r="EC22" s="15">
        <v>300</v>
      </c>
    </row>
    <row r="23" spans="1:133" ht="12.75">
      <c r="A23" s="2">
        <v>42826</v>
      </c>
      <c r="C23" s="16">
        <v>15400000</v>
      </c>
      <c r="D23" s="16">
        <v>1539234</v>
      </c>
      <c r="E23" s="16">
        <f t="shared" si="0"/>
        <v>16939234</v>
      </c>
      <c r="G23" s="16"/>
      <c r="H23" s="16"/>
      <c r="I23" s="16"/>
      <c r="O23" s="15">
        <v>3330000</v>
      </c>
      <c r="P23" s="15">
        <v>170625</v>
      </c>
      <c r="Q23" s="15">
        <f t="shared" si="1"/>
        <v>3500625</v>
      </c>
      <c r="S23" s="15">
        <v>3965000</v>
      </c>
      <c r="T23" s="15">
        <v>312625</v>
      </c>
      <c r="U23" s="15">
        <f t="shared" si="2"/>
        <v>4277625</v>
      </c>
      <c r="AA23" s="15">
        <v>5535000</v>
      </c>
      <c r="AB23" s="15">
        <v>435900</v>
      </c>
      <c r="AC23" s="15">
        <f t="shared" si="4"/>
        <v>5970900</v>
      </c>
      <c r="AE23" s="16">
        <v>2570000</v>
      </c>
      <c r="AF23" s="16">
        <v>620084</v>
      </c>
      <c r="AG23" s="16">
        <f t="shared" si="5"/>
        <v>3190084</v>
      </c>
      <c r="AI23" s="15">
        <f t="shared" si="46"/>
        <v>231875.16600000003</v>
      </c>
      <c r="AJ23" s="33">
        <f t="shared" si="6"/>
        <v>55946.3347992</v>
      </c>
      <c r="AK23" s="33">
        <f t="shared" si="7"/>
        <v>287821.50079920003</v>
      </c>
      <c r="AL23" s="33">
        <v>8490</v>
      </c>
      <c r="AN23" s="15">
        <f t="shared" si="47"/>
        <v>2178.8459999999995</v>
      </c>
      <c r="AO23" s="15">
        <f t="shared" si="8"/>
        <v>525.7072152</v>
      </c>
      <c r="AP23" s="15">
        <f t="shared" si="9"/>
        <v>2704.5532151999996</v>
      </c>
      <c r="AQ23" s="15">
        <v>78</v>
      </c>
      <c r="AS23" s="33">
        <f t="shared" si="48"/>
        <v>69779.098</v>
      </c>
      <c r="AT23" s="15">
        <f t="shared" si="10"/>
        <v>16836.1487176</v>
      </c>
      <c r="AU23" s="15">
        <f t="shared" si="11"/>
        <v>86615.2467176</v>
      </c>
      <c r="AV23" s="15">
        <v>2586</v>
      </c>
      <c r="AX23" s="15">
        <f t="shared" si="49"/>
        <v>584391.015</v>
      </c>
      <c r="AY23" s="15">
        <f t="shared" si="12"/>
        <v>141000.590718</v>
      </c>
      <c r="AZ23" s="15">
        <f t="shared" si="13"/>
        <v>725391.605718</v>
      </c>
      <c r="BA23" s="15">
        <v>21774</v>
      </c>
      <c r="BC23" s="15">
        <f t="shared" si="50"/>
        <v>151257.607</v>
      </c>
      <c r="BD23" s="15">
        <f t="shared" si="14"/>
        <v>36495.105828399996</v>
      </c>
      <c r="BE23" s="15">
        <f t="shared" si="15"/>
        <v>187752.7128284</v>
      </c>
      <c r="BF23" s="15">
        <v>5450</v>
      </c>
      <c r="BH23" s="15">
        <f t="shared" si="51"/>
        <v>102413.472</v>
      </c>
      <c r="BI23" s="15">
        <f t="shared" si="16"/>
        <v>24710.099366399998</v>
      </c>
      <c r="BJ23" s="15">
        <f t="shared" si="17"/>
        <v>127123.57136639999</v>
      </c>
      <c r="BK23" s="15">
        <v>3738</v>
      </c>
      <c r="BM23" s="15">
        <f t="shared" si="52"/>
        <v>15752.558</v>
      </c>
      <c r="BN23" s="15">
        <f t="shared" si="18"/>
        <v>3800.7428696</v>
      </c>
      <c r="BO23" s="15">
        <f t="shared" si="19"/>
        <v>19553.3008696</v>
      </c>
      <c r="BP23" s="15">
        <v>587</v>
      </c>
      <c r="BR23" s="15">
        <f t="shared" si="53"/>
        <v>36062.24</v>
      </c>
      <c r="BS23" s="15">
        <f t="shared" si="20"/>
        <v>8701.018688</v>
      </c>
      <c r="BT23" s="15">
        <f t="shared" si="21"/>
        <v>44763.258688</v>
      </c>
      <c r="BU23" s="15">
        <v>1341</v>
      </c>
      <c r="BW23" s="15">
        <f t="shared" si="54"/>
        <v>6046.439</v>
      </c>
      <c r="BX23" s="15">
        <f t="shared" si="22"/>
        <v>1458.8716268</v>
      </c>
      <c r="BY23" s="15">
        <f t="shared" si="23"/>
        <v>7505.3106268</v>
      </c>
      <c r="BZ23" s="15">
        <v>225</v>
      </c>
      <c r="CB23" s="15">
        <f t="shared" si="55"/>
        <v>6540.392999999999</v>
      </c>
      <c r="CC23" s="15">
        <f t="shared" si="24"/>
        <v>1578.0517716</v>
      </c>
      <c r="CD23" s="15">
        <f t="shared" si="25"/>
        <v>8118.4447715999995</v>
      </c>
      <c r="CE23" s="15">
        <v>245</v>
      </c>
      <c r="CG23" s="15">
        <f t="shared" si="56"/>
        <v>12489.943000000001</v>
      </c>
      <c r="CH23" s="15">
        <f t="shared" si="26"/>
        <v>3013.5462315999994</v>
      </c>
      <c r="CI23" s="15">
        <f t="shared" si="27"/>
        <v>15503.4892316</v>
      </c>
      <c r="CJ23" s="15">
        <v>461</v>
      </c>
      <c r="CL23" s="15">
        <f>AE23*0.08071/100</f>
        <v>2074.2470000000003</v>
      </c>
      <c r="CM23" s="15">
        <f t="shared" si="28"/>
        <v>500.46979640000006</v>
      </c>
      <c r="CN23" s="15">
        <f t="shared" si="29"/>
        <v>2574.7167964000005</v>
      </c>
      <c r="CO23" s="15">
        <v>75</v>
      </c>
      <c r="CQ23" s="15">
        <f t="shared" si="57"/>
        <v>35.98</v>
      </c>
      <c r="CR23" s="15">
        <f t="shared" si="30"/>
        <v>8.681176</v>
      </c>
      <c r="CS23" s="15">
        <f t="shared" si="31"/>
        <v>44.661176</v>
      </c>
      <c r="CV23" s="15">
        <f t="shared" si="58"/>
        <v>13202.861</v>
      </c>
      <c r="CW23" s="15">
        <f t="shared" si="32"/>
        <v>3185.5575332000003</v>
      </c>
      <c r="CX23" s="15">
        <f t="shared" si="33"/>
        <v>16388.4185332</v>
      </c>
      <c r="CY23" s="15">
        <v>493</v>
      </c>
      <c r="DA23" s="15">
        <f t="shared" si="59"/>
        <v>19130.052</v>
      </c>
      <c r="DB23" s="15">
        <f t="shared" si="34"/>
        <v>4615.6572624</v>
      </c>
      <c r="DC23" s="15">
        <f t="shared" si="35"/>
        <v>23745.7092624</v>
      </c>
      <c r="DD23" s="15">
        <v>718</v>
      </c>
      <c r="DF23" s="15">
        <f t="shared" si="60"/>
        <v>24205.030999999995</v>
      </c>
      <c r="DG23" s="15">
        <f t="shared" si="36"/>
        <v>5840.1371372</v>
      </c>
      <c r="DH23" s="15">
        <f t="shared" si="37"/>
        <v>30045.168137199995</v>
      </c>
      <c r="DI23" s="15">
        <v>872</v>
      </c>
      <c r="DK23" s="15">
        <f t="shared" si="61"/>
        <v>2251.32</v>
      </c>
      <c r="DL23" s="15">
        <f t="shared" si="38"/>
        <v>543.193584</v>
      </c>
      <c r="DM23" s="15">
        <f t="shared" si="39"/>
        <v>2794.5135840000003</v>
      </c>
      <c r="DN23" s="15">
        <v>85</v>
      </c>
      <c r="DP23" s="15">
        <f t="shared" si="62"/>
        <v>42539.925</v>
      </c>
      <c r="DQ23" s="33">
        <f t="shared" si="40"/>
        <v>10263.940410000001</v>
      </c>
      <c r="DR23" s="15">
        <f t="shared" si="41"/>
        <v>52803.865410000006</v>
      </c>
      <c r="DS23" s="15">
        <v>1569</v>
      </c>
      <c r="DU23" s="15">
        <f t="shared" si="63"/>
        <v>110366.59399999998</v>
      </c>
      <c r="DV23" s="15">
        <f t="shared" si="42"/>
        <v>26629.011312799998</v>
      </c>
      <c r="DW23" s="15">
        <f t="shared" si="43"/>
        <v>136995.60531279998</v>
      </c>
      <c r="DX23" s="15">
        <v>4172</v>
      </c>
      <c r="DZ23" s="15">
        <f t="shared" si="64"/>
        <v>8130.195</v>
      </c>
      <c r="EA23" s="15">
        <f t="shared" si="44"/>
        <v>1961.6357340000002</v>
      </c>
      <c r="EB23" s="15">
        <f t="shared" si="45"/>
        <v>10091.830734</v>
      </c>
      <c r="EC23" s="15">
        <v>300</v>
      </c>
    </row>
    <row r="24" spans="1:133" ht="12.75">
      <c r="A24" s="2">
        <v>43009</v>
      </c>
      <c r="D24" s="16">
        <v>1154234</v>
      </c>
      <c r="E24" s="16">
        <f t="shared" si="0"/>
        <v>1154234</v>
      </c>
      <c r="G24" s="16"/>
      <c r="H24" s="16"/>
      <c r="I24" s="16"/>
      <c r="P24" s="15">
        <v>87375</v>
      </c>
      <c r="Q24" s="15">
        <f t="shared" si="1"/>
        <v>87375</v>
      </c>
      <c r="T24" s="15">
        <v>213500</v>
      </c>
      <c r="U24" s="15">
        <f t="shared" si="2"/>
        <v>213500</v>
      </c>
      <c r="AB24" s="15">
        <v>297525</v>
      </c>
      <c r="AC24" s="15">
        <f t="shared" si="4"/>
        <v>297525</v>
      </c>
      <c r="AE24" s="16"/>
      <c r="AF24" s="16">
        <v>555834</v>
      </c>
      <c r="AG24" s="16">
        <f t="shared" si="5"/>
        <v>555834</v>
      </c>
      <c r="AJ24" s="33">
        <f t="shared" si="6"/>
        <v>50149.4556492</v>
      </c>
      <c r="AK24" s="33">
        <f t="shared" si="7"/>
        <v>50149.4556492</v>
      </c>
      <c r="AL24" s="33">
        <v>8490</v>
      </c>
      <c r="AO24" s="15">
        <f t="shared" si="8"/>
        <v>471.2360651999999</v>
      </c>
      <c r="AP24" s="15">
        <f t="shared" si="9"/>
        <v>471.2360651999999</v>
      </c>
      <c r="AQ24" s="15">
        <v>78</v>
      </c>
      <c r="AS24" s="33"/>
      <c r="AT24" s="15">
        <f t="shared" si="10"/>
        <v>15091.671267599999</v>
      </c>
      <c r="AU24" s="15">
        <f t="shared" si="11"/>
        <v>15091.671267599999</v>
      </c>
      <c r="AV24" s="15">
        <v>2586</v>
      </c>
      <c r="AY24" s="15">
        <f t="shared" si="12"/>
        <v>126390.815343</v>
      </c>
      <c r="AZ24" s="15">
        <f t="shared" si="13"/>
        <v>126390.815343</v>
      </c>
      <c r="BA24" s="15">
        <v>21774</v>
      </c>
      <c r="BD24" s="15">
        <f t="shared" si="14"/>
        <v>32713.665653400003</v>
      </c>
      <c r="BE24" s="15">
        <f t="shared" si="15"/>
        <v>32713.665653400003</v>
      </c>
      <c r="BF24" s="15">
        <v>5450</v>
      </c>
      <c r="BI24" s="15">
        <f t="shared" si="16"/>
        <v>22149.762566399997</v>
      </c>
      <c r="BJ24" s="15">
        <f t="shared" si="17"/>
        <v>22149.762566399997</v>
      </c>
      <c r="BK24" s="15">
        <v>3738</v>
      </c>
      <c r="BN24" s="15">
        <f t="shared" si="18"/>
        <v>3406.9289196000004</v>
      </c>
      <c r="BO24" s="15">
        <f t="shared" si="19"/>
        <v>3406.9289196000004</v>
      </c>
      <c r="BP24" s="15">
        <v>587</v>
      </c>
      <c r="BS24" s="15">
        <f t="shared" si="20"/>
        <v>7799.462688</v>
      </c>
      <c r="BT24" s="15">
        <f t="shared" si="21"/>
        <v>7799.462688</v>
      </c>
      <c r="BU24" s="15">
        <v>1341</v>
      </c>
      <c r="BX24" s="15">
        <f t="shared" si="22"/>
        <v>1307.7106518</v>
      </c>
      <c r="BY24" s="15">
        <f t="shared" si="23"/>
        <v>1307.7106518</v>
      </c>
      <c r="BZ24" s="15">
        <v>225</v>
      </c>
      <c r="CC24" s="15">
        <f t="shared" si="24"/>
        <v>1414.5419466</v>
      </c>
      <c r="CD24" s="15">
        <f t="shared" si="25"/>
        <v>1414.5419466</v>
      </c>
      <c r="CE24" s="15">
        <v>245</v>
      </c>
      <c r="CH24" s="15">
        <f t="shared" si="26"/>
        <v>2701.2976565999998</v>
      </c>
      <c r="CI24" s="15">
        <f t="shared" si="27"/>
        <v>2701.2976565999998</v>
      </c>
      <c r="CJ24" s="15">
        <v>461</v>
      </c>
      <c r="CM24" s="15">
        <f t="shared" si="28"/>
        <v>448.61362140000006</v>
      </c>
      <c r="CN24" s="15">
        <f t="shared" si="29"/>
        <v>448.61362140000006</v>
      </c>
      <c r="CO24" s="15">
        <v>75</v>
      </c>
      <c r="CR24" s="15">
        <f t="shared" si="30"/>
        <v>7.781676</v>
      </c>
      <c r="CS24" s="15">
        <f t="shared" si="31"/>
        <v>7.781676</v>
      </c>
      <c r="CW24" s="15">
        <f t="shared" si="32"/>
        <v>2855.4860082</v>
      </c>
      <c r="CX24" s="15">
        <f t="shared" si="33"/>
        <v>2855.4860082</v>
      </c>
      <c r="CY24" s="15">
        <v>493</v>
      </c>
      <c r="DB24" s="15">
        <f t="shared" si="34"/>
        <v>4137.4059624</v>
      </c>
      <c r="DC24" s="15">
        <f t="shared" si="35"/>
        <v>4137.4059624</v>
      </c>
      <c r="DD24" s="15">
        <v>718</v>
      </c>
      <c r="DG24" s="15">
        <f t="shared" si="36"/>
        <v>5235.0113622</v>
      </c>
      <c r="DH24" s="15">
        <f t="shared" si="37"/>
        <v>5235.0113622</v>
      </c>
      <c r="DI24" s="15">
        <v>872</v>
      </c>
      <c r="DL24" s="15">
        <f t="shared" si="38"/>
        <v>486.91058400000003</v>
      </c>
      <c r="DM24" s="15">
        <f t="shared" si="39"/>
        <v>486.91058400000003</v>
      </c>
      <c r="DN24" s="15">
        <v>85</v>
      </c>
      <c r="DQ24" s="33">
        <f t="shared" si="40"/>
        <v>9200.442285000001</v>
      </c>
      <c r="DR24" s="15">
        <f t="shared" si="41"/>
        <v>9200.442285000001</v>
      </c>
      <c r="DS24" s="15">
        <v>1569</v>
      </c>
      <c r="DV24" s="15">
        <f t="shared" si="42"/>
        <v>23869.8464628</v>
      </c>
      <c r="DW24" s="15">
        <f t="shared" si="43"/>
        <v>23869.8464628</v>
      </c>
      <c r="DX24" s="15">
        <v>4172</v>
      </c>
      <c r="EA24" s="15">
        <f t="shared" si="44"/>
        <v>1758.380859</v>
      </c>
      <c r="EB24" s="15">
        <f t="shared" si="45"/>
        <v>1758.380859</v>
      </c>
      <c r="EC24" s="15">
        <v>300</v>
      </c>
    </row>
    <row r="25" spans="1:133" ht="12.75">
      <c r="A25" s="34">
        <v>43191</v>
      </c>
      <c r="C25" s="16">
        <v>10360000</v>
      </c>
      <c r="D25" s="16">
        <v>1154234</v>
      </c>
      <c r="E25" s="16">
        <f t="shared" si="0"/>
        <v>11514234</v>
      </c>
      <c r="G25" s="16"/>
      <c r="H25" s="16"/>
      <c r="I25" s="16"/>
      <c r="O25" s="15">
        <v>3495000</v>
      </c>
      <c r="P25" s="15">
        <v>87375</v>
      </c>
      <c r="Q25" s="15">
        <f t="shared" si="1"/>
        <v>3582375</v>
      </c>
      <c r="S25" s="15">
        <v>4165000</v>
      </c>
      <c r="T25" s="15">
        <v>213500</v>
      </c>
      <c r="U25" s="15">
        <f t="shared" si="2"/>
        <v>4378500</v>
      </c>
      <c r="AB25" s="15">
        <v>297525</v>
      </c>
      <c r="AC25" s="15">
        <f t="shared" si="4"/>
        <v>297525</v>
      </c>
      <c r="AE25" s="16">
        <v>2700000</v>
      </c>
      <c r="AF25" s="16">
        <v>555834</v>
      </c>
      <c r="AG25" s="16">
        <f t="shared" si="5"/>
        <v>3255834</v>
      </c>
      <c r="AI25" s="15">
        <f t="shared" si="46"/>
        <v>243604.26</v>
      </c>
      <c r="AJ25" s="33">
        <f t="shared" si="6"/>
        <v>50149.4556492</v>
      </c>
      <c r="AK25" s="33">
        <f t="shared" si="7"/>
        <v>293753.7156492</v>
      </c>
      <c r="AL25" s="33">
        <v>8490</v>
      </c>
      <c r="AN25" s="15">
        <f t="shared" si="47"/>
        <v>2289.0599999999995</v>
      </c>
      <c r="AO25" s="15">
        <f t="shared" si="8"/>
        <v>471.2360651999999</v>
      </c>
      <c r="AP25" s="15">
        <f t="shared" si="9"/>
        <v>2760.2960651999992</v>
      </c>
      <c r="AQ25" s="15">
        <v>78</v>
      </c>
      <c r="AS25" s="33">
        <f t="shared" si="48"/>
        <v>73308.78</v>
      </c>
      <c r="AT25" s="15">
        <f t="shared" si="10"/>
        <v>15091.671267599999</v>
      </c>
      <c r="AU25" s="15">
        <f t="shared" si="11"/>
        <v>88400.4512676</v>
      </c>
      <c r="AV25" s="15">
        <v>2586</v>
      </c>
      <c r="AX25" s="15">
        <f t="shared" si="49"/>
        <v>613951.65</v>
      </c>
      <c r="AY25" s="15">
        <f t="shared" si="12"/>
        <v>126390.815343</v>
      </c>
      <c r="AZ25" s="15">
        <f t="shared" si="13"/>
        <v>740342.465343</v>
      </c>
      <c r="BA25" s="15">
        <v>21774</v>
      </c>
      <c r="BC25" s="15">
        <f t="shared" si="50"/>
        <v>158908.77</v>
      </c>
      <c r="BD25" s="15">
        <f t="shared" si="14"/>
        <v>32713.665653400003</v>
      </c>
      <c r="BE25" s="15">
        <f t="shared" si="15"/>
        <v>191622.4356534</v>
      </c>
      <c r="BF25" s="15">
        <v>5450</v>
      </c>
      <c r="BH25" s="15">
        <f t="shared" si="51"/>
        <v>107593.92</v>
      </c>
      <c r="BI25" s="15">
        <f t="shared" si="16"/>
        <v>22149.762566399997</v>
      </c>
      <c r="BJ25" s="15">
        <f t="shared" si="17"/>
        <v>129743.68256639999</v>
      </c>
      <c r="BK25" s="15">
        <v>3738</v>
      </c>
      <c r="BM25" s="15">
        <f t="shared" si="52"/>
        <v>16549.38</v>
      </c>
      <c r="BN25" s="15">
        <f t="shared" si="18"/>
        <v>3406.9289196000004</v>
      </c>
      <c r="BO25" s="15">
        <f t="shared" si="19"/>
        <v>19956.3089196</v>
      </c>
      <c r="BP25" s="15">
        <v>587</v>
      </c>
      <c r="BR25" s="15">
        <f t="shared" si="53"/>
        <v>37886.4</v>
      </c>
      <c r="BS25" s="15">
        <f t="shared" si="20"/>
        <v>7799.462688</v>
      </c>
      <c r="BT25" s="15">
        <f t="shared" si="21"/>
        <v>45685.862688</v>
      </c>
      <c r="BU25" s="15">
        <v>1341</v>
      </c>
      <c r="BW25" s="15">
        <f t="shared" si="54"/>
        <v>6352.29</v>
      </c>
      <c r="BX25" s="15">
        <f t="shared" si="22"/>
        <v>1307.7106518</v>
      </c>
      <c r="BY25" s="15">
        <f t="shared" si="23"/>
        <v>7660.0006518</v>
      </c>
      <c r="BZ25" s="15">
        <v>225</v>
      </c>
      <c r="CB25" s="15">
        <f t="shared" si="55"/>
        <v>6871.23</v>
      </c>
      <c r="CC25" s="15">
        <f t="shared" si="24"/>
        <v>1414.5419466</v>
      </c>
      <c r="CD25" s="15">
        <f t="shared" si="25"/>
        <v>8285.7719466</v>
      </c>
      <c r="CE25" s="15">
        <v>245</v>
      </c>
      <c r="CG25" s="15">
        <f t="shared" si="56"/>
        <v>13121.73</v>
      </c>
      <c r="CH25" s="15">
        <f t="shared" si="26"/>
        <v>2701.2976565999998</v>
      </c>
      <c r="CI25" s="15">
        <f t="shared" si="27"/>
        <v>15823.0276566</v>
      </c>
      <c r="CJ25" s="15">
        <v>461</v>
      </c>
      <c r="CL25" s="15">
        <f>AE25*0.08071/100</f>
        <v>2179.17</v>
      </c>
      <c r="CM25" s="15">
        <f t="shared" si="28"/>
        <v>448.61362140000006</v>
      </c>
      <c r="CN25" s="15">
        <f t="shared" si="29"/>
        <v>2627.7836214</v>
      </c>
      <c r="CO25" s="15">
        <v>75</v>
      </c>
      <c r="CQ25" s="15">
        <f t="shared" si="57"/>
        <v>37.8</v>
      </c>
      <c r="CR25" s="15">
        <f t="shared" si="30"/>
        <v>7.781676</v>
      </c>
      <c r="CS25" s="15">
        <f t="shared" si="31"/>
        <v>45.581675999999995</v>
      </c>
      <c r="CV25" s="15">
        <f t="shared" si="58"/>
        <v>13870.71</v>
      </c>
      <c r="CW25" s="15">
        <f t="shared" si="32"/>
        <v>2855.4860082</v>
      </c>
      <c r="CX25" s="15">
        <f t="shared" si="33"/>
        <v>16726.1960082</v>
      </c>
      <c r="CY25" s="15">
        <v>493</v>
      </c>
      <c r="DA25" s="15">
        <f t="shared" si="59"/>
        <v>20097.72</v>
      </c>
      <c r="DB25" s="15">
        <f t="shared" si="34"/>
        <v>4137.4059624</v>
      </c>
      <c r="DC25" s="15">
        <f t="shared" si="35"/>
        <v>24235.1259624</v>
      </c>
      <c r="DD25" s="15">
        <v>718</v>
      </c>
      <c r="DF25" s="15">
        <f t="shared" si="60"/>
        <v>25429.41</v>
      </c>
      <c r="DG25" s="15">
        <f t="shared" si="36"/>
        <v>5235.0113622</v>
      </c>
      <c r="DH25" s="15">
        <f t="shared" si="37"/>
        <v>30664.4213622</v>
      </c>
      <c r="DI25" s="15">
        <v>872</v>
      </c>
      <c r="DK25" s="15">
        <f t="shared" si="61"/>
        <v>2365.2</v>
      </c>
      <c r="DL25" s="15">
        <f t="shared" si="38"/>
        <v>486.91058400000003</v>
      </c>
      <c r="DM25" s="15">
        <f t="shared" si="39"/>
        <v>2852.110584</v>
      </c>
      <c r="DN25" s="15">
        <v>85</v>
      </c>
      <c r="DP25" s="15">
        <f t="shared" si="62"/>
        <v>44691.75</v>
      </c>
      <c r="DQ25" s="33">
        <f t="shared" si="40"/>
        <v>9200.442285000001</v>
      </c>
      <c r="DR25" s="15">
        <f t="shared" si="41"/>
        <v>53892.192285</v>
      </c>
      <c r="DS25" s="15">
        <v>1569</v>
      </c>
      <c r="DU25" s="15">
        <f t="shared" si="63"/>
        <v>115949.34</v>
      </c>
      <c r="DV25" s="15">
        <f t="shared" si="42"/>
        <v>23869.8464628</v>
      </c>
      <c r="DW25" s="15">
        <f t="shared" si="43"/>
        <v>139819.1864628</v>
      </c>
      <c r="DX25" s="15">
        <v>4172</v>
      </c>
      <c r="DZ25" s="15">
        <f t="shared" si="64"/>
        <v>8541.45</v>
      </c>
      <c r="EA25" s="15">
        <f t="shared" si="44"/>
        <v>1758.380859</v>
      </c>
      <c r="EB25" s="15">
        <f t="shared" si="45"/>
        <v>10299.830859000002</v>
      </c>
      <c r="EC25" s="15">
        <v>300</v>
      </c>
    </row>
    <row r="26" spans="1:133" ht="12.75">
      <c r="A26" s="34">
        <v>43374</v>
      </c>
      <c r="D26" s="16">
        <v>895234</v>
      </c>
      <c r="E26" s="16">
        <f t="shared" si="0"/>
        <v>895234</v>
      </c>
      <c r="G26" s="16"/>
      <c r="H26" s="16"/>
      <c r="I26" s="16"/>
      <c r="T26" s="15">
        <v>109375</v>
      </c>
      <c r="U26" s="15">
        <f t="shared" si="2"/>
        <v>109375</v>
      </c>
      <c r="AB26" s="15">
        <v>297525</v>
      </c>
      <c r="AC26" s="15">
        <f t="shared" si="4"/>
        <v>297525</v>
      </c>
      <c r="AE26" s="16"/>
      <c r="AF26" s="16">
        <v>488334</v>
      </c>
      <c r="AG26" s="16">
        <f t="shared" si="5"/>
        <v>488334</v>
      </c>
      <c r="AJ26" s="33">
        <f t="shared" si="6"/>
        <v>44059.3491492</v>
      </c>
      <c r="AK26" s="33">
        <f t="shared" si="7"/>
        <v>44059.3491492</v>
      </c>
      <c r="AL26" s="33">
        <v>8490</v>
      </c>
      <c r="AO26" s="15">
        <f t="shared" si="8"/>
        <v>414.0095652</v>
      </c>
      <c r="AP26" s="15">
        <f t="shared" si="9"/>
        <v>414.0095652</v>
      </c>
      <c r="AQ26" s="15">
        <v>78</v>
      </c>
      <c r="AS26" s="33"/>
      <c r="AT26" s="15">
        <f t="shared" si="10"/>
        <v>13258.9517676</v>
      </c>
      <c r="AU26" s="15">
        <f t="shared" si="11"/>
        <v>13258.9517676</v>
      </c>
      <c r="AV26" s="15">
        <v>2586</v>
      </c>
      <c r="AY26" s="15">
        <f t="shared" si="12"/>
        <v>111042.024093</v>
      </c>
      <c r="AZ26" s="15">
        <f t="shared" si="13"/>
        <v>111042.024093</v>
      </c>
      <c r="BA26" s="15">
        <v>21774</v>
      </c>
      <c r="BD26" s="15">
        <f t="shared" si="14"/>
        <v>28740.946403399998</v>
      </c>
      <c r="BE26" s="15">
        <f t="shared" si="15"/>
        <v>28740.946403399998</v>
      </c>
      <c r="BF26" s="15">
        <v>5450</v>
      </c>
      <c r="BI26" s="15">
        <f t="shared" si="16"/>
        <v>19459.9145664</v>
      </c>
      <c r="BJ26" s="15">
        <f t="shared" si="17"/>
        <v>19459.9145664</v>
      </c>
      <c r="BK26" s="15">
        <v>3738</v>
      </c>
      <c r="BN26" s="15">
        <f t="shared" si="18"/>
        <v>2993.1944196000004</v>
      </c>
      <c r="BO26" s="15">
        <f t="shared" si="19"/>
        <v>2993.1944196000004</v>
      </c>
      <c r="BP26" s="15">
        <v>587</v>
      </c>
      <c r="BS26" s="15">
        <f t="shared" si="20"/>
        <v>6852.302688</v>
      </c>
      <c r="BT26" s="15">
        <f t="shared" si="21"/>
        <v>6852.302688</v>
      </c>
      <c r="BU26" s="15">
        <v>1341</v>
      </c>
      <c r="BX26" s="15">
        <f t="shared" si="22"/>
        <v>1148.9034018</v>
      </c>
      <c r="BY26" s="15">
        <f t="shared" si="23"/>
        <v>1148.9034018</v>
      </c>
      <c r="BZ26" s="15">
        <v>225</v>
      </c>
      <c r="CC26" s="15">
        <f t="shared" si="24"/>
        <v>1242.7611966</v>
      </c>
      <c r="CD26" s="15">
        <f t="shared" si="25"/>
        <v>1242.7611966</v>
      </c>
      <c r="CE26" s="15">
        <v>245</v>
      </c>
      <c r="CH26" s="15">
        <f t="shared" si="26"/>
        <v>2373.2544066</v>
      </c>
      <c r="CI26" s="15">
        <f t="shared" si="27"/>
        <v>2373.2544066</v>
      </c>
      <c r="CJ26" s="15">
        <v>461</v>
      </c>
      <c r="CM26" s="15">
        <f t="shared" si="28"/>
        <v>394.1343714</v>
      </c>
      <c r="CN26" s="15">
        <f t="shared" si="29"/>
        <v>394.1343714</v>
      </c>
      <c r="CO26" s="15">
        <v>75</v>
      </c>
      <c r="CR26" s="15">
        <f t="shared" si="30"/>
        <v>6.836676</v>
      </c>
      <c r="CS26" s="15">
        <f t="shared" si="31"/>
        <v>6.836676</v>
      </c>
      <c r="CW26" s="15">
        <f t="shared" si="32"/>
        <v>2508.7182582</v>
      </c>
      <c r="CX26" s="15">
        <f t="shared" si="33"/>
        <v>2508.7182582</v>
      </c>
      <c r="CY26" s="15">
        <v>493</v>
      </c>
      <c r="DB26" s="15">
        <f t="shared" si="34"/>
        <v>3634.9629624</v>
      </c>
      <c r="DC26" s="15">
        <f t="shared" si="35"/>
        <v>3634.9629624</v>
      </c>
      <c r="DD26" s="15">
        <v>718</v>
      </c>
      <c r="DG26" s="15">
        <f t="shared" si="36"/>
        <v>4599.276112199999</v>
      </c>
      <c r="DH26" s="15">
        <f t="shared" si="37"/>
        <v>4599.276112199999</v>
      </c>
      <c r="DI26" s="15">
        <v>872</v>
      </c>
      <c r="DL26" s="15">
        <f t="shared" si="38"/>
        <v>427.78058400000003</v>
      </c>
      <c r="DM26" s="15">
        <f t="shared" si="39"/>
        <v>427.78058400000003</v>
      </c>
      <c r="DN26" s="15">
        <v>85</v>
      </c>
      <c r="DQ26" s="33">
        <f t="shared" si="40"/>
        <v>8083.148535000001</v>
      </c>
      <c r="DR26" s="15">
        <f t="shared" si="41"/>
        <v>8083.148535000001</v>
      </c>
      <c r="DS26" s="15">
        <v>1569</v>
      </c>
      <c r="DV26" s="15">
        <f t="shared" si="42"/>
        <v>20971.112962799998</v>
      </c>
      <c r="DW26" s="15">
        <f t="shared" si="43"/>
        <v>20971.112962799998</v>
      </c>
      <c r="DX26" s="15">
        <v>4172</v>
      </c>
      <c r="EA26" s="15">
        <f t="shared" si="44"/>
        <v>1544.844609</v>
      </c>
      <c r="EB26" s="15">
        <f t="shared" si="45"/>
        <v>1544.844609</v>
      </c>
      <c r="EC26" s="15">
        <v>300</v>
      </c>
    </row>
    <row r="27" spans="1:133" ht="12.75">
      <c r="A27" s="34">
        <v>43556</v>
      </c>
      <c r="B27" s="35"/>
      <c r="C27" s="22">
        <v>7210000</v>
      </c>
      <c r="D27" s="22">
        <v>895234</v>
      </c>
      <c r="E27" s="16">
        <f t="shared" si="0"/>
        <v>8105234</v>
      </c>
      <c r="G27" s="22"/>
      <c r="H27" s="22"/>
      <c r="I27" s="16"/>
      <c r="K27" s="33"/>
      <c r="L27" s="33"/>
      <c r="M27" s="33"/>
      <c r="O27" s="33"/>
      <c r="P27" s="33"/>
      <c r="S27" s="33">
        <v>4375000</v>
      </c>
      <c r="T27" s="33">
        <v>109375</v>
      </c>
      <c r="U27" s="15">
        <f t="shared" si="2"/>
        <v>4484375</v>
      </c>
      <c r="W27" s="33"/>
      <c r="X27" s="33"/>
      <c r="Y27" s="33"/>
      <c r="AA27" s="33"/>
      <c r="AB27" s="33">
        <v>297525</v>
      </c>
      <c r="AC27" s="15">
        <f t="shared" si="4"/>
        <v>297525</v>
      </c>
      <c r="AE27" s="22">
        <v>2835000</v>
      </c>
      <c r="AF27" s="22">
        <v>488334</v>
      </c>
      <c r="AG27" s="16">
        <f t="shared" si="5"/>
        <v>3323334</v>
      </c>
      <c r="AI27" s="15">
        <f t="shared" si="46"/>
        <v>255784.473</v>
      </c>
      <c r="AJ27" s="33">
        <f t="shared" si="6"/>
        <v>44059.3491492</v>
      </c>
      <c r="AK27" s="33">
        <f t="shared" si="7"/>
        <v>299843.8221492</v>
      </c>
      <c r="AL27" s="33">
        <v>8490</v>
      </c>
      <c r="AN27" s="15">
        <f t="shared" si="47"/>
        <v>2403.513</v>
      </c>
      <c r="AO27" s="15">
        <f t="shared" si="8"/>
        <v>414.0095652</v>
      </c>
      <c r="AP27" s="15">
        <f t="shared" si="9"/>
        <v>2817.5225652</v>
      </c>
      <c r="AQ27" s="15">
        <v>78</v>
      </c>
      <c r="AS27" s="33">
        <f t="shared" si="48"/>
        <v>76974.219</v>
      </c>
      <c r="AT27" s="15">
        <f t="shared" si="10"/>
        <v>13258.9517676</v>
      </c>
      <c r="AU27" s="15">
        <f t="shared" si="11"/>
        <v>90233.1707676</v>
      </c>
      <c r="AV27" s="15">
        <v>2586</v>
      </c>
      <c r="AX27" s="15">
        <f t="shared" si="49"/>
        <v>644649.2325</v>
      </c>
      <c r="AY27" s="15">
        <f t="shared" si="12"/>
        <v>111042.024093</v>
      </c>
      <c r="AZ27" s="15">
        <f t="shared" si="13"/>
        <v>755691.256593</v>
      </c>
      <c r="BA27" s="15">
        <v>21774</v>
      </c>
      <c r="BC27" s="15">
        <f t="shared" si="50"/>
        <v>166854.2085</v>
      </c>
      <c r="BD27" s="15">
        <f t="shared" si="14"/>
        <v>28740.946403399998</v>
      </c>
      <c r="BE27" s="15">
        <f t="shared" si="15"/>
        <v>195595.1549034</v>
      </c>
      <c r="BF27" s="15">
        <v>5450</v>
      </c>
      <c r="BH27" s="15">
        <f t="shared" si="51"/>
        <v>112973.616</v>
      </c>
      <c r="BI27" s="15">
        <f t="shared" si="16"/>
        <v>19459.9145664</v>
      </c>
      <c r="BJ27" s="15">
        <f t="shared" si="17"/>
        <v>132433.5305664</v>
      </c>
      <c r="BK27" s="15">
        <v>3738</v>
      </c>
      <c r="BM27" s="15">
        <f t="shared" si="52"/>
        <v>17376.849000000002</v>
      </c>
      <c r="BN27" s="15">
        <f t="shared" si="18"/>
        <v>2993.1944196000004</v>
      </c>
      <c r="BO27" s="15">
        <f t="shared" si="19"/>
        <v>20370.043419600002</v>
      </c>
      <c r="BP27" s="15">
        <v>587</v>
      </c>
      <c r="BR27" s="15">
        <f t="shared" si="53"/>
        <v>39780.72</v>
      </c>
      <c r="BS27" s="15">
        <f t="shared" si="20"/>
        <v>6852.302688</v>
      </c>
      <c r="BT27" s="15">
        <f t="shared" si="21"/>
        <v>46633.022688</v>
      </c>
      <c r="BU27" s="15">
        <v>1341</v>
      </c>
      <c r="BW27" s="15">
        <f t="shared" si="54"/>
        <v>6669.904500000001</v>
      </c>
      <c r="BX27" s="15">
        <f t="shared" si="22"/>
        <v>1148.9034018</v>
      </c>
      <c r="BY27" s="15">
        <f t="shared" si="23"/>
        <v>7818.807901800001</v>
      </c>
      <c r="BZ27" s="15">
        <v>225</v>
      </c>
      <c r="CB27" s="15">
        <f t="shared" si="55"/>
        <v>7214.7915</v>
      </c>
      <c r="CC27" s="15">
        <f t="shared" si="24"/>
        <v>1242.7611966</v>
      </c>
      <c r="CD27" s="15">
        <f t="shared" si="25"/>
        <v>8457.5526966</v>
      </c>
      <c r="CE27" s="15">
        <v>245</v>
      </c>
      <c r="CG27" s="15">
        <f t="shared" si="56"/>
        <v>13777.816499999999</v>
      </c>
      <c r="CH27" s="15">
        <f t="shared" si="26"/>
        <v>2373.2544066</v>
      </c>
      <c r="CI27" s="15">
        <f t="shared" si="27"/>
        <v>16151.070906599998</v>
      </c>
      <c r="CJ27" s="15">
        <v>461</v>
      </c>
      <c r="CL27" s="15">
        <f>AE27*0.08071/100</f>
        <v>2288.1285000000003</v>
      </c>
      <c r="CM27" s="15">
        <f t="shared" si="28"/>
        <v>394.1343714</v>
      </c>
      <c r="CN27" s="15">
        <f t="shared" si="29"/>
        <v>2682.2628714</v>
      </c>
      <c r="CO27" s="15">
        <v>75</v>
      </c>
      <c r="CQ27" s="15">
        <f t="shared" si="57"/>
        <v>39.69</v>
      </c>
      <c r="CR27" s="15">
        <f t="shared" si="30"/>
        <v>6.836676</v>
      </c>
      <c r="CS27" s="15">
        <f t="shared" si="31"/>
        <v>46.526675999999995</v>
      </c>
      <c r="CV27" s="15">
        <f t="shared" si="58"/>
        <v>14564.2455</v>
      </c>
      <c r="CW27" s="15">
        <f t="shared" si="32"/>
        <v>2508.7182582</v>
      </c>
      <c r="CX27" s="15">
        <f t="shared" si="33"/>
        <v>17072.9637582</v>
      </c>
      <c r="CY27" s="15">
        <v>493</v>
      </c>
      <c r="DA27" s="15">
        <f t="shared" si="59"/>
        <v>21102.606</v>
      </c>
      <c r="DB27" s="15">
        <f t="shared" si="34"/>
        <v>3634.9629624</v>
      </c>
      <c r="DC27" s="15">
        <f t="shared" si="35"/>
        <v>24737.5689624</v>
      </c>
      <c r="DD27" s="15">
        <v>718</v>
      </c>
      <c r="DF27" s="15">
        <f t="shared" si="60"/>
        <v>26700.8805</v>
      </c>
      <c r="DG27" s="15">
        <f t="shared" si="36"/>
        <v>4599.276112199999</v>
      </c>
      <c r="DH27" s="15">
        <f t="shared" si="37"/>
        <v>31300.1566122</v>
      </c>
      <c r="DI27" s="15">
        <v>872</v>
      </c>
      <c r="DK27" s="15">
        <f t="shared" si="61"/>
        <v>2483.46</v>
      </c>
      <c r="DL27" s="15">
        <f t="shared" si="38"/>
        <v>427.78058400000003</v>
      </c>
      <c r="DM27" s="15">
        <f t="shared" si="39"/>
        <v>2911.240584</v>
      </c>
      <c r="DN27" s="15">
        <v>85</v>
      </c>
      <c r="DP27" s="15">
        <f t="shared" si="62"/>
        <v>46926.3375</v>
      </c>
      <c r="DQ27" s="33">
        <f t="shared" si="40"/>
        <v>8083.148535000001</v>
      </c>
      <c r="DR27" s="15">
        <f t="shared" si="41"/>
        <v>55009.486035</v>
      </c>
      <c r="DS27" s="15">
        <v>1569</v>
      </c>
      <c r="DU27" s="15">
        <f t="shared" si="63"/>
        <v>121746.80699999999</v>
      </c>
      <c r="DV27" s="15">
        <f t="shared" si="42"/>
        <v>20971.112962799998</v>
      </c>
      <c r="DW27" s="15">
        <f t="shared" si="43"/>
        <v>142717.9199628</v>
      </c>
      <c r="DX27" s="15">
        <v>4172</v>
      </c>
      <c r="DZ27" s="15">
        <f t="shared" si="64"/>
        <v>8968.5225</v>
      </c>
      <c r="EA27" s="15">
        <f t="shared" si="44"/>
        <v>1544.844609</v>
      </c>
      <c r="EB27" s="15">
        <f t="shared" si="45"/>
        <v>10513.367108999999</v>
      </c>
      <c r="EC27" s="15">
        <v>300</v>
      </c>
    </row>
    <row r="28" spans="1:133" ht="12.75">
      <c r="A28" s="34">
        <v>43739</v>
      </c>
      <c r="B28" s="35"/>
      <c r="C28" s="22"/>
      <c r="D28" s="22">
        <v>714984</v>
      </c>
      <c r="E28" s="16">
        <f t="shared" si="0"/>
        <v>714984</v>
      </c>
      <c r="G28" s="22"/>
      <c r="H28" s="22"/>
      <c r="I28" s="16"/>
      <c r="K28" s="33"/>
      <c r="L28" s="33"/>
      <c r="M28" s="33"/>
      <c r="O28" s="33"/>
      <c r="P28" s="33"/>
      <c r="S28" s="33"/>
      <c r="T28" s="33"/>
      <c r="U28" s="33"/>
      <c r="W28" s="33"/>
      <c r="X28" s="33"/>
      <c r="Y28" s="33"/>
      <c r="AA28" s="33"/>
      <c r="AB28" s="33">
        <v>297525</v>
      </c>
      <c r="AC28" s="15">
        <f t="shared" si="4"/>
        <v>297525</v>
      </c>
      <c r="AE28" s="22"/>
      <c r="AF28" s="22">
        <v>417459</v>
      </c>
      <c r="AG28" s="16">
        <f t="shared" si="5"/>
        <v>417459</v>
      </c>
      <c r="AJ28" s="33">
        <f t="shared" si="6"/>
        <v>37664.7373242</v>
      </c>
      <c r="AK28" s="33">
        <f t="shared" si="7"/>
        <v>37664.7373242</v>
      </c>
      <c r="AL28" s="33">
        <v>8490</v>
      </c>
      <c r="AO28" s="15">
        <f t="shared" si="8"/>
        <v>353.9217402</v>
      </c>
      <c r="AP28" s="15">
        <f t="shared" si="9"/>
        <v>353.9217402</v>
      </c>
      <c r="AQ28" s="15">
        <v>78</v>
      </c>
      <c r="AS28" s="33"/>
      <c r="AT28" s="15">
        <f t="shared" si="10"/>
        <v>11334.5962926</v>
      </c>
      <c r="AU28" s="15">
        <f t="shared" si="11"/>
        <v>11334.5962926</v>
      </c>
      <c r="AV28" s="15">
        <v>2586</v>
      </c>
      <c r="AY28" s="15">
        <f t="shared" si="12"/>
        <v>94925.79328049999</v>
      </c>
      <c r="AZ28" s="15">
        <f t="shared" si="13"/>
        <v>94925.79328049999</v>
      </c>
      <c r="BA28" s="15">
        <v>21774</v>
      </c>
      <c r="BD28" s="15">
        <f t="shared" si="14"/>
        <v>24569.591190900002</v>
      </c>
      <c r="BE28" s="15">
        <f t="shared" si="15"/>
        <v>24569.591190900002</v>
      </c>
      <c r="BF28" s="15">
        <v>5450</v>
      </c>
      <c r="BI28" s="15">
        <f t="shared" si="16"/>
        <v>16635.574166399998</v>
      </c>
      <c r="BJ28" s="15">
        <f t="shared" si="17"/>
        <v>16635.574166399998</v>
      </c>
      <c r="BK28" s="15">
        <v>3738</v>
      </c>
      <c r="BN28" s="15">
        <f t="shared" si="18"/>
        <v>2558.7731946000004</v>
      </c>
      <c r="BO28" s="15">
        <f t="shared" si="19"/>
        <v>2558.7731946000004</v>
      </c>
      <c r="BP28" s="15">
        <v>587</v>
      </c>
      <c r="BS28" s="15">
        <f t="shared" si="20"/>
        <v>5857.784688000001</v>
      </c>
      <c r="BT28" s="15">
        <f t="shared" si="21"/>
        <v>5857.784688000001</v>
      </c>
      <c r="BU28" s="15">
        <v>1341</v>
      </c>
      <c r="BX28" s="15">
        <f t="shared" si="22"/>
        <v>982.1557893</v>
      </c>
      <c r="BY28" s="15">
        <f t="shared" si="23"/>
        <v>982.1557893</v>
      </c>
      <c r="BZ28" s="15">
        <v>225</v>
      </c>
      <c r="CC28" s="15">
        <f t="shared" si="24"/>
        <v>1062.3914091</v>
      </c>
      <c r="CD28" s="15">
        <f t="shared" si="25"/>
        <v>1062.3914091</v>
      </c>
      <c r="CE28" s="15">
        <v>245</v>
      </c>
      <c r="CH28" s="15">
        <f t="shared" si="26"/>
        <v>2028.8089940999998</v>
      </c>
      <c r="CI28" s="15">
        <f t="shared" si="27"/>
        <v>2028.8089940999998</v>
      </c>
      <c r="CJ28" s="15">
        <v>461</v>
      </c>
      <c r="CM28" s="15">
        <f t="shared" si="28"/>
        <v>336.9311589</v>
      </c>
      <c r="CN28" s="15">
        <f t="shared" si="29"/>
        <v>336.9311589</v>
      </c>
      <c r="CO28" s="15">
        <v>75</v>
      </c>
      <c r="CR28" s="15">
        <f t="shared" si="30"/>
        <v>5.8444259999999995</v>
      </c>
      <c r="CS28" s="15">
        <f t="shared" si="31"/>
        <v>5.8444259999999995</v>
      </c>
      <c r="CW28" s="15">
        <f t="shared" si="32"/>
        <v>2144.6121207</v>
      </c>
      <c r="CX28" s="15">
        <f t="shared" si="33"/>
        <v>2144.6121207</v>
      </c>
      <c r="CY28" s="15">
        <v>493</v>
      </c>
      <c r="DB28" s="15">
        <f t="shared" si="34"/>
        <v>3107.3978124</v>
      </c>
      <c r="DC28" s="15">
        <f t="shared" si="35"/>
        <v>3107.3978124</v>
      </c>
      <c r="DD28" s="15">
        <v>718</v>
      </c>
      <c r="DG28" s="15">
        <f t="shared" si="36"/>
        <v>3931.7540996999996</v>
      </c>
      <c r="DH28" s="15">
        <f t="shared" si="37"/>
        <v>3931.7540996999996</v>
      </c>
      <c r="DI28" s="15">
        <v>872</v>
      </c>
      <c r="DL28" s="15">
        <f t="shared" si="38"/>
        <v>365.694084</v>
      </c>
      <c r="DM28" s="15">
        <f t="shared" si="39"/>
        <v>365.694084</v>
      </c>
      <c r="DN28" s="15">
        <v>85</v>
      </c>
      <c r="DQ28" s="33">
        <f t="shared" si="40"/>
        <v>6909.990097500001</v>
      </c>
      <c r="DR28" s="15">
        <f t="shared" si="41"/>
        <v>6909.990097500001</v>
      </c>
      <c r="DS28" s="15">
        <v>1569</v>
      </c>
      <c r="DV28" s="15">
        <f t="shared" si="42"/>
        <v>17927.4427878</v>
      </c>
      <c r="DW28" s="15">
        <f t="shared" si="43"/>
        <v>17927.4427878</v>
      </c>
      <c r="DX28" s="15">
        <v>4172</v>
      </c>
      <c r="EA28" s="15">
        <f t="shared" si="44"/>
        <v>1320.6315465</v>
      </c>
      <c r="EB28" s="15">
        <f t="shared" si="45"/>
        <v>1320.6315465</v>
      </c>
      <c r="EC28" s="15">
        <v>300</v>
      </c>
    </row>
    <row r="29" spans="1:134" s="35" customFormat="1" ht="12.75">
      <c r="A29" s="34">
        <v>43922</v>
      </c>
      <c r="C29" s="22">
        <v>9445000</v>
      </c>
      <c r="D29" s="22">
        <v>714984</v>
      </c>
      <c r="E29" s="16">
        <f t="shared" si="0"/>
        <v>10159984</v>
      </c>
      <c r="F29" s="33"/>
      <c r="G29" s="22"/>
      <c r="H29" s="22"/>
      <c r="I29" s="16"/>
      <c r="J29" s="33"/>
      <c r="K29" s="33"/>
      <c r="L29" s="33"/>
      <c r="M29" s="33"/>
      <c r="N29" s="33"/>
      <c r="O29" s="33"/>
      <c r="P29" s="33"/>
      <c r="Q29" s="15"/>
      <c r="R29" s="33"/>
      <c r="S29" s="33"/>
      <c r="T29" s="33"/>
      <c r="U29" s="33"/>
      <c r="V29" s="33"/>
      <c r="W29" s="33"/>
      <c r="X29" s="33"/>
      <c r="Y29" s="33"/>
      <c r="Z29" s="33"/>
      <c r="AA29" s="33">
        <v>6470000</v>
      </c>
      <c r="AB29" s="33">
        <v>297525</v>
      </c>
      <c r="AC29" s="15">
        <f t="shared" si="4"/>
        <v>6767525</v>
      </c>
      <c r="AD29" s="33"/>
      <c r="AE29" s="22">
        <v>2975000</v>
      </c>
      <c r="AF29" s="22">
        <v>417459</v>
      </c>
      <c r="AG29" s="16">
        <f t="shared" si="5"/>
        <v>3392459</v>
      </c>
      <c r="AH29" s="33"/>
      <c r="AI29" s="15">
        <f t="shared" si="46"/>
        <v>268415.805</v>
      </c>
      <c r="AJ29" s="33">
        <f t="shared" si="6"/>
        <v>37664.7373242</v>
      </c>
      <c r="AK29" s="33">
        <f t="shared" si="7"/>
        <v>306080.5423242</v>
      </c>
      <c r="AL29" s="33">
        <v>8490</v>
      </c>
      <c r="AM29" s="33"/>
      <c r="AN29" s="15">
        <f t="shared" si="47"/>
        <v>2522.205</v>
      </c>
      <c r="AO29" s="15">
        <f t="shared" si="8"/>
        <v>353.9217402</v>
      </c>
      <c r="AP29" s="15">
        <f t="shared" si="9"/>
        <v>2876.1267402</v>
      </c>
      <c r="AQ29" s="15">
        <v>78</v>
      </c>
      <c r="AR29" s="33"/>
      <c r="AS29" s="33">
        <f t="shared" si="48"/>
        <v>80775.415</v>
      </c>
      <c r="AT29" s="15">
        <f t="shared" si="10"/>
        <v>11334.5962926</v>
      </c>
      <c r="AU29" s="15">
        <f t="shared" si="11"/>
        <v>92110.01129259999</v>
      </c>
      <c r="AV29" s="15">
        <v>2586</v>
      </c>
      <c r="AW29" s="33"/>
      <c r="AX29" s="15">
        <f t="shared" si="49"/>
        <v>676483.7625</v>
      </c>
      <c r="AY29" s="15">
        <f t="shared" si="12"/>
        <v>94925.79328049999</v>
      </c>
      <c r="AZ29" s="15">
        <f t="shared" si="13"/>
        <v>771409.5557804999</v>
      </c>
      <c r="BA29" s="15">
        <v>21774</v>
      </c>
      <c r="BB29" s="33"/>
      <c r="BC29" s="15">
        <f t="shared" si="50"/>
        <v>175093.9225</v>
      </c>
      <c r="BD29" s="15">
        <f t="shared" si="14"/>
        <v>24569.591190900002</v>
      </c>
      <c r="BE29" s="15">
        <f t="shared" si="15"/>
        <v>199663.5136909</v>
      </c>
      <c r="BF29" s="15">
        <v>5450</v>
      </c>
      <c r="BG29" s="15"/>
      <c r="BH29" s="15">
        <f t="shared" si="51"/>
        <v>118552.56</v>
      </c>
      <c r="BI29" s="15">
        <f t="shared" si="16"/>
        <v>16635.574166399998</v>
      </c>
      <c r="BJ29" s="15">
        <f t="shared" si="17"/>
        <v>135188.1341664</v>
      </c>
      <c r="BK29" s="15">
        <v>3738</v>
      </c>
      <c r="BL29" s="33"/>
      <c r="BM29" s="15">
        <f t="shared" si="52"/>
        <v>18234.965000000004</v>
      </c>
      <c r="BN29" s="15">
        <f t="shared" si="18"/>
        <v>2558.7731946000004</v>
      </c>
      <c r="BO29" s="15">
        <f t="shared" si="19"/>
        <v>20793.738194600002</v>
      </c>
      <c r="BP29" s="15">
        <v>587</v>
      </c>
      <c r="BQ29" s="33"/>
      <c r="BR29" s="15">
        <f t="shared" si="53"/>
        <v>41745.2</v>
      </c>
      <c r="BS29" s="15">
        <f t="shared" si="20"/>
        <v>5857.784688000001</v>
      </c>
      <c r="BT29" s="15">
        <f t="shared" si="21"/>
        <v>47602.984688</v>
      </c>
      <c r="BU29" s="15">
        <v>1341</v>
      </c>
      <c r="BV29" s="33"/>
      <c r="BW29" s="15">
        <f t="shared" si="54"/>
        <v>6999.2825</v>
      </c>
      <c r="BX29" s="15">
        <f t="shared" si="22"/>
        <v>982.1557893</v>
      </c>
      <c r="BY29" s="15">
        <f t="shared" si="23"/>
        <v>7981.4382893</v>
      </c>
      <c r="BZ29" s="15">
        <v>225</v>
      </c>
      <c r="CA29" s="33"/>
      <c r="CB29" s="15">
        <f t="shared" si="55"/>
        <v>7571.0775</v>
      </c>
      <c r="CC29" s="15">
        <f t="shared" si="24"/>
        <v>1062.3914091</v>
      </c>
      <c r="CD29" s="15">
        <f t="shared" si="25"/>
        <v>8633.4689091</v>
      </c>
      <c r="CE29" s="15">
        <v>245</v>
      </c>
      <c r="CF29" s="33"/>
      <c r="CG29" s="15">
        <f t="shared" si="56"/>
        <v>14458.2025</v>
      </c>
      <c r="CH29" s="15">
        <f t="shared" si="26"/>
        <v>2028.8089940999998</v>
      </c>
      <c r="CI29" s="15">
        <f t="shared" si="27"/>
        <v>16487.0114941</v>
      </c>
      <c r="CJ29" s="15">
        <v>461</v>
      </c>
      <c r="CK29" s="15"/>
      <c r="CL29" s="15">
        <f>AE29*0.08071/100</f>
        <v>2401.1225</v>
      </c>
      <c r="CM29" s="15">
        <f t="shared" si="28"/>
        <v>336.9311589</v>
      </c>
      <c r="CN29" s="15">
        <f t="shared" si="29"/>
        <v>2738.0536589</v>
      </c>
      <c r="CO29" s="15">
        <v>75</v>
      </c>
      <c r="CP29" s="33"/>
      <c r="CQ29" s="15">
        <f t="shared" si="57"/>
        <v>41.65</v>
      </c>
      <c r="CR29" s="15">
        <f t="shared" si="30"/>
        <v>5.8444259999999995</v>
      </c>
      <c r="CS29" s="15">
        <f t="shared" si="31"/>
        <v>47.494426</v>
      </c>
      <c r="CT29" s="15"/>
      <c r="CU29" s="33"/>
      <c r="CV29" s="15">
        <f t="shared" si="58"/>
        <v>15283.4675</v>
      </c>
      <c r="CW29" s="15">
        <f t="shared" si="32"/>
        <v>2144.6121207</v>
      </c>
      <c r="CX29" s="15">
        <f t="shared" si="33"/>
        <v>17428.079620700002</v>
      </c>
      <c r="CY29" s="15">
        <v>493</v>
      </c>
      <c r="CZ29" s="33"/>
      <c r="DA29" s="15">
        <f t="shared" si="59"/>
        <v>22144.71</v>
      </c>
      <c r="DB29" s="15">
        <f t="shared" si="34"/>
        <v>3107.3978124</v>
      </c>
      <c r="DC29" s="15">
        <f t="shared" si="35"/>
        <v>25252.107812399998</v>
      </c>
      <c r="DD29" s="15">
        <v>718</v>
      </c>
      <c r="DE29" s="33"/>
      <c r="DF29" s="15">
        <f t="shared" si="60"/>
        <v>28019.4425</v>
      </c>
      <c r="DG29" s="15">
        <f t="shared" si="36"/>
        <v>3931.7540996999996</v>
      </c>
      <c r="DH29" s="15">
        <f t="shared" si="37"/>
        <v>31951.1965997</v>
      </c>
      <c r="DI29" s="15">
        <v>872</v>
      </c>
      <c r="DJ29" s="33"/>
      <c r="DK29" s="15">
        <f t="shared" si="61"/>
        <v>2606.1</v>
      </c>
      <c r="DL29" s="15">
        <f t="shared" si="38"/>
        <v>365.694084</v>
      </c>
      <c r="DM29" s="15">
        <f t="shared" si="39"/>
        <v>2971.794084</v>
      </c>
      <c r="DN29" s="15">
        <v>85</v>
      </c>
      <c r="DO29" s="33"/>
      <c r="DP29" s="15">
        <f t="shared" si="62"/>
        <v>49243.6875</v>
      </c>
      <c r="DQ29" s="33">
        <f t="shared" si="40"/>
        <v>6909.990097500001</v>
      </c>
      <c r="DR29" s="15">
        <f t="shared" si="41"/>
        <v>56153.6775975</v>
      </c>
      <c r="DS29" s="15">
        <v>1569</v>
      </c>
      <c r="DT29" s="33"/>
      <c r="DU29" s="15">
        <f t="shared" si="63"/>
        <v>127758.99499999998</v>
      </c>
      <c r="DV29" s="15">
        <f t="shared" si="42"/>
        <v>17927.4427878</v>
      </c>
      <c r="DW29" s="15">
        <f t="shared" si="43"/>
        <v>145686.43778779998</v>
      </c>
      <c r="DX29" s="15">
        <v>4172</v>
      </c>
      <c r="DY29" s="33"/>
      <c r="DZ29" s="15">
        <f t="shared" si="64"/>
        <v>9411.4125</v>
      </c>
      <c r="EA29" s="15">
        <f t="shared" si="44"/>
        <v>1320.6315465</v>
      </c>
      <c r="EB29" s="15">
        <f t="shared" si="45"/>
        <v>10732.044046500001</v>
      </c>
      <c r="EC29" s="15">
        <v>300</v>
      </c>
      <c r="ED29" s="33"/>
    </row>
    <row r="30" spans="1:134" s="35" customFormat="1" ht="12.75">
      <c r="A30" s="34">
        <v>44105</v>
      </c>
      <c r="C30" s="22"/>
      <c r="D30" s="22">
        <v>526084</v>
      </c>
      <c r="E30" s="16">
        <f t="shared" si="0"/>
        <v>526084</v>
      </c>
      <c r="F30" s="33"/>
      <c r="G30" s="22"/>
      <c r="H30" s="22"/>
      <c r="I30" s="16"/>
      <c r="J30" s="33"/>
      <c r="K30" s="33"/>
      <c r="L30" s="33"/>
      <c r="M30" s="33"/>
      <c r="N30" s="33"/>
      <c r="O30" s="33"/>
      <c r="P30" s="33"/>
      <c r="Q30" s="15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>
        <v>168125</v>
      </c>
      <c r="AC30" s="15">
        <f t="shared" si="4"/>
        <v>168125</v>
      </c>
      <c r="AD30" s="33"/>
      <c r="AE30" s="22"/>
      <c r="AF30" s="22">
        <v>357959</v>
      </c>
      <c r="AG30" s="16">
        <f t="shared" si="5"/>
        <v>357959</v>
      </c>
      <c r="AH30" s="33"/>
      <c r="AI30" s="15"/>
      <c r="AJ30" s="33">
        <f t="shared" si="6"/>
        <v>32296.4212242</v>
      </c>
      <c r="AK30" s="33">
        <f t="shared" si="7"/>
        <v>32296.4212242</v>
      </c>
      <c r="AL30" s="33">
        <v>8490</v>
      </c>
      <c r="AM30" s="33"/>
      <c r="AN30" s="15"/>
      <c r="AO30" s="15">
        <f t="shared" si="8"/>
        <v>303.4776402</v>
      </c>
      <c r="AP30" s="15">
        <f t="shared" si="9"/>
        <v>303.4776402</v>
      </c>
      <c r="AQ30" s="15">
        <v>78</v>
      </c>
      <c r="AR30" s="33"/>
      <c r="AS30" s="33"/>
      <c r="AT30" s="15">
        <f t="shared" si="10"/>
        <v>9719.0879926</v>
      </c>
      <c r="AU30" s="15">
        <f t="shared" si="11"/>
        <v>9719.0879926</v>
      </c>
      <c r="AV30" s="15">
        <v>2586</v>
      </c>
      <c r="AW30" s="33"/>
      <c r="AX30" s="15"/>
      <c r="AY30" s="15">
        <f t="shared" si="12"/>
        <v>81396.11803049999</v>
      </c>
      <c r="AZ30" s="15">
        <f t="shared" si="13"/>
        <v>81396.11803049999</v>
      </c>
      <c r="BA30" s="15">
        <v>21774</v>
      </c>
      <c r="BB30" s="33"/>
      <c r="BC30" s="15"/>
      <c r="BD30" s="15">
        <f t="shared" si="14"/>
        <v>21067.7127409</v>
      </c>
      <c r="BE30" s="15">
        <f t="shared" si="15"/>
        <v>21067.7127409</v>
      </c>
      <c r="BF30" s="15">
        <v>5450</v>
      </c>
      <c r="BG30" s="15"/>
      <c r="BH30" s="15"/>
      <c r="BI30" s="15">
        <f t="shared" si="16"/>
        <v>14264.5229664</v>
      </c>
      <c r="BJ30" s="15">
        <f t="shared" si="17"/>
        <v>14264.5229664</v>
      </c>
      <c r="BK30" s="15">
        <v>3738</v>
      </c>
      <c r="BL30" s="33"/>
      <c r="BM30" s="15"/>
      <c r="BN30" s="15">
        <f t="shared" si="18"/>
        <v>2194.0738946</v>
      </c>
      <c r="BO30" s="15">
        <f t="shared" si="19"/>
        <v>2194.0738946</v>
      </c>
      <c r="BP30" s="15">
        <v>587</v>
      </c>
      <c r="BQ30" s="33"/>
      <c r="BR30" s="15"/>
      <c r="BS30" s="15">
        <f t="shared" si="20"/>
        <v>5022.880688</v>
      </c>
      <c r="BT30" s="15">
        <f t="shared" si="21"/>
        <v>5022.880688</v>
      </c>
      <c r="BU30" s="15">
        <v>1341</v>
      </c>
      <c r="BV30" s="33"/>
      <c r="BW30" s="15"/>
      <c r="BX30" s="15">
        <f t="shared" si="22"/>
        <v>842.1701393</v>
      </c>
      <c r="BY30" s="15">
        <f t="shared" si="23"/>
        <v>842.1701393</v>
      </c>
      <c r="BZ30" s="15">
        <v>225</v>
      </c>
      <c r="CA30" s="33"/>
      <c r="CB30" s="15"/>
      <c r="CC30" s="15">
        <f t="shared" si="24"/>
        <v>910.9698591</v>
      </c>
      <c r="CD30" s="15">
        <f t="shared" si="25"/>
        <v>910.9698591</v>
      </c>
      <c r="CE30" s="15">
        <v>245</v>
      </c>
      <c r="CF30" s="33"/>
      <c r="CG30" s="15"/>
      <c r="CH30" s="15">
        <f t="shared" si="26"/>
        <v>1739.6449440999997</v>
      </c>
      <c r="CI30" s="15">
        <f t="shared" si="27"/>
        <v>1739.6449440999997</v>
      </c>
      <c r="CJ30" s="15">
        <v>461</v>
      </c>
      <c r="CK30" s="15"/>
      <c r="CL30" s="15"/>
      <c r="CM30" s="15">
        <f t="shared" si="28"/>
        <v>288.9087089</v>
      </c>
      <c r="CN30" s="15">
        <f t="shared" si="29"/>
        <v>288.9087089</v>
      </c>
      <c r="CO30" s="15">
        <v>75</v>
      </c>
      <c r="CP30" s="33"/>
      <c r="CQ30" s="15"/>
      <c r="CR30" s="15">
        <f t="shared" si="30"/>
        <v>5.011426</v>
      </c>
      <c r="CS30" s="15">
        <f t="shared" si="31"/>
        <v>5.011426</v>
      </c>
      <c r="CT30" s="15"/>
      <c r="CU30" s="33"/>
      <c r="CV30" s="15"/>
      <c r="CW30" s="15">
        <f t="shared" si="32"/>
        <v>1838.9427707000002</v>
      </c>
      <c r="CX30" s="15">
        <f t="shared" si="33"/>
        <v>1838.9427707000002</v>
      </c>
      <c r="CY30" s="15">
        <v>493</v>
      </c>
      <c r="CZ30" s="33"/>
      <c r="DA30" s="15"/>
      <c r="DB30" s="15">
        <f t="shared" si="34"/>
        <v>2664.5036124</v>
      </c>
      <c r="DC30" s="15">
        <f t="shared" si="35"/>
        <v>2664.5036124</v>
      </c>
      <c r="DD30" s="15">
        <v>718</v>
      </c>
      <c r="DE30" s="33"/>
      <c r="DF30" s="15"/>
      <c r="DG30" s="15">
        <f t="shared" si="36"/>
        <v>3371.3652497</v>
      </c>
      <c r="DH30" s="15">
        <f t="shared" si="37"/>
        <v>3371.3652497</v>
      </c>
      <c r="DI30" s="15">
        <v>872</v>
      </c>
      <c r="DJ30" s="33"/>
      <c r="DK30" s="15"/>
      <c r="DL30" s="15">
        <f t="shared" si="38"/>
        <v>313.572084</v>
      </c>
      <c r="DM30" s="15">
        <f t="shared" si="39"/>
        <v>313.572084</v>
      </c>
      <c r="DN30" s="15">
        <v>85</v>
      </c>
      <c r="DO30" s="33"/>
      <c r="DP30" s="15"/>
      <c r="DQ30" s="33">
        <f t="shared" si="40"/>
        <v>5925.116347500001</v>
      </c>
      <c r="DR30" s="15">
        <f t="shared" si="41"/>
        <v>5925.116347500001</v>
      </c>
      <c r="DS30" s="15">
        <v>1569</v>
      </c>
      <c r="DT30" s="33"/>
      <c r="DU30" s="15"/>
      <c r="DV30" s="15">
        <f t="shared" si="42"/>
        <v>15372.262887799998</v>
      </c>
      <c r="DW30" s="15">
        <f t="shared" si="43"/>
        <v>15372.262887799998</v>
      </c>
      <c r="DX30" s="15">
        <v>4172</v>
      </c>
      <c r="DY30" s="33"/>
      <c r="DZ30" s="15"/>
      <c r="EA30" s="15">
        <f t="shared" si="44"/>
        <v>1132.4032965000001</v>
      </c>
      <c r="EB30" s="15">
        <f t="shared" si="45"/>
        <v>1132.4032965000001</v>
      </c>
      <c r="EC30" s="15">
        <v>300</v>
      </c>
      <c r="ED30" s="33"/>
    </row>
    <row r="31" spans="1:134" s="35" customFormat="1" ht="12.75">
      <c r="A31" s="34">
        <v>44287</v>
      </c>
      <c r="C31" s="22">
        <v>9820000</v>
      </c>
      <c r="D31" s="22">
        <v>526084</v>
      </c>
      <c r="E31" s="16">
        <f t="shared" si="0"/>
        <v>10346084</v>
      </c>
      <c r="F31" s="33"/>
      <c r="G31" s="22"/>
      <c r="H31" s="22"/>
      <c r="I31" s="16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>
        <v>6725000</v>
      </c>
      <c r="AB31" s="33">
        <v>168125</v>
      </c>
      <c r="AC31" s="15">
        <f t="shared" si="4"/>
        <v>6893125</v>
      </c>
      <c r="AD31" s="33"/>
      <c r="AE31" s="22">
        <v>3095000</v>
      </c>
      <c r="AF31" s="22">
        <v>357959</v>
      </c>
      <c r="AG31" s="16">
        <f t="shared" si="5"/>
        <v>3452959</v>
      </c>
      <c r="AH31" s="33"/>
      <c r="AI31" s="15">
        <f t="shared" si="46"/>
        <v>279242.661</v>
      </c>
      <c r="AJ31" s="33">
        <f t="shared" si="6"/>
        <v>32296.4212242</v>
      </c>
      <c r="AK31" s="33">
        <f t="shared" si="7"/>
        <v>311539.0822242</v>
      </c>
      <c r="AL31" s="33">
        <v>8490</v>
      </c>
      <c r="AM31" s="33"/>
      <c r="AN31" s="15">
        <f t="shared" si="47"/>
        <v>2623.941</v>
      </c>
      <c r="AO31" s="15">
        <f t="shared" si="8"/>
        <v>303.4776402</v>
      </c>
      <c r="AP31" s="15">
        <f t="shared" si="9"/>
        <v>2927.4186401999996</v>
      </c>
      <c r="AQ31" s="15">
        <v>78</v>
      </c>
      <c r="AR31" s="33"/>
      <c r="AS31" s="33">
        <f t="shared" si="48"/>
        <v>84033.58299999998</v>
      </c>
      <c r="AT31" s="15">
        <f t="shared" si="10"/>
        <v>9719.0879926</v>
      </c>
      <c r="AU31" s="15">
        <f t="shared" si="11"/>
        <v>93752.67099259999</v>
      </c>
      <c r="AV31" s="15">
        <v>2586</v>
      </c>
      <c r="AW31" s="33"/>
      <c r="AX31" s="15">
        <f t="shared" si="49"/>
        <v>703770.5025</v>
      </c>
      <c r="AY31" s="15">
        <f t="shared" si="12"/>
        <v>81396.11803049999</v>
      </c>
      <c r="AZ31" s="15">
        <f t="shared" si="13"/>
        <v>785166.6205305</v>
      </c>
      <c r="BA31" s="15">
        <v>21774</v>
      </c>
      <c r="BB31" s="33"/>
      <c r="BC31" s="15">
        <f t="shared" si="50"/>
        <v>182156.53449999998</v>
      </c>
      <c r="BD31" s="15">
        <f t="shared" si="14"/>
        <v>21067.7127409</v>
      </c>
      <c r="BE31" s="15">
        <f t="shared" si="15"/>
        <v>203224.24724089997</v>
      </c>
      <c r="BF31" s="15">
        <v>5450</v>
      </c>
      <c r="BG31" s="15"/>
      <c r="BH31" s="15">
        <f t="shared" si="51"/>
        <v>123334.51199999999</v>
      </c>
      <c r="BI31" s="15">
        <f t="shared" si="16"/>
        <v>14264.5229664</v>
      </c>
      <c r="BJ31" s="15">
        <f t="shared" si="17"/>
        <v>137599.03496639998</v>
      </c>
      <c r="BK31" s="15">
        <v>3738</v>
      </c>
      <c r="BL31" s="33"/>
      <c r="BM31" s="15">
        <f t="shared" si="52"/>
        <v>18970.493000000002</v>
      </c>
      <c r="BN31" s="15">
        <f t="shared" si="18"/>
        <v>2194.0738946</v>
      </c>
      <c r="BO31" s="15">
        <f t="shared" si="19"/>
        <v>21164.5668946</v>
      </c>
      <c r="BP31" s="15">
        <v>587</v>
      </c>
      <c r="BQ31" s="33"/>
      <c r="BR31" s="15">
        <f t="shared" si="53"/>
        <v>43429.04</v>
      </c>
      <c r="BS31" s="15">
        <f t="shared" si="20"/>
        <v>5022.880688</v>
      </c>
      <c r="BT31" s="15">
        <f t="shared" si="21"/>
        <v>48451.920688</v>
      </c>
      <c r="BU31" s="15">
        <v>1341</v>
      </c>
      <c r="BV31" s="33"/>
      <c r="BW31" s="15">
        <f t="shared" si="54"/>
        <v>7281.6065</v>
      </c>
      <c r="BX31" s="15">
        <f t="shared" si="22"/>
        <v>842.1701393</v>
      </c>
      <c r="BY31" s="15">
        <f t="shared" si="23"/>
        <v>8123.7766393</v>
      </c>
      <c r="BZ31" s="15">
        <v>225</v>
      </c>
      <c r="CA31" s="33"/>
      <c r="CB31" s="15">
        <f t="shared" si="55"/>
        <v>7876.465499999999</v>
      </c>
      <c r="CC31" s="15">
        <f t="shared" si="24"/>
        <v>910.9698591</v>
      </c>
      <c r="CD31" s="15">
        <f t="shared" si="25"/>
        <v>8787.4353591</v>
      </c>
      <c r="CE31" s="15">
        <v>245</v>
      </c>
      <c r="CF31" s="33"/>
      <c r="CG31" s="15">
        <f t="shared" si="56"/>
        <v>15041.390500000001</v>
      </c>
      <c r="CH31" s="15">
        <f t="shared" si="26"/>
        <v>1739.6449440999997</v>
      </c>
      <c r="CI31" s="15">
        <f t="shared" si="27"/>
        <v>16781.0354441</v>
      </c>
      <c r="CJ31" s="15">
        <v>461</v>
      </c>
      <c r="CK31" s="15"/>
      <c r="CL31" s="15">
        <f>AE31*0.08071/100</f>
        <v>2497.9745000000003</v>
      </c>
      <c r="CM31" s="15">
        <f t="shared" si="28"/>
        <v>288.9087089</v>
      </c>
      <c r="CN31" s="15">
        <f t="shared" si="29"/>
        <v>2786.8832089</v>
      </c>
      <c r="CO31" s="15">
        <v>75</v>
      </c>
      <c r="CP31" s="33"/>
      <c r="CQ31" s="15">
        <f t="shared" si="57"/>
        <v>43.33</v>
      </c>
      <c r="CR31" s="15">
        <f t="shared" si="30"/>
        <v>5.011426</v>
      </c>
      <c r="CS31" s="15">
        <f t="shared" si="31"/>
        <v>48.341426</v>
      </c>
      <c r="CT31" s="15"/>
      <c r="CU31" s="33"/>
      <c r="CV31" s="15">
        <f t="shared" si="58"/>
        <v>15899.943500000001</v>
      </c>
      <c r="CW31" s="15">
        <f t="shared" si="32"/>
        <v>1838.9427707000002</v>
      </c>
      <c r="CX31" s="15">
        <f t="shared" si="33"/>
        <v>17738.8862707</v>
      </c>
      <c r="CY31" s="15">
        <v>493</v>
      </c>
      <c r="CZ31" s="33"/>
      <c r="DA31" s="15">
        <f t="shared" si="59"/>
        <v>23037.942000000003</v>
      </c>
      <c r="DB31" s="15">
        <f t="shared" si="34"/>
        <v>2664.5036124</v>
      </c>
      <c r="DC31" s="15">
        <f t="shared" si="35"/>
        <v>25702.445612400003</v>
      </c>
      <c r="DD31" s="15">
        <v>718</v>
      </c>
      <c r="DE31" s="33"/>
      <c r="DF31" s="15">
        <f t="shared" si="60"/>
        <v>29149.638499999997</v>
      </c>
      <c r="DG31" s="15">
        <f t="shared" si="36"/>
        <v>3371.3652497</v>
      </c>
      <c r="DH31" s="15">
        <f t="shared" si="37"/>
        <v>32521.003749699998</v>
      </c>
      <c r="DI31" s="15">
        <v>872</v>
      </c>
      <c r="DJ31" s="33"/>
      <c r="DK31" s="15">
        <f t="shared" si="61"/>
        <v>2711.22</v>
      </c>
      <c r="DL31" s="15">
        <f t="shared" si="38"/>
        <v>313.572084</v>
      </c>
      <c r="DM31" s="15">
        <f t="shared" si="39"/>
        <v>3024.7920839999997</v>
      </c>
      <c r="DN31" s="15">
        <v>85</v>
      </c>
      <c r="DO31" s="33"/>
      <c r="DP31" s="15">
        <f t="shared" si="62"/>
        <v>51229.9875</v>
      </c>
      <c r="DQ31" s="33">
        <f t="shared" si="40"/>
        <v>5925.116347500001</v>
      </c>
      <c r="DR31" s="15">
        <f t="shared" si="41"/>
        <v>57155.1038475</v>
      </c>
      <c r="DS31" s="15">
        <v>1569</v>
      </c>
      <c r="DT31" s="33"/>
      <c r="DU31" s="15">
        <f t="shared" si="63"/>
        <v>132912.299</v>
      </c>
      <c r="DV31" s="15">
        <f t="shared" si="42"/>
        <v>15372.262887799998</v>
      </c>
      <c r="DW31" s="15">
        <f t="shared" si="43"/>
        <v>148284.5618878</v>
      </c>
      <c r="DX31" s="15">
        <v>4172</v>
      </c>
      <c r="DY31" s="33"/>
      <c r="DZ31" s="15">
        <f t="shared" si="64"/>
        <v>9791.032500000001</v>
      </c>
      <c r="EA31" s="15">
        <f t="shared" si="44"/>
        <v>1132.4032965000001</v>
      </c>
      <c r="EB31" s="15">
        <f t="shared" si="45"/>
        <v>10923.435796500002</v>
      </c>
      <c r="EC31" s="15">
        <v>300</v>
      </c>
      <c r="ED31" s="33"/>
    </row>
    <row r="32" spans="1:134" s="35" customFormat="1" ht="12.75">
      <c r="A32" s="34">
        <v>44470</v>
      </c>
      <c r="C32" s="22"/>
      <c r="D32" s="22">
        <v>280584</v>
      </c>
      <c r="E32" s="16">
        <f t="shared" si="0"/>
        <v>280584</v>
      </c>
      <c r="F32" s="33"/>
      <c r="G32" s="22"/>
      <c r="H32" s="22"/>
      <c r="I32" s="16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15"/>
      <c r="AD32" s="33"/>
      <c r="AE32" s="22"/>
      <c r="AF32" s="22">
        <v>280584</v>
      </c>
      <c r="AG32" s="16">
        <f t="shared" si="5"/>
        <v>280584</v>
      </c>
      <c r="AH32" s="33"/>
      <c r="AI32" s="15"/>
      <c r="AJ32" s="33">
        <f t="shared" si="6"/>
        <v>25315.3546992</v>
      </c>
      <c r="AK32" s="33">
        <f t="shared" si="7"/>
        <v>25315.3546992</v>
      </c>
      <c r="AL32" s="33">
        <v>8490</v>
      </c>
      <c r="AM32" s="33"/>
      <c r="AN32" s="15"/>
      <c r="AO32" s="15">
        <f t="shared" si="8"/>
        <v>237.87911519999997</v>
      </c>
      <c r="AP32" s="15">
        <f t="shared" si="9"/>
        <v>237.87911519999997</v>
      </c>
      <c r="AQ32" s="15">
        <v>78</v>
      </c>
      <c r="AR32" s="33"/>
      <c r="AS32" s="33"/>
      <c r="AT32" s="15">
        <f t="shared" si="10"/>
        <v>7618.2484176</v>
      </c>
      <c r="AU32" s="15">
        <f t="shared" si="11"/>
        <v>7618.2484176</v>
      </c>
      <c r="AV32" s="15">
        <v>2586</v>
      </c>
      <c r="AW32" s="33"/>
      <c r="AX32" s="15"/>
      <c r="AY32" s="15">
        <f t="shared" si="12"/>
        <v>63801.855467999994</v>
      </c>
      <c r="AZ32" s="15">
        <f t="shared" si="13"/>
        <v>63801.855467999994</v>
      </c>
      <c r="BA32" s="15">
        <v>21774</v>
      </c>
      <c r="BB32" s="33"/>
      <c r="BC32" s="15"/>
      <c r="BD32" s="15">
        <f t="shared" si="14"/>
        <v>16513.7993784</v>
      </c>
      <c r="BE32" s="15">
        <f t="shared" si="15"/>
        <v>16513.7993784</v>
      </c>
      <c r="BF32" s="15">
        <v>5450</v>
      </c>
      <c r="BG32" s="15"/>
      <c r="BH32" s="15"/>
      <c r="BI32" s="15">
        <f t="shared" si="16"/>
        <v>11181.1601664</v>
      </c>
      <c r="BJ32" s="15">
        <f t="shared" si="17"/>
        <v>11181.1601664</v>
      </c>
      <c r="BK32" s="15">
        <v>3738</v>
      </c>
      <c r="BL32" s="33"/>
      <c r="BM32" s="15"/>
      <c r="BN32" s="15">
        <f t="shared" si="18"/>
        <v>1719.8115696000002</v>
      </c>
      <c r="BO32" s="15">
        <f t="shared" si="19"/>
        <v>1719.8115696000002</v>
      </c>
      <c r="BP32" s="15">
        <v>587</v>
      </c>
      <c r="BQ32" s="33"/>
      <c r="BR32" s="15"/>
      <c r="BS32" s="15">
        <f t="shared" si="20"/>
        <v>3937.1546879999996</v>
      </c>
      <c r="BT32" s="15">
        <f t="shared" si="21"/>
        <v>3937.1546879999996</v>
      </c>
      <c r="BU32" s="15">
        <v>1341</v>
      </c>
      <c r="BV32" s="33"/>
      <c r="BW32" s="15"/>
      <c r="BX32" s="15">
        <f t="shared" si="22"/>
        <v>660.1299768</v>
      </c>
      <c r="BY32" s="15">
        <f t="shared" si="23"/>
        <v>660.1299768</v>
      </c>
      <c r="BZ32" s="15">
        <v>225</v>
      </c>
      <c r="CA32" s="33"/>
      <c r="CB32" s="15"/>
      <c r="CC32" s="15">
        <f t="shared" si="24"/>
        <v>714.0582215999999</v>
      </c>
      <c r="CD32" s="15">
        <f t="shared" si="25"/>
        <v>714.0582215999999</v>
      </c>
      <c r="CE32" s="15">
        <v>245</v>
      </c>
      <c r="CF32" s="33"/>
      <c r="CG32" s="15"/>
      <c r="CH32" s="15">
        <f t="shared" si="26"/>
        <v>1363.6101816</v>
      </c>
      <c r="CI32" s="15">
        <f t="shared" si="27"/>
        <v>1363.6101816</v>
      </c>
      <c r="CJ32" s="15">
        <v>461</v>
      </c>
      <c r="CK32" s="15"/>
      <c r="CL32" s="15"/>
      <c r="CM32" s="15">
        <f t="shared" si="28"/>
        <v>226.4593464</v>
      </c>
      <c r="CN32" s="15">
        <f t="shared" si="29"/>
        <v>226.4593464</v>
      </c>
      <c r="CO32" s="15">
        <v>75</v>
      </c>
      <c r="CP32" s="33"/>
      <c r="CQ32" s="15"/>
      <c r="CR32" s="15">
        <f t="shared" si="30"/>
        <v>3.9281759999999997</v>
      </c>
      <c r="CS32" s="15">
        <f t="shared" si="31"/>
        <v>3.9281759999999997</v>
      </c>
      <c r="CT32" s="15"/>
      <c r="CU32" s="33"/>
      <c r="CV32" s="15"/>
      <c r="CW32" s="15">
        <f t="shared" si="32"/>
        <v>1441.4441832</v>
      </c>
      <c r="CX32" s="15">
        <f t="shared" si="33"/>
        <v>1441.4441832</v>
      </c>
      <c r="CY32" s="15">
        <v>493</v>
      </c>
      <c r="CZ32" s="33"/>
      <c r="DA32" s="15"/>
      <c r="DB32" s="15">
        <f t="shared" si="34"/>
        <v>2088.5550624</v>
      </c>
      <c r="DC32" s="15">
        <f t="shared" si="35"/>
        <v>2088.5550624</v>
      </c>
      <c r="DD32" s="15">
        <v>718</v>
      </c>
      <c r="DE32" s="33"/>
      <c r="DF32" s="15"/>
      <c r="DG32" s="15">
        <f t="shared" si="36"/>
        <v>2642.6242872</v>
      </c>
      <c r="DH32" s="15">
        <f t="shared" si="37"/>
        <v>2642.6242872</v>
      </c>
      <c r="DI32" s="15">
        <v>872</v>
      </c>
      <c r="DJ32" s="33"/>
      <c r="DK32" s="15"/>
      <c r="DL32" s="15">
        <f t="shared" si="38"/>
        <v>245.791584</v>
      </c>
      <c r="DM32" s="15">
        <f t="shared" si="39"/>
        <v>245.791584</v>
      </c>
      <c r="DN32" s="15">
        <v>85</v>
      </c>
      <c r="DO32" s="33"/>
      <c r="DP32" s="15"/>
      <c r="DQ32" s="33">
        <f t="shared" si="40"/>
        <v>4644.366660000001</v>
      </c>
      <c r="DR32" s="15">
        <f t="shared" si="41"/>
        <v>4644.366660000001</v>
      </c>
      <c r="DS32" s="15">
        <v>1569</v>
      </c>
      <c r="DT32" s="33"/>
      <c r="DU32" s="15"/>
      <c r="DV32" s="15">
        <f t="shared" si="42"/>
        <v>12049.4554128</v>
      </c>
      <c r="DW32" s="15">
        <f t="shared" si="43"/>
        <v>12049.4554128</v>
      </c>
      <c r="DX32" s="15">
        <v>4172</v>
      </c>
      <c r="DY32" s="33"/>
      <c r="DZ32" s="15"/>
      <c r="EA32" s="15">
        <f t="shared" si="44"/>
        <v>887.6274840000001</v>
      </c>
      <c r="EB32" s="15">
        <f t="shared" si="45"/>
        <v>887.6274840000001</v>
      </c>
      <c r="EC32" s="15">
        <v>300</v>
      </c>
      <c r="ED32" s="33"/>
    </row>
    <row r="33" spans="1:134" s="35" customFormat="1" ht="12.75">
      <c r="A33" s="34">
        <v>44652</v>
      </c>
      <c r="C33" s="22">
        <v>3250000</v>
      </c>
      <c r="D33" s="22">
        <v>280584</v>
      </c>
      <c r="E33" s="16">
        <f t="shared" si="0"/>
        <v>3530584</v>
      </c>
      <c r="F33" s="33"/>
      <c r="G33" s="22"/>
      <c r="H33" s="22"/>
      <c r="I33" s="16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15"/>
      <c r="AD33" s="33"/>
      <c r="AE33" s="22">
        <v>3250000</v>
      </c>
      <c r="AF33" s="22">
        <v>280584</v>
      </c>
      <c r="AG33" s="16">
        <f t="shared" si="5"/>
        <v>3530584</v>
      </c>
      <c r="AH33" s="33"/>
      <c r="AI33" s="15">
        <f t="shared" si="46"/>
        <v>293227.35</v>
      </c>
      <c r="AJ33" s="33">
        <f t="shared" si="6"/>
        <v>25315.3546992</v>
      </c>
      <c r="AK33" s="33">
        <f t="shared" si="7"/>
        <v>318542.7046992</v>
      </c>
      <c r="AL33" s="33">
        <v>8490</v>
      </c>
      <c r="AM33" s="33"/>
      <c r="AN33" s="15">
        <f t="shared" si="47"/>
        <v>2755.35</v>
      </c>
      <c r="AO33" s="15">
        <f t="shared" si="8"/>
        <v>237.87911519999997</v>
      </c>
      <c r="AP33" s="15">
        <f t="shared" si="9"/>
        <v>2993.2291152</v>
      </c>
      <c r="AQ33" s="15">
        <v>78</v>
      </c>
      <c r="AR33" s="33"/>
      <c r="AS33" s="33">
        <f t="shared" si="48"/>
        <v>88242.05</v>
      </c>
      <c r="AT33" s="15">
        <f t="shared" si="10"/>
        <v>7618.2484176</v>
      </c>
      <c r="AU33" s="15">
        <f t="shared" si="11"/>
        <v>95860.2984176</v>
      </c>
      <c r="AV33" s="15">
        <v>2586</v>
      </c>
      <c r="AW33" s="33"/>
      <c r="AX33" s="15">
        <f t="shared" si="49"/>
        <v>739015.875</v>
      </c>
      <c r="AY33" s="15">
        <f t="shared" si="12"/>
        <v>63801.855467999994</v>
      </c>
      <c r="AZ33" s="15">
        <f t="shared" si="13"/>
        <v>802817.730468</v>
      </c>
      <c r="BA33" s="15">
        <v>21774</v>
      </c>
      <c r="BB33" s="33"/>
      <c r="BC33" s="15">
        <f t="shared" si="50"/>
        <v>191279.075</v>
      </c>
      <c r="BD33" s="15">
        <f t="shared" si="14"/>
        <v>16513.7993784</v>
      </c>
      <c r="BE33" s="15">
        <f t="shared" si="15"/>
        <v>207792.8743784</v>
      </c>
      <c r="BF33" s="15">
        <v>5450</v>
      </c>
      <c r="BG33" s="15"/>
      <c r="BH33" s="15">
        <f t="shared" si="51"/>
        <v>129511.2</v>
      </c>
      <c r="BI33" s="15">
        <f t="shared" si="16"/>
        <v>11181.1601664</v>
      </c>
      <c r="BJ33" s="15">
        <f t="shared" si="17"/>
        <v>140692.3601664</v>
      </c>
      <c r="BK33" s="15">
        <v>3738</v>
      </c>
      <c r="BL33" s="33"/>
      <c r="BM33" s="15">
        <f t="shared" si="52"/>
        <v>19920.550000000003</v>
      </c>
      <c r="BN33" s="15">
        <f t="shared" si="18"/>
        <v>1719.8115696000002</v>
      </c>
      <c r="BO33" s="15">
        <f t="shared" si="19"/>
        <v>21640.3615696</v>
      </c>
      <c r="BP33" s="15">
        <v>587</v>
      </c>
      <c r="BQ33" s="33"/>
      <c r="BR33" s="15">
        <f t="shared" si="53"/>
        <v>45604</v>
      </c>
      <c r="BS33" s="15">
        <f t="shared" si="20"/>
        <v>3937.1546879999996</v>
      </c>
      <c r="BT33" s="15">
        <f t="shared" si="21"/>
        <v>49541.154688</v>
      </c>
      <c r="BU33" s="15">
        <v>1341</v>
      </c>
      <c r="BV33" s="33"/>
      <c r="BW33" s="15">
        <f t="shared" si="54"/>
        <v>7646.275</v>
      </c>
      <c r="BX33" s="15">
        <f t="shared" si="22"/>
        <v>660.1299768</v>
      </c>
      <c r="BY33" s="15">
        <f t="shared" si="23"/>
        <v>8306.4049768</v>
      </c>
      <c r="BZ33" s="15">
        <v>225</v>
      </c>
      <c r="CA33" s="33"/>
      <c r="CB33" s="15">
        <f t="shared" si="55"/>
        <v>8270.925</v>
      </c>
      <c r="CC33" s="15">
        <f t="shared" si="24"/>
        <v>714.0582215999999</v>
      </c>
      <c r="CD33" s="15">
        <f t="shared" si="25"/>
        <v>8984.9832216</v>
      </c>
      <c r="CE33" s="15">
        <v>245</v>
      </c>
      <c r="CF33" s="33"/>
      <c r="CG33" s="15">
        <f t="shared" si="56"/>
        <v>15794.675</v>
      </c>
      <c r="CH33" s="15">
        <f t="shared" si="26"/>
        <v>1363.6101816</v>
      </c>
      <c r="CI33" s="15">
        <f t="shared" si="27"/>
        <v>17158.2851816</v>
      </c>
      <c r="CJ33" s="15">
        <v>461</v>
      </c>
      <c r="CK33" s="15"/>
      <c r="CL33" s="15">
        <f>AE33*0.08071/100</f>
        <v>2623.075</v>
      </c>
      <c r="CM33" s="15">
        <f t="shared" si="28"/>
        <v>226.4593464</v>
      </c>
      <c r="CN33" s="15">
        <f t="shared" si="29"/>
        <v>2849.5343464</v>
      </c>
      <c r="CO33" s="15">
        <v>75</v>
      </c>
      <c r="CP33" s="33"/>
      <c r="CQ33" s="15">
        <f t="shared" si="57"/>
        <v>45.5</v>
      </c>
      <c r="CR33" s="15">
        <f t="shared" si="30"/>
        <v>3.9281759999999997</v>
      </c>
      <c r="CS33" s="15">
        <f t="shared" si="31"/>
        <v>49.428176</v>
      </c>
      <c r="CT33" s="15"/>
      <c r="CU33" s="33"/>
      <c r="CV33" s="15">
        <f t="shared" si="58"/>
        <v>16696.225</v>
      </c>
      <c r="CW33" s="15">
        <f t="shared" si="32"/>
        <v>1441.4441832</v>
      </c>
      <c r="CX33" s="15">
        <f t="shared" si="33"/>
        <v>18137.6691832</v>
      </c>
      <c r="CY33" s="15">
        <v>493</v>
      </c>
      <c r="CZ33" s="33"/>
      <c r="DA33" s="15">
        <f t="shared" si="59"/>
        <v>24191.7</v>
      </c>
      <c r="DB33" s="15">
        <f t="shared" si="34"/>
        <v>2088.5550624</v>
      </c>
      <c r="DC33" s="15">
        <f t="shared" si="35"/>
        <v>26280.2550624</v>
      </c>
      <c r="DD33" s="15">
        <v>718</v>
      </c>
      <c r="DE33" s="33"/>
      <c r="DF33" s="15">
        <f t="shared" si="60"/>
        <v>30609.475</v>
      </c>
      <c r="DG33" s="15">
        <f t="shared" si="36"/>
        <v>2642.6242872</v>
      </c>
      <c r="DH33" s="15">
        <f t="shared" si="37"/>
        <v>33252.0992872</v>
      </c>
      <c r="DI33" s="15">
        <v>872</v>
      </c>
      <c r="DJ33" s="33"/>
      <c r="DK33" s="15">
        <f t="shared" si="61"/>
        <v>2847</v>
      </c>
      <c r="DL33" s="15">
        <f t="shared" si="38"/>
        <v>245.791584</v>
      </c>
      <c r="DM33" s="15">
        <f t="shared" si="39"/>
        <v>3092.791584</v>
      </c>
      <c r="DN33" s="15">
        <v>85</v>
      </c>
      <c r="DO33" s="33"/>
      <c r="DP33" s="15">
        <f t="shared" si="62"/>
        <v>53795.625</v>
      </c>
      <c r="DQ33" s="33">
        <f t="shared" si="40"/>
        <v>4644.366660000001</v>
      </c>
      <c r="DR33" s="15">
        <f t="shared" si="41"/>
        <v>58439.99166</v>
      </c>
      <c r="DS33" s="15">
        <v>1569</v>
      </c>
      <c r="DT33" s="33"/>
      <c r="DU33" s="15">
        <f t="shared" si="63"/>
        <v>139568.65</v>
      </c>
      <c r="DV33" s="15">
        <f t="shared" si="42"/>
        <v>12049.4554128</v>
      </c>
      <c r="DW33" s="15">
        <f t="shared" si="43"/>
        <v>151618.10541279998</v>
      </c>
      <c r="DX33" s="15">
        <v>4172</v>
      </c>
      <c r="DY33" s="33"/>
      <c r="DZ33" s="15">
        <f t="shared" si="64"/>
        <v>10281.375000000002</v>
      </c>
      <c r="EA33" s="15">
        <f t="shared" si="44"/>
        <v>887.6274840000001</v>
      </c>
      <c r="EB33" s="15">
        <f t="shared" si="45"/>
        <v>11169.002484000002</v>
      </c>
      <c r="EC33" s="15">
        <v>300</v>
      </c>
      <c r="ED33" s="33"/>
    </row>
    <row r="34" spans="1:134" s="35" customFormat="1" ht="12.75">
      <c r="A34" s="34">
        <v>44835</v>
      </c>
      <c r="C34" s="22"/>
      <c r="D34" s="22">
        <v>215584</v>
      </c>
      <c r="E34" s="16">
        <f t="shared" si="0"/>
        <v>215584</v>
      </c>
      <c r="F34" s="33"/>
      <c r="G34" s="22"/>
      <c r="H34" s="22"/>
      <c r="I34" s="16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15"/>
      <c r="AD34" s="33"/>
      <c r="AE34" s="22"/>
      <c r="AF34" s="22">
        <v>215584</v>
      </c>
      <c r="AG34" s="16">
        <f t="shared" si="5"/>
        <v>215584</v>
      </c>
      <c r="AH34" s="33"/>
      <c r="AI34" s="15"/>
      <c r="AJ34" s="33">
        <f t="shared" si="6"/>
        <v>19450.807699200002</v>
      </c>
      <c r="AK34" s="33">
        <f t="shared" si="7"/>
        <v>19450.807699200002</v>
      </c>
      <c r="AL34" s="33">
        <v>8490</v>
      </c>
      <c r="AM34" s="33"/>
      <c r="AN34" s="15"/>
      <c r="AO34" s="15">
        <f t="shared" si="8"/>
        <v>182.77211519999997</v>
      </c>
      <c r="AP34" s="15">
        <f t="shared" si="9"/>
        <v>182.77211519999997</v>
      </c>
      <c r="AQ34" s="15">
        <v>78</v>
      </c>
      <c r="AR34" s="33"/>
      <c r="AS34" s="33"/>
      <c r="AT34" s="15">
        <f t="shared" si="10"/>
        <v>5853.4074176</v>
      </c>
      <c r="AU34" s="15">
        <f t="shared" si="11"/>
        <v>5853.4074176</v>
      </c>
      <c r="AV34" s="15">
        <v>2586</v>
      </c>
      <c r="AW34" s="33"/>
      <c r="AX34" s="15"/>
      <c r="AY34" s="15">
        <f t="shared" si="12"/>
        <v>49021.537968</v>
      </c>
      <c r="AZ34" s="15">
        <f t="shared" si="13"/>
        <v>49021.537968</v>
      </c>
      <c r="BA34" s="15">
        <v>21774</v>
      </c>
      <c r="BB34" s="33"/>
      <c r="BC34" s="15"/>
      <c r="BD34" s="15">
        <f t="shared" si="14"/>
        <v>12688.217878399999</v>
      </c>
      <c r="BE34" s="15">
        <f t="shared" si="15"/>
        <v>12688.217878399999</v>
      </c>
      <c r="BF34" s="15">
        <v>5450</v>
      </c>
      <c r="BG34" s="15"/>
      <c r="BH34" s="15"/>
      <c r="BI34" s="15">
        <f t="shared" si="16"/>
        <v>8590.9361664</v>
      </c>
      <c r="BJ34" s="15">
        <f t="shared" si="17"/>
        <v>8590.9361664</v>
      </c>
      <c r="BK34" s="15">
        <v>3738</v>
      </c>
      <c r="BL34" s="33"/>
      <c r="BM34" s="15"/>
      <c r="BN34" s="15">
        <f t="shared" si="18"/>
        <v>1321.4005696000002</v>
      </c>
      <c r="BO34" s="15">
        <f t="shared" si="19"/>
        <v>1321.4005696000002</v>
      </c>
      <c r="BP34" s="15">
        <v>587</v>
      </c>
      <c r="BQ34" s="33"/>
      <c r="BR34" s="15"/>
      <c r="BS34" s="15">
        <f t="shared" si="20"/>
        <v>3025.0746879999997</v>
      </c>
      <c r="BT34" s="15">
        <f t="shared" si="21"/>
        <v>3025.0746879999997</v>
      </c>
      <c r="BU34" s="15">
        <v>1341</v>
      </c>
      <c r="BV34" s="33"/>
      <c r="BW34" s="15"/>
      <c r="BX34" s="15">
        <f t="shared" si="22"/>
        <v>507.20447680000007</v>
      </c>
      <c r="BY34" s="15">
        <f t="shared" si="23"/>
        <v>507.20447680000007</v>
      </c>
      <c r="BZ34" s="15">
        <v>225</v>
      </c>
      <c r="CA34" s="33"/>
      <c r="CB34" s="15"/>
      <c r="CC34" s="15">
        <f t="shared" si="24"/>
        <v>548.6397216</v>
      </c>
      <c r="CD34" s="15">
        <f t="shared" si="25"/>
        <v>548.6397216</v>
      </c>
      <c r="CE34" s="15">
        <v>245</v>
      </c>
      <c r="CF34" s="33"/>
      <c r="CG34" s="15"/>
      <c r="CH34" s="15">
        <f t="shared" si="26"/>
        <v>1047.7166816</v>
      </c>
      <c r="CI34" s="15">
        <f t="shared" si="27"/>
        <v>1047.7166816</v>
      </c>
      <c r="CJ34" s="15">
        <v>461</v>
      </c>
      <c r="CK34" s="15"/>
      <c r="CL34" s="15"/>
      <c r="CM34" s="15">
        <f t="shared" si="28"/>
        <v>173.99784640000001</v>
      </c>
      <c r="CN34" s="15">
        <f t="shared" si="29"/>
        <v>173.99784640000001</v>
      </c>
      <c r="CO34" s="15">
        <v>75</v>
      </c>
      <c r="CP34" s="33"/>
      <c r="CQ34" s="15"/>
      <c r="CR34" s="15">
        <f t="shared" si="30"/>
        <v>3.0181759999999995</v>
      </c>
      <c r="CS34" s="15">
        <f t="shared" si="31"/>
        <v>3.0181759999999995</v>
      </c>
      <c r="CT34" s="15"/>
      <c r="CU34" s="33"/>
      <c r="CV34" s="15"/>
      <c r="CW34" s="15">
        <f t="shared" si="32"/>
        <v>1107.5196832</v>
      </c>
      <c r="CX34" s="15">
        <f t="shared" si="33"/>
        <v>1107.5196832</v>
      </c>
      <c r="CY34" s="15">
        <v>493</v>
      </c>
      <c r="CZ34" s="33"/>
      <c r="DA34" s="15"/>
      <c r="DB34" s="15">
        <f t="shared" si="34"/>
        <v>1604.7210624</v>
      </c>
      <c r="DC34" s="15">
        <f t="shared" si="35"/>
        <v>1604.7210624</v>
      </c>
      <c r="DD34" s="15">
        <v>718</v>
      </c>
      <c r="DE34" s="33"/>
      <c r="DF34" s="15"/>
      <c r="DG34" s="15">
        <f t="shared" si="36"/>
        <v>2030.4347871999998</v>
      </c>
      <c r="DH34" s="15">
        <f t="shared" si="37"/>
        <v>2030.4347871999998</v>
      </c>
      <c r="DI34" s="15">
        <v>872</v>
      </c>
      <c r="DJ34" s="33"/>
      <c r="DK34" s="15"/>
      <c r="DL34" s="15">
        <f t="shared" si="38"/>
        <v>188.851584</v>
      </c>
      <c r="DM34" s="15">
        <f t="shared" si="39"/>
        <v>188.851584</v>
      </c>
      <c r="DN34" s="15">
        <v>85</v>
      </c>
      <c r="DO34" s="33"/>
      <c r="DP34" s="15"/>
      <c r="DQ34" s="33">
        <f t="shared" si="40"/>
        <v>3568.4541600000002</v>
      </c>
      <c r="DR34" s="15">
        <f t="shared" si="41"/>
        <v>3568.4541600000002</v>
      </c>
      <c r="DS34" s="15">
        <v>1569</v>
      </c>
      <c r="DT34" s="33"/>
      <c r="DU34" s="15"/>
      <c r="DV34" s="15">
        <f t="shared" si="42"/>
        <v>9258.0824128</v>
      </c>
      <c r="DW34" s="15">
        <f t="shared" si="43"/>
        <v>9258.0824128</v>
      </c>
      <c r="DX34" s="15">
        <v>4172</v>
      </c>
      <c r="DY34" s="33"/>
      <c r="DZ34" s="15"/>
      <c r="EA34" s="15">
        <f t="shared" si="44"/>
        <v>681.9999840000002</v>
      </c>
      <c r="EB34" s="15">
        <f t="shared" si="45"/>
        <v>681.9999840000002</v>
      </c>
      <c r="EC34" s="15">
        <v>300</v>
      </c>
      <c r="ED34" s="33"/>
    </row>
    <row r="35" spans="1:134" s="35" customFormat="1" ht="12.75">
      <c r="A35" s="34">
        <v>45017</v>
      </c>
      <c r="C35" s="22">
        <v>3380000</v>
      </c>
      <c r="D35" s="22">
        <v>215584</v>
      </c>
      <c r="E35" s="16">
        <f t="shared" si="0"/>
        <v>3595584</v>
      </c>
      <c r="F35" s="33"/>
      <c r="G35" s="22"/>
      <c r="H35" s="22"/>
      <c r="I35" s="16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15"/>
      <c r="AD35" s="33"/>
      <c r="AE35" s="22">
        <v>3380000</v>
      </c>
      <c r="AF35" s="22">
        <v>215584</v>
      </c>
      <c r="AG35" s="16">
        <f t="shared" si="5"/>
        <v>3595584</v>
      </c>
      <c r="AH35" s="33"/>
      <c r="AI35" s="15">
        <f t="shared" si="46"/>
        <v>304956.44399999996</v>
      </c>
      <c r="AJ35" s="33">
        <f t="shared" si="6"/>
        <v>19450.807699200002</v>
      </c>
      <c r="AK35" s="33">
        <f t="shared" si="7"/>
        <v>324407.25169919996</v>
      </c>
      <c r="AL35" s="33">
        <v>8490</v>
      </c>
      <c r="AM35" s="33"/>
      <c r="AN35" s="15">
        <f t="shared" si="47"/>
        <v>2865.564</v>
      </c>
      <c r="AO35" s="15">
        <f t="shared" si="8"/>
        <v>182.77211519999997</v>
      </c>
      <c r="AP35" s="15">
        <f t="shared" si="9"/>
        <v>3048.3361151999998</v>
      </c>
      <c r="AQ35" s="15">
        <v>78</v>
      </c>
      <c r="AR35" s="33"/>
      <c r="AS35" s="33">
        <f t="shared" si="48"/>
        <v>91771.73199999999</v>
      </c>
      <c r="AT35" s="15">
        <f t="shared" si="10"/>
        <v>5853.4074176</v>
      </c>
      <c r="AU35" s="15">
        <f t="shared" si="11"/>
        <v>97625.13941759999</v>
      </c>
      <c r="AV35" s="15">
        <v>2586</v>
      </c>
      <c r="AW35" s="33"/>
      <c r="AX35" s="15">
        <f t="shared" si="49"/>
        <v>768576.51</v>
      </c>
      <c r="AY35" s="15">
        <f t="shared" si="12"/>
        <v>49021.537968</v>
      </c>
      <c r="AZ35" s="15">
        <f t="shared" si="13"/>
        <v>817598.047968</v>
      </c>
      <c r="BA35" s="15">
        <v>21774</v>
      </c>
      <c r="BB35" s="33"/>
      <c r="BC35" s="15">
        <f t="shared" si="50"/>
        <v>198930.238</v>
      </c>
      <c r="BD35" s="15">
        <f t="shared" si="14"/>
        <v>12688.217878399999</v>
      </c>
      <c r="BE35" s="15">
        <f t="shared" si="15"/>
        <v>211618.4558784</v>
      </c>
      <c r="BF35" s="15">
        <v>5450</v>
      </c>
      <c r="BG35" s="15"/>
      <c r="BH35" s="15">
        <f t="shared" si="51"/>
        <v>134691.64800000002</v>
      </c>
      <c r="BI35" s="15">
        <f t="shared" si="16"/>
        <v>8590.9361664</v>
      </c>
      <c r="BJ35" s="15">
        <f t="shared" si="17"/>
        <v>143282.58416640002</v>
      </c>
      <c r="BK35" s="15">
        <v>3738</v>
      </c>
      <c r="BL35" s="33"/>
      <c r="BM35" s="15">
        <f t="shared" si="52"/>
        <v>20717.372000000003</v>
      </c>
      <c r="BN35" s="15">
        <f t="shared" si="18"/>
        <v>1321.4005696000002</v>
      </c>
      <c r="BO35" s="15">
        <f t="shared" si="19"/>
        <v>22038.7725696</v>
      </c>
      <c r="BP35" s="15">
        <v>587</v>
      </c>
      <c r="BQ35" s="33"/>
      <c r="BR35" s="15">
        <f t="shared" si="53"/>
        <v>47428.16</v>
      </c>
      <c r="BS35" s="15">
        <f t="shared" si="20"/>
        <v>3025.0746879999997</v>
      </c>
      <c r="BT35" s="15">
        <f t="shared" si="21"/>
        <v>50453.234688000004</v>
      </c>
      <c r="BU35" s="15">
        <v>1341</v>
      </c>
      <c r="BV35" s="33"/>
      <c r="BW35" s="15">
        <f t="shared" si="54"/>
        <v>7952.126</v>
      </c>
      <c r="BX35" s="15">
        <f t="shared" si="22"/>
        <v>507.20447680000007</v>
      </c>
      <c r="BY35" s="15">
        <f t="shared" si="23"/>
        <v>8459.3304768</v>
      </c>
      <c r="BZ35" s="15">
        <v>225</v>
      </c>
      <c r="CA35" s="33"/>
      <c r="CB35" s="15">
        <f t="shared" si="55"/>
        <v>8601.761999999999</v>
      </c>
      <c r="CC35" s="15">
        <f t="shared" si="24"/>
        <v>548.6397216</v>
      </c>
      <c r="CD35" s="15">
        <f t="shared" si="25"/>
        <v>9150.4017216</v>
      </c>
      <c r="CE35" s="15">
        <v>245</v>
      </c>
      <c r="CF35" s="33"/>
      <c r="CG35" s="15">
        <f t="shared" si="56"/>
        <v>16426.462</v>
      </c>
      <c r="CH35" s="15">
        <f t="shared" si="26"/>
        <v>1047.7166816</v>
      </c>
      <c r="CI35" s="15">
        <f t="shared" si="27"/>
        <v>17474.1786816</v>
      </c>
      <c r="CJ35" s="15">
        <v>461</v>
      </c>
      <c r="CK35" s="15"/>
      <c r="CL35" s="15">
        <f>AE35*0.08071/100</f>
        <v>2727.998</v>
      </c>
      <c r="CM35" s="15">
        <f t="shared" si="28"/>
        <v>173.99784640000001</v>
      </c>
      <c r="CN35" s="15">
        <f t="shared" si="29"/>
        <v>2901.9958464</v>
      </c>
      <c r="CO35" s="15">
        <v>75</v>
      </c>
      <c r="CP35" s="33"/>
      <c r="CQ35" s="15">
        <f t="shared" si="57"/>
        <v>47.32</v>
      </c>
      <c r="CR35" s="15">
        <f t="shared" si="30"/>
        <v>3.0181759999999995</v>
      </c>
      <c r="CS35" s="15">
        <f t="shared" si="31"/>
        <v>50.338176</v>
      </c>
      <c r="CT35" s="15"/>
      <c r="CU35" s="33"/>
      <c r="CV35" s="15">
        <f t="shared" si="58"/>
        <v>17364.074</v>
      </c>
      <c r="CW35" s="15">
        <f t="shared" si="32"/>
        <v>1107.5196832</v>
      </c>
      <c r="CX35" s="15">
        <f t="shared" si="33"/>
        <v>18471.5936832</v>
      </c>
      <c r="CY35" s="15">
        <v>493</v>
      </c>
      <c r="CZ35" s="33"/>
      <c r="DA35" s="15">
        <f t="shared" si="59"/>
        <v>25159.368000000002</v>
      </c>
      <c r="DB35" s="15">
        <f t="shared" si="34"/>
        <v>1604.7210624</v>
      </c>
      <c r="DC35" s="15">
        <f t="shared" si="35"/>
        <v>26764.089062400002</v>
      </c>
      <c r="DD35" s="15">
        <v>718</v>
      </c>
      <c r="DE35" s="33"/>
      <c r="DF35" s="15">
        <f t="shared" si="60"/>
        <v>31833.854</v>
      </c>
      <c r="DG35" s="15">
        <f t="shared" si="36"/>
        <v>2030.4347871999998</v>
      </c>
      <c r="DH35" s="15">
        <f t="shared" si="37"/>
        <v>33864.2887872</v>
      </c>
      <c r="DI35" s="15">
        <v>872</v>
      </c>
      <c r="DJ35" s="33"/>
      <c r="DK35" s="15">
        <f t="shared" si="61"/>
        <v>2960.88</v>
      </c>
      <c r="DL35" s="15">
        <f t="shared" si="38"/>
        <v>188.851584</v>
      </c>
      <c r="DM35" s="15">
        <f t="shared" si="39"/>
        <v>3149.731584</v>
      </c>
      <c r="DN35" s="15">
        <v>85</v>
      </c>
      <c r="DO35" s="33"/>
      <c r="DP35" s="15">
        <f t="shared" si="62"/>
        <v>55947.45</v>
      </c>
      <c r="DQ35" s="33">
        <f t="shared" si="40"/>
        <v>3568.4541600000002</v>
      </c>
      <c r="DR35" s="15">
        <f t="shared" si="41"/>
        <v>59515.90416</v>
      </c>
      <c r="DS35" s="15">
        <v>1569</v>
      </c>
      <c r="DT35" s="33"/>
      <c r="DU35" s="15">
        <f t="shared" si="63"/>
        <v>145151.396</v>
      </c>
      <c r="DV35" s="15">
        <f t="shared" si="42"/>
        <v>9258.0824128</v>
      </c>
      <c r="DW35" s="15">
        <f t="shared" si="43"/>
        <v>154409.4784128</v>
      </c>
      <c r="DX35" s="15">
        <v>4172</v>
      </c>
      <c r="DY35" s="33"/>
      <c r="DZ35" s="15">
        <f t="shared" si="64"/>
        <v>10692.63</v>
      </c>
      <c r="EA35" s="15">
        <f t="shared" si="44"/>
        <v>681.9999840000002</v>
      </c>
      <c r="EB35" s="15">
        <f t="shared" si="45"/>
        <v>11374.629984</v>
      </c>
      <c r="EC35" s="15">
        <v>300</v>
      </c>
      <c r="ED35" s="33"/>
    </row>
    <row r="36" spans="1:134" s="35" customFormat="1" ht="12.75">
      <c r="A36" s="34">
        <v>45200</v>
      </c>
      <c r="C36" s="22"/>
      <c r="D36" s="22">
        <v>147984</v>
      </c>
      <c r="E36" s="16">
        <f t="shared" si="0"/>
        <v>147984</v>
      </c>
      <c r="F36" s="33"/>
      <c r="G36" s="22"/>
      <c r="H36" s="22"/>
      <c r="I36" s="16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15"/>
      <c r="AD36" s="33"/>
      <c r="AE36" s="22"/>
      <c r="AF36" s="22">
        <v>147984</v>
      </c>
      <c r="AG36" s="16">
        <f t="shared" si="5"/>
        <v>147984</v>
      </c>
      <c r="AH36" s="33"/>
      <c r="AI36" s="15"/>
      <c r="AJ36" s="33">
        <f t="shared" si="6"/>
        <v>13351.6788192</v>
      </c>
      <c r="AK36" s="33">
        <f t="shared" si="7"/>
        <v>13351.6788192</v>
      </c>
      <c r="AL36" s="33">
        <v>8490</v>
      </c>
      <c r="AM36" s="33"/>
      <c r="AN36" s="15"/>
      <c r="AO36" s="15">
        <f t="shared" si="8"/>
        <v>125.46083519999998</v>
      </c>
      <c r="AP36" s="15">
        <f t="shared" si="9"/>
        <v>125.46083519999998</v>
      </c>
      <c r="AQ36" s="15">
        <v>78</v>
      </c>
      <c r="AR36" s="33"/>
      <c r="AS36" s="33"/>
      <c r="AT36" s="15">
        <f t="shared" si="10"/>
        <v>4017.9727775999995</v>
      </c>
      <c r="AU36" s="15">
        <f t="shared" si="11"/>
        <v>4017.9727775999995</v>
      </c>
      <c r="AV36" s="15">
        <v>2586</v>
      </c>
      <c r="AW36" s="33"/>
      <c r="AX36" s="15"/>
      <c r="AY36" s="15">
        <f t="shared" si="12"/>
        <v>33650.007767999996</v>
      </c>
      <c r="AZ36" s="15">
        <f t="shared" si="13"/>
        <v>33650.007767999996</v>
      </c>
      <c r="BA36" s="15">
        <v>21774</v>
      </c>
      <c r="BB36" s="33"/>
      <c r="BC36" s="15"/>
      <c r="BD36" s="15">
        <f t="shared" si="14"/>
        <v>8709.6131184</v>
      </c>
      <c r="BE36" s="15">
        <f t="shared" si="15"/>
        <v>8709.6131184</v>
      </c>
      <c r="BF36" s="15">
        <v>5450</v>
      </c>
      <c r="BG36" s="15"/>
      <c r="BH36" s="15"/>
      <c r="BI36" s="15">
        <f t="shared" si="16"/>
        <v>5897.1032064</v>
      </c>
      <c r="BJ36" s="15">
        <f t="shared" si="17"/>
        <v>5897.1032064</v>
      </c>
      <c r="BK36" s="15">
        <v>3738</v>
      </c>
      <c r="BL36" s="33"/>
      <c r="BM36" s="15"/>
      <c r="BN36" s="15">
        <f t="shared" si="18"/>
        <v>907.0531296000001</v>
      </c>
      <c r="BO36" s="15">
        <f t="shared" si="19"/>
        <v>907.0531296000001</v>
      </c>
      <c r="BP36" s="15">
        <v>587</v>
      </c>
      <c r="BQ36" s="33"/>
      <c r="BR36" s="15"/>
      <c r="BS36" s="15">
        <f t="shared" si="20"/>
        <v>2076.511488</v>
      </c>
      <c r="BT36" s="15">
        <f t="shared" si="21"/>
        <v>2076.511488</v>
      </c>
      <c r="BU36" s="15">
        <v>1341</v>
      </c>
      <c r="BV36" s="33"/>
      <c r="BW36" s="15"/>
      <c r="BX36" s="15">
        <f t="shared" si="22"/>
        <v>348.16195680000004</v>
      </c>
      <c r="BY36" s="15">
        <f t="shared" si="23"/>
        <v>348.16195680000004</v>
      </c>
      <c r="BZ36" s="15">
        <v>225</v>
      </c>
      <c r="CA36" s="33"/>
      <c r="CB36" s="15"/>
      <c r="CC36" s="15">
        <f t="shared" si="24"/>
        <v>376.6044816</v>
      </c>
      <c r="CD36" s="15">
        <f t="shared" si="25"/>
        <v>376.6044816</v>
      </c>
      <c r="CE36" s="15">
        <v>245</v>
      </c>
      <c r="CF36" s="33"/>
      <c r="CG36" s="15"/>
      <c r="CH36" s="15">
        <f t="shared" si="26"/>
        <v>719.1874416</v>
      </c>
      <c r="CI36" s="15">
        <f t="shared" si="27"/>
        <v>719.1874416</v>
      </c>
      <c r="CJ36" s="15">
        <v>461</v>
      </c>
      <c r="CK36" s="15"/>
      <c r="CL36" s="15"/>
      <c r="CM36" s="15">
        <f t="shared" si="28"/>
        <v>119.43788640000001</v>
      </c>
      <c r="CN36" s="15">
        <f t="shared" si="29"/>
        <v>119.43788640000001</v>
      </c>
      <c r="CO36" s="15">
        <v>75</v>
      </c>
      <c r="CP36" s="33"/>
      <c r="CQ36" s="15"/>
      <c r="CR36" s="15">
        <f t="shared" si="30"/>
        <v>2.071776</v>
      </c>
      <c r="CS36" s="15">
        <f t="shared" si="31"/>
        <v>2.071776</v>
      </c>
      <c r="CT36" s="15"/>
      <c r="CU36" s="33"/>
      <c r="CV36" s="15"/>
      <c r="CW36" s="15">
        <f t="shared" si="32"/>
        <v>760.2382032</v>
      </c>
      <c r="CX36" s="15">
        <f t="shared" si="33"/>
        <v>760.2382032</v>
      </c>
      <c r="CY36" s="15">
        <v>493</v>
      </c>
      <c r="CZ36" s="33"/>
      <c r="DA36" s="15"/>
      <c r="DB36" s="15">
        <f t="shared" si="34"/>
        <v>1101.5337024</v>
      </c>
      <c r="DC36" s="15">
        <f t="shared" si="35"/>
        <v>1101.5337024</v>
      </c>
      <c r="DD36" s="15">
        <v>718</v>
      </c>
      <c r="DE36" s="33"/>
      <c r="DF36" s="15"/>
      <c r="DG36" s="15">
        <f t="shared" si="36"/>
        <v>1393.7577072</v>
      </c>
      <c r="DH36" s="15">
        <f t="shared" si="37"/>
        <v>1393.7577072</v>
      </c>
      <c r="DI36" s="15">
        <v>872</v>
      </c>
      <c r="DJ36" s="33"/>
      <c r="DK36" s="15"/>
      <c r="DL36" s="15">
        <f t="shared" si="38"/>
        <v>129.633984</v>
      </c>
      <c r="DM36" s="15">
        <f t="shared" si="39"/>
        <v>129.633984</v>
      </c>
      <c r="DN36" s="15">
        <v>85</v>
      </c>
      <c r="DO36" s="33"/>
      <c r="DP36" s="15"/>
      <c r="DQ36" s="33">
        <f t="shared" si="40"/>
        <v>2449.50516</v>
      </c>
      <c r="DR36" s="15">
        <f t="shared" si="41"/>
        <v>2449.50516</v>
      </c>
      <c r="DS36" s="15">
        <v>1569</v>
      </c>
      <c r="DT36" s="33"/>
      <c r="DU36" s="15"/>
      <c r="DV36" s="15">
        <f t="shared" si="42"/>
        <v>6355.054492799999</v>
      </c>
      <c r="DW36" s="15">
        <f t="shared" si="43"/>
        <v>6355.054492799999</v>
      </c>
      <c r="DX36" s="15">
        <v>4172</v>
      </c>
      <c r="DY36" s="33"/>
      <c r="DZ36" s="15"/>
      <c r="EA36" s="15">
        <f t="shared" si="44"/>
        <v>468.14738400000005</v>
      </c>
      <c r="EB36" s="15">
        <f t="shared" si="45"/>
        <v>468.14738400000005</v>
      </c>
      <c r="EC36" s="15">
        <v>300</v>
      </c>
      <c r="ED36" s="33"/>
    </row>
    <row r="37" spans="1:134" s="35" customFormat="1" ht="12.75">
      <c r="A37" s="34">
        <v>45383</v>
      </c>
      <c r="C37" s="22">
        <v>3515000</v>
      </c>
      <c r="D37" s="22">
        <v>147984</v>
      </c>
      <c r="E37" s="16">
        <f t="shared" si="0"/>
        <v>3662984</v>
      </c>
      <c r="F37" s="33"/>
      <c r="G37" s="22"/>
      <c r="H37" s="22"/>
      <c r="I37" s="16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15"/>
      <c r="AD37" s="33"/>
      <c r="AE37" s="22">
        <v>3515000</v>
      </c>
      <c r="AF37" s="22">
        <v>147984</v>
      </c>
      <c r="AG37" s="16">
        <f t="shared" si="5"/>
        <v>3662984</v>
      </c>
      <c r="AH37" s="33"/>
      <c r="AI37" s="15">
        <f t="shared" si="46"/>
        <v>317136.657</v>
      </c>
      <c r="AJ37" s="33">
        <f t="shared" si="6"/>
        <v>13351.6788192</v>
      </c>
      <c r="AK37" s="33">
        <f t="shared" si="7"/>
        <v>330488.33581920003</v>
      </c>
      <c r="AL37" s="33">
        <v>8490</v>
      </c>
      <c r="AM37" s="33"/>
      <c r="AN37" s="15">
        <f t="shared" si="47"/>
        <v>2980.0169999999994</v>
      </c>
      <c r="AO37" s="15">
        <f t="shared" si="8"/>
        <v>125.46083519999998</v>
      </c>
      <c r="AP37" s="15">
        <f t="shared" si="9"/>
        <v>3105.4778351999994</v>
      </c>
      <c r="AQ37" s="15">
        <v>78</v>
      </c>
      <c r="AR37" s="33"/>
      <c r="AS37" s="33">
        <f t="shared" si="48"/>
        <v>95437.171</v>
      </c>
      <c r="AT37" s="15">
        <f t="shared" si="10"/>
        <v>4017.9727775999995</v>
      </c>
      <c r="AU37" s="15">
        <f t="shared" si="11"/>
        <v>99455.1437776</v>
      </c>
      <c r="AV37" s="15">
        <v>2586</v>
      </c>
      <c r="AW37" s="33"/>
      <c r="AX37" s="15">
        <f t="shared" si="49"/>
        <v>799274.0925</v>
      </c>
      <c r="AY37" s="15">
        <f t="shared" si="12"/>
        <v>33650.007767999996</v>
      </c>
      <c r="AZ37" s="15">
        <f t="shared" si="13"/>
        <v>832924.100268</v>
      </c>
      <c r="BA37" s="15">
        <v>21774</v>
      </c>
      <c r="BB37" s="33"/>
      <c r="BC37" s="15">
        <f t="shared" si="50"/>
        <v>206875.67649999997</v>
      </c>
      <c r="BD37" s="15">
        <f t="shared" si="14"/>
        <v>8709.6131184</v>
      </c>
      <c r="BE37" s="15">
        <f t="shared" si="15"/>
        <v>215585.28961839998</v>
      </c>
      <c r="BF37" s="15">
        <v>5450</v>
      </c>
      <c r="BG37" s="15"/>
      <c r="BH37" s="15">
        <f t="shared" si="51"/>
        <v>140071.344</v>
      </c>
      <c r="BI37" s="15">
        <f t="shared" si="16"/>
        <v>5897.1032064</v>
      </c>
      <c r="BJ37" s="15">
        <f t="shared" si="17"/>
        <v>145968.44720640001</v>
      </c>
      <c r="BK37" s="15">
        <v>3738</v>
      </c>
      <c r="BL37" s="33"/>
      <c r="BM37" s="15">
        <f t="shared" si="52"/>
        <v>21544.841</v>
      </c>
      <c r="BN37" s="15">
        <f t="shared" si="18"/>
        <v>907.0531296000001</v>
      </c>
      <c r="BO37" s="15">
        <f t="shared" si="19"/>
        <v>22451.8941296</v>
      </c>
      <c r="BP37" s="15">
        <v>587</v>
      </c>
      <c r="BQ37" s="33"/>
      <c r="BR37" s="15">
        <f t="shared" si="53"/>
        <v>49322.48</v>
      </c>
      <c r="BS37" s="15">
        <f t="shared" si="20"/>
        <v>2076.511488</v>
      </c>
      <c r="BT37" s="15">
        <f t="shared" si="21"/>
        <v>51398.991488</v>
      </c>
      <c r="BU37" s="15">
        <v>1341</v>
      </c>
      <c r="BV37" s="33"/>
      <c r="BW37" s="15">
        <f t="shared" si="54"/>
        <v>8269.7405</v>
      </c>
      <c r="BX37" s="15">
        <f t="shared" si="22"/>
        <v>348.16195680000004</v>
      </c>
      <c r="BY37" s="15">
        <f t="shared" si="23"/>
        <v>8617.9024568</v>
      </c>
      <c r="BZ37" s="15">
        <v>225</v>
      </c>
      <c r="CA37" s="33"/>
      <c r="CB37" s="15">
        <f t="shared" si="55"/>
        <v>8945.3235</v>
      </c>
      <c r="CC37" s="15">
        <f t="shared" si="24"/>
        <v>376.6044816</v>
      </c>
      <c r="CD37" s="15">
        <f t="shared" si="25"/>
        <v>9321.9279816</v>
      </c>
      <c r="CE37" s="15">
        <v>245</v>
      </c>
      <c r="CF37" s="33"/>
      <c r="CG37" s="15">
        <f t="shared" si="56"/>
        <v>17082.548499999997</v>
      </c>
      <c r="CH37" s="15">
        <f t="shared" si="26"/>
        <v>719.1874416</v>
      </c>
      <c r="CI37" s="15">
        <f t="shared" si="27"/>
        <v>17801.735941599996</v>
      </c>
      <c r="CJ37" s="15">
        <v>461</v>
      </c>
      <c r="CK37" s="15"/>
      <c r="CL37" s="15">
        <f>AE37*0.08071/100</f>
        <v>2836.9565000000002</v>
      </c>
      <c r="CM37" s="15">
        <f t="shared" si="28"/>
        <v>119.43788640000001</v>
      </c>
      <c r="CN37" s="15">
        <f t="shared" si="29"/>
        <v>2956.3943864000003</v>
      </c>
      <c r="CO37" s="15">
        <v>75</v>
      </c>
      <c r="CP37" s="33"/>
      <c r="CQ37" s="15">
        <f t="shared" si="57"/>
        <v>49.21</v>
      </c>
      <c r="CR37" s="15">
        <f t="shared" si="30"/>
        <v>2.071776</v>
      </c>
      <c r="CS37" s="15">
        <f t="shared" si="31"/>
        <v>51.281776</v>
      </c>
      <c r="CT37" s="15"/>
      <c r="CU37" s="33"/>
      <c r="CV37" s="15">
        <f t="shared" si="58"/>
        <v>18057.609500000002</v>
      </c>
      <c r="CW37" s="15">
        <f t="shared" si="32"/>
        <v>760.2382032</v>
      </c>
      <c r="CX37" s="15">
        <f t="shared" si="33"/>
        <v>18817.8477032</v>
      </c>
      <c r="CY37" s="15">
        <v>493</v>
      </c>
      <c r="CZ37" s="33"/>
      <c r="DA37" s="15">
        <f t="shared" si="59"/>
        <v>26164.254</v>
      </c>
      <c r="DB37" s="15">
        <f t="shared" si="34"/>
        <v>1101.5337024</v>
      </c>
      <c r="DC37" s="15">
        <f t="shared" si="35"/>
        <v>27265.7877024</v>
      </c>
      <c r="DD37" s="15">
        <v>718</v>
      </c>
      <c r="DE37" s="33"/>
      <c r="DF37" s="15">
        <f t="shared" si="60"/>
        <v>33105.324499999995</v>
      </c>
      <c r="DG37" s="15">
        <f t="shared" si="36"/>
        <v>1393.7577072</v>
      </c>
      <c r="DH37" s="15">
        <f t="shared" si="37"/>
        <v>34499.082207199994</v>
      </c>
      <c r="DI37" s="15">
        <v>872</v>
      </c>
      <c r="DJ37" s="33"/>
      <c r="DK37" s="15">
        <f t="shared" si="61"/>
        <v>3079.14</v>
      </c>
      <c r="DL37" s="15">
        <f t="shared" si="38"/>
        <v>129.633984</v>
      </c>
      <c r="DM37" s="15">
        <f t="shared" si="39"/>
        <v>3208.773984</v>
      </c>
      <c r="DN37" s="15">
        <v>85</v>
      </c>
      <c r="DO37" s="33"/>
      <c r="DP37" s="15">
        <f t="shared" si="62"/>
        <v>58182.0375</v>
      </c>
      <c r="DQ37" s="33">
        <f t="shared" si="40"/>
        <v>2449.50516</v>
      </c>
      <c r="DR37" s="15">
        <f t="shared" si="41"/>
        <v>60631.54266</v>
      </c>
      <c r="DS37" s="15">
        <v>1569</v>
      </c>
      <c r="DT37" s="33"/>
      <c r="DU37" s="15">
        <f t="shared" si="63"/>
        <v>150948.86299999998</v>
      </c>
      <c r="DV37" s="15">
        <f t="shared" si="42"/>
        <v>6355.054492799999</v>
      </c>
      <c r="DW37" s="15">
        <f t="shared" si="43"/>
        <v>157303.91749279998</v>
      </c>
      <c r="DX37" s="15">
        <v>4172</v>
      </c>
      <c r="DY37" s="33"/>
      <c r="DZ37" s="15">
        <f t="shared" si="64"/>
        <v>11119.7025</v>
      </c>
      <c r="EA37" s="15">
        <f t="shared" si="44"/>
        <v>468.14738400000005</v>
      </c>
      <c r="EB37" s="15">
        <f t="shared" si="45"/>
        <v>11587.849884</v>
      </c>
      <c r="EC37" s="15">
        <v>300</v>
      </c>
      <c r="ED37" s="33"/>
    </row>
    <row r="38" spans="1:134" s="35" customFormat="1" ht="12.75">
      <c r="A38" s="2">
        <v>45566</v>
      </c>
      <c r="B38"/>
      <c r="C38" s="22"/>
      <c r="D38" s="22">
        <v>75488</v>
      </c>
      <c r="E38" s="16">
        <f t="shared" si="0"/>
        <v>75488</v>
      </c>
      <c r="F38" s="33"/>
      <c r="G38" s="22"/>
      <c r="H38" s="22"/>
      <c r="I38" s="16"/>
      <c r="J38" s="33"/>
      <c r="K38" s="15"/>
      <c r="L38" s="15"/>
      <c r="M38" s="15"/>
      <c r="N38" s="33"/>
      <c r="O38" s="15"/>
      <c r="P38" s="15"/>
      <c r="Q38" s="15"/>
      <c r="R38" s="33"/>
      <c r="S38" s="15"/>
      <c r="T38" s="15"/>
      <c r="U38" s="15"/>
      <c r="V38" s="33"/>
      <c r="W38" s="15"/>
      <c r="X38" s="15"/>
      <c r="Y38" s="15"/>
      <c r="Z38" s="33"/>
      <c r="AA38" s="15"/>
      <c r="AB38" s="15"/>
      <c r="AC38" s="15"/>
      <c r="AD38" s="33"/>
      <c r="AE38" s="22"/>
      <c r="AF38" s="22">
        <v>75488</v>
      </c>
      <c r="AG38" s="16">
        <f t="shared" si="5"/>
        <v>75488</v>
      </c>
      <c r="AH38" s="33"/>
      <c r="AI38" s="15"/>
      <c r="AJ38" s="33">
        <f t="shared" si="6"/>
        <v>6810.814214399999</v>
      </c>
      <c r="AK38" s="33">
        <f t="shared" si="7"/>
        <v>6810.814214399999</v>
      </c>
      <c r="AL38" s="33">
        <v>8490</v>
      </c>
      <c r="AM38" s="33"/>
      <c r="AN38" s="15"/>
      <c r="AO38" s="15">
        <f t="shared" si="8"/>
        <v>63.998726399999995</v>
      </c>
      <c r="AP38" s="15">
        <f t="shared" si="9"/>
        <v>63.998726399999995</v>
      </c>
      <c r="AQ38" s="15">
        <v>78</v>
      </c>
      <c r="AR38" s="33"/>
      <c r="AS38" s="33"/>
      <c r="AT38" s="15">
        <f t="shared" si="10"/>
        <v>2049.6048832</v>
      </c>
      <c r="AU38" s="15">
        <f t="shared" si="11"/>
        <v>2049.6048832</v>
      </c>
      <c r="AV38" s="15">
        <v>2586</v>
      </c>
      <c r="AW38" s="33"/>
      <c r="AX38" s="15"/>
      <c r="AY38" s="15">
        <f t="shared" si="12"/>
        <v>17165.178576</v>
      </c>
      <c r="AZ38" s="15">
        <f t="shared" si="13"/>
        <v>17165.178576</v>
      </c>
      <c r="BA38" s="15">
        <v>21774</v>
      </c>
      <c r="BB38" s="33"/>
      <c r="BC38" s="15"/>
      <c r="BD38" s="15">
        <f t="shared" si="14"/>
        <v>4442.8537888</v>
      </c>
      <c r="BE38" s="15">
        <f t="shared" si="15"/>
        <v>4442.8537888</v>
      </c>
      <c r="BF38" s="15">
        <v>5450</v>
      </c>
      <c r="BG38" s="15"/>
      <c r="BH38" s="15"/>
      <c r="BI38" s="15">
        <f t="shared" si="16"/>
        <v>3008.1666048</v>
      </c>
      <c r="BJ38" s="15">
        <f t="shared" si="17"/>
        <v>3008.1666048</v>
      </c>
      <c r="BK38" s="15">
        <v>3738</v>
      </c>
      <c r="BL38" s="33"/>
      <c r="BM38" s="15"/>
      <c r="BN38" s="15">
        <f t="shared" si="18"/>
        <v>462.69614720000004</v>
      </c>
      <c r="BO38" s="15">
        <f t="shared" si="19"/>
        <v>462.69614720000004</v>
      </c>
      <c r="BP38" s="15">
        <v>587</v>
      </c>
      <c r="BQ38" s="33"/>
      <c r="BR38" s="15"/>
      <c r="BS38" s="15">
        <f t="shared" si="20"/>
        <v>1059.2476159999999</v>
      </c>
      <c r="BT38" s="15">
        <f t="shared" si="21"/>
        <v>1059.2476159999999</v>
      </c>
      <c r="BU38" s="15">
        <v>1341</v>
      </c>
      <c r="BV38" s="33"/>
      <c r="BW38" s="15"/>
      <c r="BX38" s="15">
        <f t="shared" si="22"/>
        <v>177.6006176</v>
      </c>
      <c r="BY38" s="15">
        <f t="shared" si="23"/>
        <v>177.6006176</v>
      </c>
      <c r="BZ38" s="15">
        <v>225</v>
      </c>
      <c r="CA38" s="33"/>
      <c r="CB38" s="15"/>
      <c r="CC38" s="15">
        <f t="shared" si="24"/>
        <v>192.10941119999998</v>
      </c>
      <c r="CD38" s="15">
        <f t="shared" si="25"/>
        <v>192.10941119999998</v>
      </c>
      <c r="CE38" s="15">
        <v>245</v>
      </c>
      <c r="CF38" s="33"/>
      <c r="CG38" s="15"/>
      <c r="CH38" s="15">
        <f t="shared" si="26"/>
        <v>366.8641312</v>
      </c>
      <c r="CI38" s="15">
        <f t="shared" si="27"/>
        <v>366.8641312</v>
      </c>
      <c r="CJ38" s="15">
        <v>461</v>
      </c>
      <c r="CK38" s="15"/>
      <c r="CL38" s="15"/>
      <c r="CM38" s="15">
        <f t="shared" si="28"/>
        <v>60.9263648</v>
      </c>
      <c r="CN38" s="15">
        <f t="shared" si="29"/>
        <v>60.9263648</v>
      </c>
      <c r="CO38" s="15">
        <v>75</v>
      </c>
      <c r="CP38" s="33"/>
      <c r="CQ38" s="15"/>
      <c r="CR38" s="15">
        <f t="shared" si="30"/>
        <v>1.056832</v>
      </c>
      <c r="CS38" s="15">
        <f t="shared" si="31"/>
        <v>1.056832</v>
      </c>
      <c r="CT38" s="15"/>
      <c r="CU38" s="33"/>
      <c r="CV38" s="15"/>
      <c r="CW38" s="15">
        <f t="shared" si="32"/>
        <v>387.8045024</v>
      </c>
      <c r="CX38" s="15">
        <f t="shared" si="33"/>
        <v>387.8045024</v>
      </c>
      <c r="CY38" s="15">
        <v>493</v>
      </c>
      <c r="CZ38" s="33"/>
      <c r="DA38" s="15"/>
      <c r="DB38" s="15">
        <f t="shared" si="34"/>
        <v>561.9024768</v>
      </c>
      <c r="DC38" s="15">
        <f t="shared" si="35"/>
        <v>561.9024768</v>
      </c>
      <c r="DD38" s="15">
        <v>718</v>
      </c>
      <c r="DE38" s="33"/>
      <c r="DF38" s="15"/>
      <c r="DG38" s="15">
        <f t="shared" si="36"/>
        <v>710.9686303999999</v>
      </c>
      <c r="DH38" s="15">
        <f t="shared" si="37"/>
        <v>710.9686303999999</v>
      </c>
      <c r="DI38" s="15">
        <v>872</v>
      </c>
      <c r="DJ38" s="33"/>
      <c r="DK38" s="15"/>
      <c r="DL38" s="15">
        <f t="shared" si="38"/>
        <v>66.127488</v>
      </c>
      <c r="DM38" s="15">
        <f t="shared" si="39"/>
        <v>66.127488</v>
      </c>
      <c r="DN38" s="15">
        <v>85</v>
      </c>
      <c r="DO38" s="33"/>
      <c r="DP38" s="15"/>
      <c r="DQ38" s="33">
        <f t="shared" si="40"/>
        <v>1249.51512</v>
      </c>
      <c r="DR38" s="15">
        <f t="shared" si="41"/>
        <v>1249.51512</v>
      </c>
      <c r="DS38" s="15">
        <v>1569</v>
      </c>
      <c r="DT38" s="33"/>
      <c r="DU38" s="15"/>
      <c r="DV38" s="15">
        <f t="shared" si="42"/>
        <v>3241.7717695999995</v>
      </c>
      <c r="DW38" s="15">
        <f t="shared" si="43"/>
        <v>3241.7717695999995</v>
      </c>
      <c r="DX38" s="15">
        <v>4172</v>
      </c>
      <c r="DY38" s="33"/>
      <c r="DZ38" s="15"/>
      <c r="EA38" s="15">
        <f t="shared" si="44"/>
        <v>238.80628800000002</v>
      </c>
      <c r="EB38" s="15">
        <f t="shared" si="45"/>
        <v>238.80628800000002</v>
      </c>
      <c r="EC38" s="15">
        <v>300</v>
      </c>
      <c r="ED38" s="33"/>
    </row>
    <row r="39" spans="1:134" s="35" customFormat="1" ht="12.75">
      <c r="A39" s="2">
        <v>45748</v>
      </c>
      <c r="B39"/>
      <c r="C39" s="22">
        <v>3660000</v>
      </c>
      <c r="D39" s="22">
        <v>75488</v>
      </c>
      <c r="E39" s="16">
        <f t="shared" si="0"/>
        <v>3735488</v>
      </c>
      <c r="F39" s="33"/>
      <c r="G39" s="22"/>
      <c r="H39" s="22"/>
      <c r="I39" s="16"/>
      <c r="J39" s="33"/>
      <c r="K39" s="15"/>
      <c r="L39" s="15"/>
      <c r="M39" s="15"/>
      <c r="N39" s="33"/>
      <c r="O39" s="15"/>
      <c r="P39" s="15"/>
      <c r="Q39" s="15"/>
      <c r="R39" s="33"/>
      <c r="S39" s="15"/>
      <c r="T39" s="15"/>
      <c r="U39" s="15"/>
      <c r="V39" s="33"/>
      <c r="W39" s="15"/>
      <c r="X39" s="15"/>
      <c r="Y39" s="15"/>
      <c r="Z39" s="33"/>
      <c r="AA39" s="15"/>
      <c r="AB39" s="15"/>
      <c r="AC39" s="15"/>
      <c r="AD39" s="33"/>
      <c r="AE39" s="22">
        <v>3660000</v>
      </c>
      <c r="AF39" s="22">
        <v>75488</v>
      </c>
      <c r="AG39" s="16">
        <f t="shared" si="5"/>
        <v>3735488</v>
      </c>
      <c r="AH39" s="33"/>
      <c r="AI39" s="15">
        <f t="shared" si="46"/>
        <v>330219.108</v>
      </c>
      <c r="AJ39" s="33">
        <f t="shared" si="6"/>
        <v>6810.814214399999</v>
      </c>
      <c r="AK39" s="33">
        <f t="shared" si="7"/>
        <v>337029.9222144</v>
      </c>
      <c r="AL39" s="33">
        <v>8487</v>
      </c>
      <c r="AM39" s="33"/>
      <c r="AN39" s="15">
        <f t="shared" si="47"/>
        <v>3102.948</v>
      </c>
      <c r="AO39" s="15">
        <f t="shared" si="8"/>
        <v>63.998726399999995</v>
      </c>
      <c r="AP39" s="15">
        <f t="shared" si="9"/>
        <v>3166.9467264</v>
      </c>
      <c r="AQ39" s="15">
        <v>94</v>
      </c>
      <c r="AR39" s="33"/>
      <c r="AS39" s="33">
        <f t="shared" si="48"/>
        <v>99374.12400000001</v>
      </c>
      <c r="AT39" s="15">
        <f t="shared" si="10"/>
        <v>2049.6048832</v>
      </c>
      <c r="AU39" s="15">
        <f t="shared" si="11"/>
        <v>101423.7288832</v>
      </c>
      <c r="AV39" s="15">
        <v>2573</v>
      </c>
      <c r="AW39" s="33"/>
      <c r="AX39" s="15">
        <f t="shared" si="49"/>
        <v>832245.57</v>
      </c>
      <c r="AY39" s="15">
        <f t="shared" si="12"/>
        <v>17165.178576</v>
      </c>
      <c r="AZ39" s="15">
        <f t="shared" si="13"/>
        <v>849410.748576</v>
      </c>
      <c r="BA39" s="15">
        <v>21775</v>
      </c>
      <c r="BB39" s="33"/>
      <c r="BC39" s="15">
        <f t="shared" si="50"/>
        <v>215409.66600000003</v>
      </c>
      <c r="BD39" s="15">
        <f t="shared" si="14"/>
        <v>4442.8537888</v>
      </c>
      <c r="BE39" s="15">
        <f t="shared" si="15"/>
        <v>219852.51978880004</v>
      </c>
      <c r="BF39" s="15">
        <v>5459</v>
      </c>
      <c r="BG39" s="15"/>
      <c r="BH39" s="15">
        <f t="shared" si="51"/>
        <v>145849.536</v>
      </c>
      <c r="BI39" s="15">
        <f t="shared" si="16"/>
        <v>3008.1666048</v>
      </c>
      <c r="BJ39" s="15">
        <f t="shared" si="17"/>
        <v>148857.7026048</v>
      </c>
      <c r="BK39" s="15">
        <v>3743</v>
      </c>
      <c r="BL39" s="33"/>
      <c r="BM39" s="15">
        <f t="shared" si="52"/>
        <v>22433.604000000003</v>
      </c>
      <c r="BN39" s="15">
        <f t="shared" si="18"/>
        <v>462.69614720000004</v>
      </c>
      <c r="BO39" s="15">
        <f t="shared" si="19"/>
        <v>22896.300147200003</v>
      </c>
      <c r="BP39" s="15">
        <v>595</v>
      </c>
      <c r="BQ39" s="33"/>
      <c r="BR39" s="15">
        <f t="shared" si="53"/>
        <v>51357.12</v>
      </c>
      <c r="BS39" s="15">
        <f t="shared" si="20"/>
        <v>1059.2476159999999</v>
      </c>
      <c r="BT39" s="15">
        <f t="shared" si="21"/>
        <v>52416.367616</v>
      </c>
      <c r="BU39" s="15">
        <v>1335</v>
      </c>
      <c r="BV39" s="33"/>
      <c r="BW39" s="15">
        <f t="shared" si="54"/>
        <v>8610.882000000001</v>
      </c>
      <c r="BX39" s="15">
        <f t="shared" si="22"/>
        <v>177.6006176</v>
      </c>
      <c r="BY39" s="15">
        <f t="shared" si="23"/>
        <v>8788.4826176</v>
      </c>
      <c r="BZ39" s="15">
        <v>236</v>
      </c>
      <c r="CA39" s="33"/>
      <c r="CB39" s="15">
        <f t="shared" si="55"/>
        <v>9314.334</v>
      </c>
      <c r="CC39" s="15">
        <f t="shared" si="24"/>
        <v>192.10941119999998</v>
      </c>
      <c r="CD39" s="15">
        <f t="shared" si="25"/>
        <v>9506.4434112</v>
      </c>
      <c r="CE39" s="15">
        <v>256</v>
      </c>
      <c r="CF39" s="33"/>
      <c r="CG39" s="15">
        <f t="shared" si="56"/>
        <v>17787.234</v>
      </c>
      <c r="CH39" s="15">
        <f t="shared" si="26"/>
        <v>366.8641312</v>
      </c>
      <c r="CI39" s="15">
        <f t="shared" si="27"/>
        <v>18154.0981312</v>
      </c>
      <c r="CJ39" s="15">
        <v>461</v>
      </c>
      <c r="CK39" s="15"/>
      <c r="CL39" s="15">
        <f>AE39*0.08071/100</f>
        <v>2953.9860000000003</v>
      </c>
      <c r="CM39" s="15">
        <f t="shared" si="28"/>
        <v>60.9263648</v>
      </c>
      <c r="CN39" s="15">
        <f t="shared" si="29"/>
        <v>3014.9123648000004</v>
      </c>
      <c r="CO39" s="15">
        <v>65</v>
      </c>
      <c r="CP39" s="33"/>
      <c r="CQ39" s="15">
        <f t="shared" si="57"/>
        <v>51.24</v>
      </c>
      <c r="CR39" s="15">
        <f t="shared" si="30"/>
        <v>1.056832</v>
      </c>
      <c r="CS39" s="15">
        <f t="shared" si="31"/>
        <v>52.296832</v>
      </c>
      <c r="CT39" s="15"/>
      <c r="CU39" s="33"/>
      <c r="CV39" s="15">
        <f t="shared" si="58"/>
        <v>18802.518</v>
      </c>
      <c r="CW39" s="15">
        <f t="shared" si="32"/>
        <v>387.8045024</v>
      </c>
      <c r="CX39" s="15">
        <f t="shared" si="33"/>
        <v>19190.3225024</v>
      </c>
      <c r="CY39" s="15">
        <v>496</v>
      </c>
      <c r="CZ39" s="33"/>
      <c r="DA39" s="15">
        <f t="shared" si="59"/>
        <v>27243.576</v>
      </c>
      <c r="DB39" s="15">
        <f t="shared" si="34"/>
        <v>561.9024768</v>
      </c>
      <c r="DC39" s="15">
        <f t="shared" si="35"/>
        <v>27805.478476800003</v>
      </c>
      <c r="DD39" s="15">
        <v>721</v>
      </c>
      <c r="DE39" s="33"/>
      <c r="DF39" s="15">
        <f t="shared" si="60"/>
        <v>34470.977999999996</v>
      </c>
      <c r="DG39" s="15">
        <f t="shared" si="36"/>
        <v>710.9686303999999</v>
      </c>
      <c r="DH39" s="15">
        <f t="shared" si="37"/>
        <v>35181.946630399994</v>
      </c>
      <c r="DI39" s="15">
        <v>864</v>
      </c>
      <c r="DJ39" s="33"/>
      <c r="DK39" s="15">
        <f t="shared" si="61"/>
        <v>3206.16</v>
      </c>
      <c r="DL39" s="15">
        <f t="shared" si="38"/>
        <v>66.127488</v>
      </c>
      <c r="DM39" s="15">
        <f t="shared" si="39"/>
        <v>3272.287488</v>
      </c>
      <c r="DN39" s="15">
        <v>88</v>
      </c>
      <c r="DO39" s="33"/>
      <c r="DP39" s="15">
        <f t="shared" si="62"/>
        <v>60582.15</v>
      </c>
      <c r="DQ39" s="33">
        <f t="shared" si="40"/>
        <v>1249.51512</v>
      </c>
      <c r="DR39" s="15">
        <f t="shared" si="41"/>
        <v>61831.665120000005</v>
      </c>
      <c r="DS39" s="15">
        <v>1553</v>
      </c>
      <c r="DT39" s="33"/>
      <c r="DU39" s="15">
        <f t="shared" si="63"/>
        <v>157175.772</v>
      </c>
      <c r="DV39" s="15">
        <f t="shared" si="42"/>
        <v>3241.7717695999995</v>
      </c>
      <c r="DW39" s="15">
        <f t="shared" si="43"/>
        <v>160417.5437696</v>
      </c>
      <c r="DX39" s="15">
        <v>4171</v>
      </c>
      <c r="DY39" s="33"/>
      <c r="DZ39" s="15">
        <f t="shared" si="64"/>
        <v>11578.41</v>
      </c>
      <c r="EA39" s="15">
        <f t="shared" si="44"/>
        <v>238.80628800000002</v>
      </c>
      <c r="EB39" s="15">
        <f t="shared" si="45"/>
        <v>11817.216288</v>
      </c>
      <c r="EC39" s="15">
        <v>284</v>
      </c>
      <c r="ED39" s="33"/>
    </row>
    <row r="40" spans="3:45" ht="12.75">
      <c r="C40" s="22"/>
      <c r="D40" s="22"/>
      <c r="E40" s="22"/>
      <c r="G40" s="22"/>
      <c r="H40" s="22"/>
      <c r="I40" s="22"/>
      <c r="AE40" s="22"/>
      <c r="AF40" s="22"/>
      <c r="AG40" s="22"/>
      <c r="AS40" s="33"/>
    </row>
    <row r="41" spans="1:133" ht="13.5" thickBot="1">
      <c r="A41" s="13" t="s">
        <v>0</v>
      </c>
      <c r="C41" s="32">
        <f>SUM(C8:C40)</f>
        <v>152985000</v>
      </c>
      <c r="D41" s="32">
        <f>SUM(D8:D40)</f>
        <v>51828946</v>
      </c>
      <c r="E41" s="32">
        <f>SUM(E8:E40)</f>
        <v>204813946</v>
      </c>
      <c r="G41" s="32">
        <f>SUM(G8:G40)</f>
        <v>0</v>
      </c>
      <c r="H41" s="32">
        <f>SUM(H8:H40)</f>
        <v>0</v>
      </c>
      <c r="I41" s="32">
        <f>SUM(I8:I40)</f>
        <v>0</v>
      </c>
      <c r="K41" s="32">
        <f>SUM(K8:K40)</f>
        <v>0</v>
      </c>
      <c r="L41" s="32">
        <f>SUM(L8:L40)</f>
        <v>0</v>
      </c>
      <c r="M41" s="32">
        <f>SUM(M8:M40)</f>
        <v>0</v>
      </c>
      <c r="O41" s="32">
        <f>SUM(O8:O40)</f>
        <v>25925000</v>
      </c>
      <c r="P41" s="32">
        <f>SUM(P8:P40)</f>
        <v>6612250</v>
      </c>
      <c r="Q41" s="32">
        <f>SUM(Q8:Q40)</f>
        <v>32537250</v>
      </c>
      <c r="S41" s="32">
        <f>SUM(S8:S40)</f>
        <v>35805000</v>
      </c>
      <c r="T41" s="32">
        <f>SUM(T8:T40)</f>
        <v>10119350</v>
      </c>
      <c r="U41" s="32">
        <f>SUM(U8:U40)</f>
        <v>45924350</v>
      </c>
      <c r="W41" s="32">
        <f>SUM(W8:W40)</f>
        <v>9490000</v>
      </c>
      <c r="X41" s="32">
        <f>SUM(X8:X40)</f>
        <v>2615500</v>
      </c>
      <c r="Y41" s="32">
        <f>SUM(Y8:Y40)</f>
        <v>12105500</v>
      </c>
      <c r="AA41" s="32">
        <f>SUM(AA8:AA40)</f>
        <v>38685000</v>
      </c>
      <c r="AB41" s="32">
        <f>SUM(AB8:AB40)</f>
        <v>14584850</v>
      </c>
      <c r="AC41" s="32">
        <f>SUM(AC8:AC40)</f>
        <v>53269850</v>
      </c>
      <c r="AE41" s="32">
        <f>SUM(AE8:AE40)</f>
        <v>43080000</v>
      </c>
      <c r="AF41" s="32">
        <f>SUM(AF8:AF40)</f>
        <v>17896996</v>
      </c>
      <c r="AG41" s="32">
        <f>SUM(AG8:AG40)</f>
        <v>60976996</v>
      </c>
      <c r="AI41" s="32">
        <f>SUM(AI8:AI40)</f>
        <v>3886841.3040000005</v>
      </c>
      <c r="AJ41" s="32">
        <f>SUM(AJ8:AJ40)</f>
        <v>1614734.9877047997</v>
      </c>
      <c r="AK41" s="32">
        <f>SUM(AK8:AK40)</f>
        <v>5501576.291704799</v>
      </c>
      <c r="AL41" s="32">
        <f>SUM(AL8:AL40)</f>
        <v>271677</v>
      </c>
      <c r="AN41" s="32">
        <f>SUM(AN8:AN40)</f>
        <v>36523.22399999999</v>
      </c>
      <c r="AO41" s="32">
        <f>SUM(AO8:AO40)</f>
        <v>15173.073208799997</v>
      </c>
      <c r="AP41" s="32">
        <f>SUM(AP8:AP40)</f>
        <v>51696.297208799995</v>
      </c>
      <c r="AQ41" s="32">
        <f>SUM(AQ8:AQ40)</f>
        <v>2512</v>
      </c>
      <c r="AS41" s="32">
        <f>SUM(AS8:AS40)</f>
        <v>1169682.3120000002</v>
      </c>
      <c r="AT41" s="32">
        <f>SUM(AT8:AT40)</f>
        <v>485928.4971943999</v>
      </c>
      <c r="AU41" s="32">
        <f>SUM(AU8:AU40)</f>
        <v>1655610.8091944002</v>
      </c>
      <c r="AV41" s="32">
        <f>SUM(AV8:AV40)</f>
        <v>82739</v>
      </c>
      <c r="AX41" s="32">
        <f>SUM(AX8:AX40)</f>
        <v>9795939.66</v>
      </c>
      <c r="AY41" s="32">
        <f>SUM(AY8:AY40)</f>
        <v>4069588.9719420006</v>
      </c>
      <c r="AZ41" s="32">
        <f>SUM(AZ8:AZ40)</f>
        <v>13865528.631942</v>
      </c>
      <c r="BA41" s="32">
        <f>SUM(BA8:BA40)</f>
        <v>696769</v>
      </c>
      <c r="BC41" s="32">
        <f>SUM(BC8:BC40)</f>
        <v>2535477.708</v>
      </c>
      <c r="BD41" s="32">
        <f>SUM(BD8:BD40)</f>
        <v>1053329.4892795999</v>
      </c>
      <c r="BE41" s="32">
        <f>SUM(BE8:BE40)</f>
        <v>3588807.1972796004</v>
      </c>
      <c r="BF41" s="32">
        <f>SUM(BF8:BF40)</f>
        <v>174409</v>
      </c>
      <c r="BG41" s="32"/>
      <c r="BH41" s="32">
        <f>SUM(BH8:BH40)</f>
        <v>1716720.7680000002</v>
      </c>
      <c r="BI41" s="32">
        <f>SUM(BI8:BI40)</f>
        <v>713188.1318015999</v>
      </c>
      <c r="BJ41" s="32">
        <f>SUM(BJ8:BJ40)</f>
        <v>2429908.8998015993</v>
      </c>
      <c r="BK41" s="32">
        <f>SUM(BK8:BK40)</f>
        <v>119621</v>
      </c>
      <c r="BM41" s="32">
        <f>SUM(BM8:BM40)</f>
        <v>264054.55199999997</v>
      </c>
      <c r="BN41" s="32">
        <f>SUM(BN8:BN40)</f>
        <v>109697.84728239999</v>
      </c>
      <c r="BO41" s="32">
        <f>SUM(BO8:BO40)</f>
        <v>373752.3992824002</v>
      </c>
      <c r="BP41" s="32">
        <f>SUM(BP8:BP40)</f>
        <v>18792</v>
      </c>
      <c r="BR41" s="32">
        <f>SUM(BR8:BR40)</f>
        <v>604498.5599999999</v>
      </c>
      <c r="BS41" s="32">
        <f>SUM(BS8:BS40)</f>
        <v>251130.64787200006</v>
      </c>
      <c r="BT41" s="32">
        <f>SUM(BT8:BT40)</f>
        <v>855629.2078720003</v>
      </c>
      <c r="BU41" s="32">
        <f>SUM(BU8:BU40)</f>
        <v>42906</v>
      </c>
      <c r="BW41" s="32">
        <f>SUM(BW8:BW40)</f>
        <v>101354.31599999999</v>
      </c>
      <c r="BX41" s="32">
        <f>SUM(BX8:BX40)</f>
        <v>42106.2624892</v>
      </c>
      <c r="BY41" s="32">
        <f>SUM(BY8:BY40)</f>
        <v>143460.5784892</v>
      </c>
      <c r="BZ41" s="32">
        <f>SUM(BZ8:BZ40)</f>
        <v>7211</v>
      </c>
      <c r="CB41" s="32">
        <f>SUM(CB8:CB40)</f>
        <v>109634.29200000002</v>
      </c>
      <c r="CC41" s="32">
        <f>SUM(CC8:CC40)</f>
        <v>45546.06512039997</v>
      </c>
      <c r="CD41" s="32">
        <f>SUM(CD8:CD40)</f>
        <v>155180.3571204</v>
      </c>
      <c r="CE41" s="32">
        <f>SUM(CE8:CE40)</f>
        <v>7851</v>
      </c>
      <c r="CG41" s="32">
        <f>SUM(CG8:CG40)</f>
        <v>209364.492</v>
      </c>
      <c r="CH41" s="32">
        <f>SUM(CH8:CH40)</f>
        <v>86977.61086039999</v>
      </c>
      <c r="CI41" s="32">
        <f>SUM(CI8:CI40)</f>
        <v>296342.1028604</v>
      </c>
      <c r="CJ41" s="32">
        <f>SUM(CJ8:CJ40)</f>
        <v>14752</v>
      </c>
      <c r="CK41" s="22"/>
      <c r="CL41" s="32">
        <f>SUM(CL8:CL40)</f>
        <v>34769.868</v>
      </c>
      <c r="CM41" s="32">
        <f>SUM(CM8:CM40)</f>
        <v>14444.665471600001</v>
      </c>
      <c r="CN41" s="32">
        <f>SUM(CN8:CN40)</f>
        <v>49214.5334716</v>
      </c>
      <c r="CO41" s="32">
        <f>SUM(CO8:CO40)</f>
        <v>2390</v>
      </c>
      <c r="CQ41" s="32">
        <f>SUM(CQ8:CQ40)</f>
        <v>603.1199999999999</v>
      </c>
      <c r="CR41" s="32">
        <f>SUM(CR8:CR40)</f>
        <v>250.55794400000008</v>
      </c>
      <c r="CS41" s="32">
        <f>SUM(CS8:CS40)</f>
        <v>853.677944</v>
      </c>
      <c r="CT41" s="32">
        <f>SUM(CT8:CT40)</f>
        <v>0</v>
      </c>
      <c r="CV41" s="32">
        <f>SUM(CV8:CV40)</f>
        <v>221314.88400000002</v>
      </c>
      <c r="CW41" s="32">
        <f>SUM(CW8:CW40)</f>
        <v>91942.23755079997</v>
      </c>
      <c r="CX41" s="32">
        <f>SUM(CX8:CX40)</f>
        <v>313257.12155080005</v>
      </c>
      <c r="CY41" s="32">
        <f>SUM(CY8:CY40)</f>
        <v>15779</v>
      </c>
      <c r="DA41" s="32">
        <f>SUM(DA8:DA40)</f>
        <v>320670.28800000006</v>
      </c>
      <c r="DB41" s="32">
        <f>SUM(DB8:DB40)</f>
        <v>133218.07942559998</v>
      </c>
      <c r="DC41" s="32">
        <f>SUM(DC8:DC40)</f>
        <v>453888.36742560007</v>
      </c>
      <c r="DD41" s="32">
        <f>SUM(DD8:DD40)</f>
        <v>22979</v>
      </c>
      <c r="DF41" s="32">
        <f>SUM(DF8:DF40)</f>
        <v>405740.36399999994</v>
      </c>
      <c r="DG41" s="32">
        <f>SUM(DG8:DG40)</f>
        <v>168559.27742679993</v>
      </c>
      <c r="DH41" s="32">
        <f>SUM(DH8:DH40)</f>
        <v>574299.6414268</v>
      </c>
      <c r="DI41" s="32">
        <f>SUM(DI8:DI40)</f>
        <v>27896</v>
      </c>
      <c r="DK41" s="32">
        <f>SUM(DK8:DK40)</f>
        <v>37738.08</v>
      </c>
      <c r="DL41" s="32">
        <f>SUM(DL8:DL40)</f>
        <v>15677.768495999999</v>
      </c>
      <c r="DM41" s="32">
        <f>SUM(DM8:DM40)</f>
        <v>53415.848496</v>
      </c>
      <c r="DN41" s="32">
        <f>SUM(DN8:DN40)</f>
        <v>2723</v>
      </c>
      <c r="DP41" s="32">
        <f>SUM(DP8:DP40)</f>
        <v>713081.7</v>
      </c>
      <c r="DQ41" s="32">
        <f>SUM(DQ8:DQ40)</f>
        <v>296240.02629000007</v>
      </c>
      <c r="DR41" s="32">
        <f>SUM(DR8:DR40)</f>
        <v>1009321.7262900001</v>
      </c>
      <c r="DS41" s="32">
        <f>SUM(DS8:DS40)</f>
        <v>50192</v>
      </c>
      <c r="DU41" s="32">
        <f>SUM(DU8:DU40)</f>
        <v>1850036.136</v>
      </c>
      <c r="DV41" s="32">
        <f>SUM(DV8:DV40)</f>
        <v>768572.1756231999</v>
      </c>
      <c r="DW41" s="32">
        <f>SUM(DW8:DW40)</f>
        <v>2618608.3116232</v>
      </c>
      <c r="DX41" s="32">
        <f>SUM(DX8:DX40)</f>
        <v>133503</v>
      </c>
      <c r="DZ41" s="32">
        <f>SUM(DZ8:DZ40)</f>
        <v>136283.58</v>
      </c>
      <c r="EA41" s="32">
        <f>SUM(EA8:EA40)</f>
        <v>56617.14684600001</v>
      </c>
      <c r="EB41" s="32">
        <f>SUM(EB8:EB40)</f>
        <v>192900.726846</v>
      </c>
      <c r="EC41" s="32">
        <f>SUM(EC8:EC40)</f>
        <v>9584</v>
      </c>
    </row>
    <row r="42" ht="13.5" thickTop="1"/>
    <row r="53" spans="6:30" ht="12.75">
      <c r="F53"/>
      <c r="J53"/>
      <c r="N53"/>
      <c r="R53"/>
      <c r="V53"/>
      <c r="Z53"/>
      <c r="AD53"/>
    </row>
    <row r="54" spans="6:30" ht="12.75">
      <c r="F54"/>
      <c r="J54"/>
      <c r="N54"/>
      <c r="R54"/>
      <c r="V54"/>
      <c r="Z54"/>
      <c r="AD54"/>
    </row>
    <row r="55" spans="1:51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</row>
    <row r="73" spans="1:51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</row>
    <row r="74" spans="1:51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51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1:51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51" ht="12.75">
      <c r="A80"/>
      <c r="C80"/>
      <c r="D80"/>
      <c r="E80"/>
      <c r="G80"/>
      <c r="H80"/>
      <c r="I80"/>
      <c r="K80"/>
      <c r="L80"/>
      <c r="M80"/>
      <c r="O80"/>
      <c r="P80"/>
      <c r="Q80"/>
      <c r="S80"/>
      <c r="T80"/>
      <c r="U80"/>
      <c r="W80"/>
      <c r="X80"/>
      <c r="Y80"/>
      <c r="AA80"/>
      <c r="AB80"/>
      <c r="AC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1:51" ht="12.75">
      <c r="A81"/>
      <c r="C81"/>
      <c r="D81"/>
      <c r="E81"/>
      <c r="G81"/>
      <c r="H81"/>
      <c r="I81"/>
      <c r="K81"/>
      <c r="L81"/>
      <c r="M81"/>
      <c r="O81"/>
      <c r="P81"/>
      <c r="Q81"/>
      <c r="S81"/>
      <c r="T81"/>
      <c r="U81"/>
      <c r="W81"/>
      <c r="X81"/>
      <c r="Y81"/>
      <c r="AA81"/>
      <c r="AB81"/>
      <c r="AC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</sheetData>
  <sheetProtection/>
  <printOptions/>
  <pageMargins left="0.75" right="0.75" top="0.5" bottom="0.5" header="0.25" footer="0.25"/>
  <pageSetup horizontalDpi="600" verticalDpi="600" orientation="landscape" scale="85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2007-02-28T17:31:49Z</cp:lastPrinted>
  <dcterms:created xsi:type="dcterms:W3CDTF">1998-02-23T20:58:01Z</dcterms:created>
  <dcterms:modified xsi:type="dcterms:W3CDTF">2009-12-08T22:07:06Z</dcterms:modified>
  <cp:category/>
  <cp:version/>
  <cp:contentType/>
  <cp:contentStatus/>
</cp:coreProperties>
</file>