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0" yWindow="140" windowWidth="8000" windowHeight="5140" tabRatio="741" activeTab="0"/>
  </bookViews>
  <sheets>
    <sheet name="2001A" sheetId="1" r:id="rId1"/>
    <sheet name="2007A" sheetId="2" r:id="rId2"/>
    <sheet name="2009D" sheetId="3" r:id="rId3"/>
    <sheet name="Percentage" sheetId="4" r:id="rId4"/>
  </sheets>
  <definedNames>
    <definedName name="_xlnm.Print_Area" localSheetId="0">'2001A'!$A$1:$EF$31</definedName>
    <definedName name="_xlnm.Print_Titles" localSheetId="0">'2001A'!$A:$A</definedName>
    <definedName name="_xlnm.Print_Titles" localSheetId="1">'2007A'!$A:$A</definedName>
  </definedNames>
  <calcPr fullCalcOnLoad="1"/>
</workbook>
</file>

<file path=xl/sharedStrings.xml><?xml version="1.0" encoding="utf-8"?>
<sst xmlns="http://schemas.openxmlformats.org/spreadsheetml/2006/main" count="766" uniqueCount="95">
  <si>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</si>
  <si>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</si>
  <si>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</si>
  <si>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</si>
  <si>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</si>
  <si>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</si>
  <si>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</si>
  <si>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</si>
  <si>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</si>
  <si>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</si>
  <si>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</si>
  <si>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</si>
  <si>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Payment</t>
  </si>
  <si>
    <t xml:space="preserve">    USM Debt Service from Earnings (Auxiliary)</t>
  </si>
  <si>
    <t>Date</t>
  </si>
  <si>
    <t>Principal</t>
  </si>
  <si>
    <t>Interest</t>
  </si>
  <si>
    <t>UMB</t>
  </si>
  <si>
    <t>TU</t>
  </si>
  <si>
    <t>UMES</t>
  </si>
  <si>
    <t>CSC</t>
  </si>
  <si>
    <t>16th Aux</t>
  </si>
  <si>
    <t>SCUB 3 Planning &amp; Construct</t>
  </si>
  <si>
    <t>18th Aux</t>
  </si>
  <si>
    <t>New Residence Hall</t>
  </si>
  <si>
    <t>7800 York Road Garage</t>
  </si>
  <si>
    <t>New Parking Garage</t>
  </si>
  <si>
    <t>Health Center</t>
  </si>
  <si>
    <t>19th Aux</t>
  </si>
  <si>
    <t>Interim Fitness Center</t>
  </si>
  <si>
    <t>Housing Central Utility Plant</t>
  </si>
  <si>
    <t>Coastal Sciences Laboratories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</si>
  <si>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</si>
  <si>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</si>
  <si>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</si>
  <si>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</si>
  <si>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</si>
  <si>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</si>
  <si>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</si>
  <si>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</si>
  <si>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</si>
  <si>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</si>
  <si>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</si>
  <si>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</si>
  <si>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</si>
  <si>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>2001 Series A Bond Funded Projects</t>
  </si>
  <si>
    <t xml:space="preserve">           Total Academic Projects - 2001A</t>
  </si>
  <si>
    <t xml:space="preserve">           Total Auxiliary Projects - 2001A</t>
  </si>
  <si>
    <t>2001 Series A Bonds</t>
  </si>
  <si>
    <t>UMUC</t>
  </si>
  <si>
    <t>20th Aux</t>
  </si>
  <si>
    <t>Comcast Arena</t>
  </si>
  <si>
    <t>S. Campus Parking Garage #5</t>
  </si>
  <si>
    <t>20th,19th Aux</t>
  </si>
  <si>
    <t>Stamp Student Union</t>
  </si>
  <si>
    <t>N. Campus Parking Garage #4</t>
  </si>
  <si>
    <t>18th,1st Aux</t>
  </si>
  <si>
    <t>Purchase of Hawk's Landing</t>
  </si>
  <si>
    <t>Student Services Center</t>
  </si>
  <si>
    <t>16th,15th Aux</t>
  </si>
  <si>
    <t>University Commons Center</t>
  </si>
  <si>
    <t>19th,18th Aux</t>
  </si>
  <si>
    <t>Parking Garage</t>
  </si>
  <si>
    <t>Hotel Addition at Inn &amp; Confer</t>
  </si>
  <si>
    <t>Athletic Facilities</t>
  </si>
  <si>
    <t>18th 2nd Aux</t>
  </si>
  <si>
    <t>18th &amp; 1st Aux</t>
  </si>
  <si>
    <t>Newell Dining Renov &amp; Add</t>
  </si>
  <si>
    <t xml:space="preserve">                  UMCP SCUB 3  (Auxiliary)</t>
  </si>
  <si>
    <t xml:space="preserve">       UMB New Parking Garage (Auxiliary)</t>
  </si>
  <si>
    <t xml:space="preserve">  UMES Purchase of Hawk's Landing (Auxiliary)</t>
  </si>
  <si>
    <t xml:space="preserve">        TU Newell Dining Renovation (Auxiliary)</t>
  </si>
  <si>
    <t>20th Academic</t>
  </si>
  <si>
    <t xml:space="preserve">  UMCP Arena Comcast - 19th Resol (Auxiliary) </t>
  </si>
  <si>
    <t xml:space="preserve">  UMCP Arena Comcast - 20th Resol (Auxiliary) </t>
  </si>
  <si>
    <t xml:space="preserve">        UMB Facilities Renewal (Academic)</t>
  </si>
  <si>
    <t xml:space="preserve">         CEES Facilities Renewal (Academic)</t>
  </si>
  <si>
    <t xml:space="preserve">      2001 Series A - Original</t>
  </si>
  <si>
    <t xml:space="preserve">     University System of Maryland</t>
  </si>
  <si>
    <t xml:space="preserve">           Distribution of Debt Services after 2007A Bond Issue  </t>
  </si>
  <si>
    <t xml:space="preserve">           UMCP Health Center (Auxiliary)</t>
  </si>
  <si>
    <t>Revised 2001A after 2007A</t>
  </si>
  <si>
    <t>2001A Refinanced on 2007A</t>
  </si>
  <si>
    <t>2001 Series A Bond Funded Projects 2007A</t>
  </si>
  <si>
    <t>Amort of</t>
  </si>
  <si>
    <t>Discount</t>
  </si>
  <si>
    <t>Premium</t>
  </si>
  <si>
    <t>Loss on Refunding</t>
  </si>
  <si>
    <t>.</t>
  </si>
  <si>
    <t>Revised 2001A after 2009D</t>
  </si>
  <si>
    <t>2001A Refinanced on 2009D</t>
  </si>
  <si>
    <t xml:space="preserve">           Distribution of Debt Services after 2009D Bond Issue  </t>
  </si>
  <si>
    <t>2001 Series A Bond Funded Projects 2009D</t>
  </si>
  <si>
    <t>USM(Paid off by UMUC) (Auxiliary)</t>
  </si>
  <si>
    <t>USM (Paid off by UMUC) (Auxiliary)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</si>
</sst>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.000000%"/>
    <numFmt numFmtId="167" formatCode="0_);\(0\)"/>
    <numFmt numFmtId="168" formatCode="[$-409]dddd\,\ mmmm\ dd\,\ yyyy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21" xfId="0" applyNumberFormat="1" applyBorder="1" applyAlignment="1" quotePrefix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1" xfId="0" applyNumberFormat="1" applyBorder="1" applyAlignment="1" quotePrefix="1">
      <alignment horizontal="left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40" fontId="0" fillId="0" borderId="0" xfId="0" applyNumberFormat="1" applyAlignment="1">
      <alignment horizontal="left"/>
    </xf>
    <xf numFmtId="3" fontId="0" fillId="0" borderId="10" xfId="0" applyNumberFormat="1" applyBorder="1" applyAlignment="1">
      <alignment horizontal="left"/>
    </xf>
    <xf numFmtId="38" fontId="0" fillId="33" borderId="17" xfId="0" applyNumberFormat="1" applyFill="1" applyBorder="1" applyAlignment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164" fontId="0" fillId="0" borderId="0" xfId="0" applyNumberFormat="1" applyAlignment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33" borderId="24" xfId="0" applyNumberFormat="1" applyFill="1" applyBorder="1" applyAlignment="1">
      <alignment horizontal="centerContinuous"/>
    </xf>
    <xf numFmtId="38" fontId="0" fillId="33" borderId="21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/>
    </xf>
    <xf numFmtId="38" fontId="0" fillId="33" borderId="21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 quotePrefix="1">
      <alignment horizontal="centerContinuous"/>
    </xf>
    <xf numFmtId="38" fontId="0" fillId="0" borderId="0" xfId="0" applyNumberFormat="1" applyFont="1" applyAlignment="1">
      <alignment horizontal="left"/>
    </xf>
    <xf numFmtId="38" fontId="0" fillId="0" borderId="0" xfId="0" applyNumberFormat="1" applyFont="1" applyAlignment="1" quotePrefix="1">
      <alignment horizontal="left"/>
    </xf>
    <xf numFmtId="38" fontId="0" fillId="33" borderId="21" xfId="0" applyNumberFormat="1" applyFont="1" applyFill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left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 quotePrefix="1">
      <alignment horizontal="left"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37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9" sqref="E19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3.7109375" style="39" customWidth="1"/>
    <col min="8" max="11" width="13.7109375" style="39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23" customWidth="1"/>
    <col min="22" max="22" width="3.7109375" style="23" customWidth="1"/>
    <col min="23" max="26" width="13.7109375" style="23" customWidth="1"/>
    <col min="27" max="27" width="3.7109375" style="23" customWidth="1"/>
    <col min="28" max="31" width="13.7109375" style="23" customWidth="1"/>
    <col min="32" max="32" width="3.7109375" style="23" customWidth="1"/>
    <col min="33" max="36" width="13.7109375" style="23" customWidth="1"/>
    <col min="37" max="37" width="3.7109375" style="23" customWidth="1"/>
    <col min="38" max="41" width="13.7109375" style="23" customWidth="1"/>
    <col min="42" max="42" width="3.7109375" style="23" customWidth="1"/>
    <col min="43" max="46" width="13.7109375" style="23" customWidth="1"/>
    <col min="47" max="47" width="3.7109375" style="23" customWidth="1"/>
    <col min="48" max="51" width="13.7109375" style="23" customWidth="1"/>
    <col min="52" max="52" width="3.7109375" style="23" customWidth="1"/>
    <col min="53" max="56" width="13.7109375" style="23" customWidth="1"/>
    <col min="57" max="57" width="3.7109375" style="23" customWidth="1"/>
    <col min="58" max="61" width="13.7109375" style="23" customWidth="1"/>
    <col min="62" max="62" width="3.7109375" style="23" customWidth="1"/>
    <col min="63" max="66" width="13.7109375" style="23" customWidth="1"/>
    <col min="67" max="67" width="3.7109375" style="23" customWidth="1"/>
    <col min="68" max="71" width="13.7109375" style="23" customWidth="1"/>
    <col min="72" max="72" width="3.7109375" style="23" customWidth="1"/>
    <col min="73" max="76" width="13.7109375" style="23" customWidth="1"/>
    <col min="77" max="77" width="3.7109375" style="23" customWidth="1"/>
    <col min="78" max="81" width="13.7109375" style="23" customWidth="1"/>
    <col min="82" max="82" width="3.7109375" style="23" customWidth="1"/>
    <col min="83" max="86" width="13.7109375" style="23" customWidth="1"/>
    <col min="87" max="87" width="3.7109375" style="23" customWidth="1"/>
    <col min="88" max="91" width="13.7109375" style="23" customWidth="1"/>
    <col min="92" max="92" width="3.7109375" style="23" customWidth="1"/>
    <col min="93" max="96" width="13.7109375" style="23" customWidth="1"/>
    <col min="97" max="97" width="3.7109375" style="23" customWidth="1"/>
    <col min="98" max="101" width="13.7109375" style="23" customWidth="1"/>
    <col min="102" max="102" width="3.7109375" style="23" customWidth="1"/>
    <col min="103" max="106" width="13.7109375" style="23" customWidth="1"/>
    <col min="107" max="107" width="3.7109375" style="23" customWidth="1"/>
    <col min="108" max="111" width="13.7109375" style="23" customWidth="1"/>
    <col min="112" max="112" width="3.7109375" style="23" customWidth="1"/>
    <col min="113" max="116" width="13.7109375" style="23" customWidth="1"/>
    <col min="117" max="117" width="3.7109375" style="23" customWidth="1"/>
    <col min="118" max="121" width="13.7109375" style="23" customWidth="1"/>
    <col min="122" max="122" width="3.7109375" style="23" customWidth="1"/>
    <col min="123" max="126" width="13.7109375" style="23" customWidth="1"/>
    <col min="127" max="127" width="3.7109375" style="23" customWidth="1"/>
    <col min="128" max="131" width="13.7109375" style="0" customWidth="1"/>
    <col min="132" max="132" width="3.7109375" style="0" customWidth="1"/>
    <col min="133" max="136" width="13.7109375" style="0" customWidth="1"/>
  </cols>
  <sheetData>
    <row r="1" spans="1:128" ht="12">
      <c r="A1" s="50"/>
      <c r="B1" s="34"/>
      <c r="C1" s="49"/>
      <c r="D1" s="51"/>
      <c r="H1" s="51"/>
      <c r="I1" s="51"/>
      <c r="J1" s="42"/>
      <c r="K1" s="42"/>
      <c r="M1" s="39"/>
      <c r="N1" s="51" t="s">
        <v>78</v>
      </c>
      <c r="S1" s="24"/>
      <c r="W1" s="51"/>
      <c r="AB1" s="39"/>
      <c r="AC1" s="51" t="s">
        <v>78</v>
      </c>
      <c r="AG1" s="51"/>
      <c r="AH1" s="24"/>
      <c r="AL1" s="51"/>
      <c r="AQ1" s="39"/>
      <c r="AR1" s="51" t="s">
        <v>78</v>
      </c>
      <c r="AV1" s="51"/>
      <c r="BA1" s="51"/>
      <c r="BF1" s="39"/>
      <c r="BG1" s="51" t="s">
        <v>78</v>
      </c>
      <c r="BK1" s="51"/>
      <c r="BP1" s="51"/>
      <c r="BU1" s="39"/>
      <c r="BV1" s="51" t="s">
        <v>78</v>
      </c>
      <c r="BZ1" s="51"/>
      <c r="CE1" s="51"/>
      <c r="CF1" s="24"/>
      <c r="CJ1" s="39"/>
      <c r="CK1" s="51" t="s">
        <v>78</v>
      </c>
      <c r="CT1" s="51"/>
      <c r="CY1" s="39"/>
      <c r="CZ1" s="51" t="s">
        <v>78</v>
      </c>
      <c r="DI1" s="51"/>
      <c r="DN1" s="39"/>
      <c r="DO1" s="51" t="s">
        <v>78</v>
      </c>
      <c r="DT1" s="24"/>
      <c r="DX1" s="51"/>
    </row>
    <row r="2" spans="1:128" ht="12">
      <c r="A2" s="50"/>
      <c r="B2" s="34"/>
      <c r="C2" s="49"/>
      <c r="D2" s="51"/>
      <c r="H2" s="51"/>
      <c r="I2" s="51"/>
      <c r="J2" s="42"/>
      <c r="K2" s="42"/>
      <c r="M2" s="77" t="s">
        <v>91</v>
      </c>
      <c r="N2" s="39"/>
      <c r="S2" s="24"/>
      <c r="W2" s="51"/>
      <c r="AB2" s="77" t="s">
        <v>91</v>
      </c>
      <c r="AC2" s="39"/>
      <c r="AG2" s="51"/>
      <c r="AH2" s="24"/>
      <c r="AL2" s="51"/>
      <c r="AQ2" s="77" t="s">
        <v>91</v>
      </c>
      <c r="AR2" s="39"/>
      <c r="AV2" s="51"/>
      <c r="BA2" s="51"/>
      <c r="BF2" s="49" t="s">
        <v>79</v>
      </c>
      <c r="BG2" s="39"/>
      <c r="BK2" s="51"/>
      <c r="BP2" s="51"/>
      <c r="BU2" s="49" t="s">
        <v>79</v>
      </c>
      <c r="BV2" s="39"/>
      <c r="BZ2" s="51"/>
      <c r="CE2" s="51"/>
      <c r="CF2" s="24"/>
      <c r="CJ2" s="49" t="s">
        <v>79</v>
      </c>
      <c r="CK2" s="39"/>
      <c r="CT2" s="51"/>
      <c r="CY2" s="49" t="s">
        <v>79</v>
      </c>
      <c r="CZ2" s="39"/>
      <c r="DI2" s="51"/>
      <c r="DN2" s="49" t="s">
        <v>79</v>
      </c>
      <c r="DO2" s="39"/>
      <c r="DT2" s="24"/>
      <c r="DX2" s="51"/>
    </row>
    <row r="3" spans="1:128" ht="12">
      <c r="A3" s="50"/>
      <c r="B3" s="34"/>
      <c r="C3" s="49"/>
      <c r="D3" s="49"/>
      <c r="H3" s="51"/>
      <c r="I3" s="49"/>
      <c r="J3" s="42"/>
      <c r="K3" s="42"/>
      <c r="M3" s="39"/>
      <c r="N3" s="51" t="s">
        <v>45</v>
      </c>
      <c r="W3" s="51"/>
      <c r="AB3" s="39"/>
      <c r="AC3" s="51" t="s">
        <v>45</v>
      </c>
      <c r="AG3" s="51"/>
      <c r="AL3" s="51"/>
      <c r="AQ3" s="39"/>
      <c r="AR3" s="51" t="s">
        <v>45</v>
      </c>
      <c r="AV3" s="51"/>
      <c r="BA3" s="51"/>
      <c r="BF3" s="39"/>
      <c r="BG3" s="51" t="s">
        <v>45</v>
      </c>
      <c r="BK3" s="51"/>
      <c r="BP3" s="51"/>
      <c r="BU3" s="39"/>
      <c r="BV3" s="51" t="s">
        <v>45</v>
      </c>
      <c r="BZ3" s="51"/>
      <c r="CE3" s="51"/>
      <c r="CJ3" s="39"/>
      <c r="CK3" s="51" t="s">
        <v>45</v>
      </c>
      <c r="CT3" s="51"/>
      <c r="CY3" s="39"/>
      <c r="CZ3" s="51" t="s">
        <v>45</v>
      </c>
      <c r="DI3" s="51"/>
      <c r="DN3" s="39"/>
      <c r="DO3" s="51" t="s">
        <v>45</v>
      </c>
      <c r="DX3" s="51"/>
    </row>
    <row r="4" spans="1:124" ht="12">
      <c r="A4" s="50"/>
      <c r="B4" s="34"/>
      <c r="C4" s="49"/>
      <c r="D4" s="51"/>
      <c r="I4" s="51"/>
      <c r="J4" s="42"/>
      <c r="K4" s="42"/>
      <c r="S4" s="24"/>
      <c r="AC4" s="24"/>
      <c r="AH4" s="24"/>
      <c r="AR4" s="24"/>
      <c r="CF4" s="24"/>
      <c r="DT4" s="24"/>
    </row>
    <row r="5" spans="1:136" ht="12">
      <c r="A5" s="25" t="s">
        <v>12</v>
      </c>
      <c r="C5" s="79" t="s">
        <v>89</v>
      </c>
      <c r="D5" s="72"/>
      <c r="E5" s="68"/>
      <c r="F5" s="47"/>
      <c r="H5" s="43" t="s">
        <v>46</v>
      </c>
      <c r="I5" s="44"/>
      <c r="J5" s="45"/>
      <c r="K5" s="47"/>
      <c r="M5" s="43" t="s">
        <v>47</v>
      </c>
      <c r="N5" s="44"/>
      <c r="O5" s="45"/>
      <c r="P5" s="47"/>
      <c r="R5" s="26" t="s">
        <v>73</v>
      </c>
      <c r="S5" s="27"/>
      <c r="T5" s="28"/>
      <c r="U5" s="47"/>
      <c r="W5" s="26" t="s">
        <v>74</v>
      </c>
      <c r="X5" s="27"/>
      <c r="Y5" s="28"/>
      <c r="Z5" s="47"/>
      <c r="AB5" s="26" t="s">
        <v>32</v>
      </c>
      <c r="AC5" s="27"/>
      <c r="AD5" s="28"/>
      <c r="AE5" s="47"/>
      <c r="AG5" s="26" t="s">
        <v>33</v>
      </c>
      <c r="AH5" s="27"/>
      <c r="AI5" s="28"/>
      <c r="AJ5" s="47"/>
      <c r="AK5" s="35"/>
      <c r="AL5" s="26" t="s">
        <v>80</v>
      </c>
      <c r="AM5" s="27"/>
      <c r="AN5" s="28"/>
      <c r="AO5" s="47"/>
      <c r="AP5" s="35"/>
      <c r="AQ5" s="26" t="s">
        <v>34</v>
      </c>
      <c r="AR5" s="27"/>
      <c r="AS5" s="28"/>
      <c r="AT5" s="47"/>
      <c r="AU5" s="35"/>
      <c r="AV5" s="26" t="s">
        <v>68</v>
      </c>
      <c r="AW5" s="27"/>
      <c r="AX5" s="28"/>
      <c r="AY5" s="47"/>
      <c r="BA5" s="26" t="s">
        <v>69</v>
      </c>
      <c r="BB5" s="27"/>
      <c r="BC5" s="28"/>
      <c r="BD5" s="47"/>
      <c r="BF5" s="26" t="s">
        <v>70</v>
      </c>
      <c r="BG5" s="27"/>
      <c r="BH5" s="28"/>
      <c r="BI5" s="47"/>
      <c r="BK5" s="60" t="s">
        <v>35</v>
      </c>
      <c r="BL5" s="61"/>
      <c r="BM5" s="62"/>
      <c r="BN5" s="47"/>
      <c r="BP5" s="26" t="s">
        <v>36</v>
      </c>
      <c r="BQ5" s="27"/>
      <c r="BR5" s="28"/>
      <c r="BS5" s="47"/>
      <c r="BU5" s="26" t="s">
        <v>37</v>
      </c>
      <c r="BV5" s="27"/>
      <c r="BW5" s="28"/>
      <c r="BX5" s="47"/>
      <c r="BY5" s="35"/>
      <c r="BZ5" s="26" t="s">
        <v>38</v>
      </c>
      <c r="CA5" s="27"/>
      <c r="CB5" s="28"/>
      <c r="CC5" s="47"/>
      <c r="CE5" s="26" t="s">
        <v>39</v>
      </c>
      <c r="CF5" s="27"/>
      <c r="CG5" s="28"/>
      <c r="CH5" s="47"/>
      <c r="CI5" s="35"/>
      <c r="CJ5" s="85" t="s">
        <v>93</v>
      </c>
      <c r="CK5" s="86"/>
      <c r="CL5" s="87"/>
      <c r="CM5" s="88"/>
      <c r="CN5" s="35"/>
      <c r="CO5" s="26" t="s">
        <v>40</v>
      </c>
      <c r="CP5" s="27"/>
      <c r="CQ5" s="28"/>
      <c r="CR5" s="47"/>
      <c r="CT5" s="26" t="s">
        <v>41</v>
      </c>
      <c r="CU5" s="27"/>
      <c r="CV5" s="28"/>
      <c r="CW5" s="47"/>
      <c r="CY5" s="26" t="s">
        <v>42</v>
      </c>
      <c r="CZ5" s="27"/>
      <c r="DA5" s="28"/>
      <c r="DB5" s="47"/>
      <c r="DD5" s="26" t="s">
        <v>43</v>
      </c>
      <c r="DE5" s="27"/>
      <c r="DF5" s="28"/>
      <c r="DG5" s="47"/>
      <c r="DI5" s="26" t="s">
        <v>44</v>
      </c>
      <c r="DJ5" s="27"/>
      <c r="DK5" s="28"/>
      <c r="DL5" s="47"/>
      <c r="DM5" s="35"/>
      <c r="DN5" s="26" t="s">
        <v>71</v>
      </c>
      <c r="DO5" s="27"/>
      <c r="DP5" s="28"/>
      <c r="DQ5" s="47"/>
      <c r="DR5" s="35"/>
      <c r="DS5" s="26" t="s">
        <v>13</v>
      </c>
      <c r="DT5" s="27"/>
      <c r="DU5" s="28"/>
      <c r="DV5" s="47"/>
      <c r="DW5" s="35"/>
      <c r="DX5" s="67" t="s">
        <v>75</v>
      </c>
      <c r="DY5" s="27"/>
      <c r="DZ5" s="28"/>
      <c r="EA5" s="47"/>
      <c r="EB5" s="23"/>
      <c r="EC5" s="26" t="s">
        <v>76</v>
      </c>
      <c r="ED5" s="27"/>
      <c r="EE5" s="28"/>
      <c r="EF5" s="47"/>
    </row>
    <row r="6" spans="1:136" s="13" customFormat="1" ht="12">
      <c r="A6" s="52" t="s">
        <v>14</v>
      </c>
      <c r="C6" s="69" t="s">
        <v>77</v>
      </c>
      <c r="D6" s="70"/>
      <c r="E6" s="71"/>
      <c r="F6" s="47" t="s">
        <v>84</v>
      </c>
      <c r="G6" s="39"/>
      <c r="H6" s="46"/>
      <c r="I6" s="59">
        <f>1-N6</f>
        <v>0.00282030000000022</v>
      </c>
      <c r="J6" s="45"/>
      <c r="K6" s="47" t="s">
        <v>84</v>
      </c>
      <c r="M6" s="46"/>
      <c r="N6" s="64">
        <f>S6+X6+AC6+AH6+AM6+AR6+AW6+BB6+BG6+BL6+BQ6+BV6+CA6+CF6+CK6+CP6+CU6+CZ6+DE6+DJ6+DT6+DO6</f>
        <v>0.9971796999999998</v>
      </c>
      <c r="O6" s="45"/>
      <c r="P6" s="47" t="s">
        <v>84</v>
      </c>
      <c r="R6" s="53"/>
      <c r="S6" s="38">
        <v>0.1505006</v>
      </c>
      <c r="T6" s="54"/>
      <c r="U6" s="47" t="s">
        <v>84</v>
      </c>
      <c r="W6" s="53"/>
      <c r="X6" s="38">
        <v>0.1692584</v>
      </c>
      <c r="Y6" s="54"/>
      <c r="Z6" s="47" t="s">
        <v>84</v>
      </c>
      <c r="AB6" s="53"/>
      <c r="AC6" s="38">
        <v>0.0975766</v>
      </c>
      <c r="AD6" s="54"/>
      <c r="AE6" s="47" t="s">
        <v>84</v>
      </c>
      <c r="AG6" s="53"/>
      <c r="AH6" s="38">
        <v>0.0748131</v>
      </c>
      <c r="AI6" s="54"/>
      <c r="AJ6" s="47" t="s">
        <v>84</v>
      </c>
      <c r="AK6" s="32"/>
      <c r="AL6" s="53"/>
      <c r="AM6" s="38">
        <v>0.0021612</v>
      </c>
      <c r="AN6" s="54"/>
      <c r="AO6" s="47" t="s">
        <v>84</v>
      </c>
      <c r="AP6" s="32"/>
      <c r="AQ6" s="53"/>
      <c r="AR6" s="38">
        <v>0.0001906</v>
      </c>
      <c r="AS6" s="54"/>
      <c r="AT6" s="47" t="s">
        <v>84</v>
      </c>
      <c r="AU6" s="32"/>
      <c r="AV6" s="53"/>
      <c r="AW6" s="38">
        <v>0.0001369</v>
      </c>
      <c r="AX6" s="54"/>
      <c r="AY6" s="47" t="s">
        <v>84</v>
      </c>
      <c r="BA6" s="53"/>
      <c r="BB6" s="38">
        <v>0.0023757</v>
      </c>
      <c r="BC6" s="54"/>
      <c r="BD6" s="47" t="s">
        <v>84</v>
      </c>
      <c r="BF6" s="53"/>
      <c r="BG6" s="38">
        <v>0.0591225</v>
      </c>
      <c r="BH6" s="54"/>
      <c r="BI6" s="47" t="s">
        <v>84</v>
      </c>
      <c r="BK6" s="63"/>
      <c r="BL6" s="64">
        <v>0.0180534</v>
      </c>
      <c r="BM6" s="65"/>
      <c r="BN6" s="47" t="s">
        <v>84</v>
      </c>
      <c r="BP6" s="53"/>
      <c r="BQ6" s="38">
        <v>0.0515053</v>
      </c>
      <c r="BR6" s="54"/>
      <c r="BS6" s="47" t="s">
        <v>84</v>
      </c>
      <c r="BU6" s="53"/>
      <c r="BV6" s="38">
        <v>0.1416042</v>
      </c>
      <c r="BW6" s="54"/>
      <c r="BX6" s="47" t="s">
        <v>84</v>
      </c>
      <c r="BY6" s="32"/>
      <c r="BZ6" s="53"/>
      <c r="CA6" s="38">
        <v>0.0615602</v>
      </c>
      <c r="CB6" s="54"/>
      <c r="CC6" s="47" t="s">
        <v>84</v>
      </c>
      <c r="CE6" s="53"/>
      <c r="CF6" s="38">
        <v>0.0537414</v>
      </c>
      <c r="CG6" s="54"/>
      <c r="CH6" s="47" t="s">
        <v>84</v>
      </c>
      <c r="CI6" s="32"/>
      <c r="CJ6" s="89"/>
      <c r="CK6" s="90">
        <v>0.0069717</v>
      </c>
      <c r="CL6" s="91"/>
      <c r="CM6" s="88" t="s">
        <v>84</v>
      </c>
      <c r="CN6" s="32"/>
      <c r="CO6" s="53"/>
      <c r="CP6" s="38">
        <v>0.0002011</v>
      </c>
      <c r="CQ6" s="54"/>
      <c r="CR6" s="47" t="s">
        <v>84</v>
      </c>
      <c r="CT6" s="53"/>
      <c r="CU6" s="38">
        <v>0.0470981</v>
      </c>
      <c r="CV6" s="54"/>
      <c r="CW6" s="47" t="s">
        <v>84</v>
      </c>
      <c r="CY6" s="53"/>
      <c r="CZ6" s="38">
        <v>0.0028727</v>
      </c>
      <c r="DA6" s="54"/>
      <c r="DB6" s="47" t="s">
        <v>84</v>
      </c>
      <c r="DD6" s="53"/>
      <c r="DE6" s="38">
        <v>0.0487421</v>
      </c>
      <c r="DF6" s="54"/>
      <c r="DG6" s="47" t="s">
        <v>84</v>
      </c>
      <c r="DI6" s="53"/>
      <c r="DJ6" s="38">
        <v>0.0060754</v>
      </c>
      <c r="DK6" s="54"/>
      <c r="DL6" s="47" t="s">
        <v>84</v>
      </c>
      <c r="DM6" s="32"/>
      <c r="DN6" s="53"/>
      <c r="DO6" s="38">
        <v>0.0026185</v>
      </c>
      <c r="DP6" s="54"/>
      <c r="DQ6" s="47" t="s">
        <v>84</v>
      </c>
      <c r="DR6" s="32"/>
      <c r="DS6" s="53"/>
      <c r="DT6" s="38"/>
      <c r="DU6" s="54"/>
      <c r="DV6" s="47" t="s">
        <v>84</v>
      </c>
      <c r="DW6" s="32"/>
      <c r="DX6" s="53"/>
      <c r="DY6" s="38">
        <v>0.0008698</v>
      </c>
      <c r="DZ6" s="54"/>
      <c r="EA6" s="47" t="s">
        <v>84</v>
      </c>
      <c r="EC6" s="53"/>
      <c r="ED6" s="38">
        <v>0.0019505</v>
      </c>
      <c r="EE6" s="54"/>
      <c r="EF6" s="47" t="s">
        <v>84</v>
      </c>
    </row>
    <row r="7" spans="1:136" ht="12">
      <c r="A7" s="29"/>
      <c r="C7" s="47" t="s">
        <v>15</v>
      </c>
      <c r="D7" s="47" t="s">
        <v>16</v>
      </c>
      <c r="E7" s="47" t="s">
        <v>4</v>
      </c>
      <c r="F7" s="47" t="s">
        <v>85</v>
      </c>
      <c r="H7" s="47" t="s">
        <v>15</v>
      </c>
      <c r="I7" s="47" t="s">
        <v>16</v>
      </c>
      <c r="J7" s="47" t="s">
        <v>4</v>
      </c>
      <c r="K7" s="47" t="s">
        <v>85</v>
      </c>
      <c r="M7" s="47" t="s">
        <v>15</v>
      </c>
      <c r="N7" s="47" t="s">
        <v>16</v>
      </c>
      <c r="O7" s="47" t="s">
        <v>4</v>
      </c>
      <c r="P7" s="47" t="s">
        <v>85</v>
      </c>
      <c r="R7" s="30" t="s">
        <v>15</v>
      </c>
      <c r="S7" s="30" t="s">
        <v>16</v>
      </c>
      <c r="T7" s="30" t="s">
        <v>4</v>
      </c>
      <c r="U7" s="47" t="s">
        <v>85</v>
      </c>
      <c r="W7" s="30" t="s">
        <v>15</v>
      </c>
      <c r="X7" s="30" t="s">
        <v>16</v>
      </c>
      <c r="Y7" s="30" t="s">
        <v>4</v>
      </c>
      <c r="Z7" s="47" t="s">
        <v>85</v>
      </c>
      <c r="AB7" s="30" t="s">
        <v>15</v>
      </c>
      <c r="AC7" s="30" t="s">
        <v>16</v>
      </c>
      <c r="AD7" s="30" t="s">
        <v>4</v>
      </c>
      <c r="AE7" s="47" t="s">
        <v>85</v>
      </c>
      <c r="AG7" s="30" t="s">
        <v>15</v>
      </c>
      <c r="AH7" s="30" t="s">
        <v>16</v>
      </c>
      <c r="AI7" s="30" t="s">
        <v>4</v>
      </c>
      <c r="AJ7" s="47" t="s">
        <v>85</v>
      </c>
      <c r="AK7" s="36"/>
      <c r="AL7" s="30" t="s">
        <v>15</v>
      </c>
      <c r="AM7" s="30" t="s">
        <v>16</v>
      </c>
      <c r="AN7" s="30" t="s">
        <v>4</v>
      </c>
      <c r="AO7" s="47" t="s">
        <v>85</v>
      </c>
      <c r="AP7" s="36"/>
      <c r="AQ7" s="30" t="s">
        <v>15</v>
      </c>
      <c r="AR7" s="30" t="s">
        <v>16</v>
      </c>
      <c r="AS7" s="30" t="s">
        <v>4</v>
      </c>
      <c r="AT7" s="47" t="s">
        <v>85</v>
      </c>
      <c r="AU7" s="36"/>
      <c r="AV7" s="30" t="s">
        <v>15</v>
      </c>
      <c r="AW7" s="30" t="s">
        <v>16</v>
      </c>
      <c r="AX7" s="30" t="s">
        <v>4</v>
      </c>
      <c r="AY7" s="47" t="s">
        <v>85</v>
      </c>
      <c r="BA7" s="30" t="s">
        <v>15</v>
      </c>
      <c r="BB7" s="30" t="s">
        <v>16</v>
      </c>
      <c r="BC7" s="30" t="s">
        <v>4</v>
      </c>
      <c r="BD7" s="47" t="s">
        <v>85</v>
      </c>
      <c r="BF7" s="30" t="s">
        <v>15</v>
      </c>
      <c r="BG7" s="30" t="s">
        <v>16</v>
      </c>
      <c r="BH7" s="30" t="s">
        <v>4</v>
      </c>
      <c r="BI7" s="47" t="s">
        <v>85</v>
      </c>
      <c r="BK7" s="30" t="s">
        <v>15</v>
      </c>
      <c r="BL7" s="30" t="s">
        <v>16</v>
      </c>
      <c r="BM7" s="30" t="s">
        <v>4</v>
      </c>
      <c r="BN7" s="47" t="s">
        <v>85</v>
      </c>
      <c r="BP7" s="30" t="s">
        <v>15</v>
      </c>
      <c r="BQ7" s="30" t="s">
        <v>16</v>
      </c>
      <c r="BR7" s="30" t="s">
        <v>4</v>
      </c>
      <c r="BS7" s="47" t="s">
        <v>85</v>
      </c>
      <c r="BU7" s="30" t="s">
        <v>15</v>
      </c>
      <c r="BV7" s="30" t="s">
        <v>16</v>
      </c>
      <c r="BW7" s="30" t="s">
        <v>4</v>
      </c>
      <c r="BX7" s="47" t="s">
        <v>85</v>
      </c>
      <c r="BY7" s="36"/>
      <c r="BZ7" s="30" t="s">
        <v>15</v>
      </c>
      <c r="CA7" s="30" t="s">
        <v>16</v>
      </c>
      <c r="CB7" s="30" t="s">
        <v>4</v>
      </c>
      <c r="CC7" s="47" t="s">
        <v>85</v>
      </c>
      <c r="CE7" s="30" t="s">
        <v>15</v>
      </c>
      <c r="CF7" s="30" t="s">
        <v>16</v>
      </c>
      <c r="CG7" s="30" t="s">
        <v>4</v>
      </c>
      <c r="CH7" s="47" t="s">
        <v>85</v>
      </c>
      <c r="CI7" s="36"/>
      <c r="CJ7" s="92" t="s">
        <v>15</v>
      </c>
      <c r="CK7" s="92" t="s">
        <v>16</v>
      </c>
      <c r="CL7" s="92" t="s">
        <v>4</v>
      </c>
      <c r="CM7" s="88" t="s">
        <v>85</v>
      </c>
      <c r="CN7" s="36"/>
      <c r="CO7" s="30" t="s">
        <v>15</v>
      </c>
      <c r="CP7" s="30" t="s">
        <v>16</v>
      </c>
      <c r="CQ7" s="30" t="s">
        <v>4</v>
      </c>
      <c r="CR7" s="47" t="s">
        <v>85</v>
      </c>
      <c r="CT7" s="30" t="s">
        <v>15</v>
      </c>
      <c r="CU7" s="30" t="s">
        <v>16</v>
      </c>
      <c r="CV7" s="30" t="s">
        <v>4</v>
      </c>
      <c r="CW7" s="47" t="s">
        <v>85</v>
      </c>
      <c r="CY7" s="30" t="s">
        <v>15</v>
      </c>
      <c r="CZ7" s="30" t="s">
        <v>16</v>
      </c>
      <c r="DA7" s="30" t="s">
        <v>4</v>
      </c>
      <c r="DB7" s="47" t="s">
        <v>85</v>
      </c>
      <c r="DD7" s="30" t="s">
        <v>15</v>
      </c>
      <c r="DE7" s="30" t="s">
        <v>16</v>
      </c>
      <c r="DF7" s="30" t="s">
        <v>4</v>
      </c>
      <c r="DG7" s="47" t="s">
        <v>85</v>
      </c>
      <c r="DI7" s="30" t="s">
        <v>15</v>
      </c>
      <c r="DJ7" s="30" t="s">
        <v>16</v>
      </c>
      <c r="DK7" s="30" t="s">
        <v>4</v>
      </c>
      <c r="DL7" s="47" t="s">
        <v>85</v>
      </c>
      <c r="DM7" s="36"/>
      <c r="DN7" s="30" t="s">
        <v>15</v>
      </c>
      <c r="DO7" s="30" t="s">
        <v>16</v>
      </c>
      <c r="DP7" s="30" t="s">
        <v>4</v>
      </c>
      <c r="DQ7" s="47" t="s">
        <v>85</v>
      </c>
      <c r="DR7" s="36"/>
      <c r="DS7" s="30" t="s">
        <v>15</v>
      </c>
      <c r="DT7" s="30" t="s">
        <v>16</v>
      </c>
      <c r="DU7" s="30" t="s">
        <v>4</v>
      </c>
      <c r="DV7" s="47" t="s">
        <v>85</v>
      </c>
      <c r="DW7" s="36"/>
      <c r="DX7" s="30" t="s">
        <v>15</v>
      </c>
      <c r="DY7" s="30" t="s">
        <v>16</v>
      </c>
      <c r="DZ7" s="30" t="s">
        <v>4</v>
      </c>
      <c r="EA7" s="47" t="s">
        <v>85</v>
      </c>
      <c r="EB7" s="23"/>
      <c r="EC7" s="30" t="s">
        <v>15</v>
      </c>
      <c r="ED7" s="30" t="s">
        <v>16</v>
      </c>
      <c r="EE7" s="30" t="s">
        <v>4</v>
      </c>
      <c r="EF7" s="47" t="s">
        <v>85</v>
      </c>
    </row>
    <row r="8" spans="1:146" ht="12">
      <c r="A8" s="22">
        <v>40452</v>
      </c>
      <c r="C8" s="39"/>
      <c r="D8" s="39">
        <v>157290</v>
      </c>
      <c r="E8" s="42">
        <f aca="true" t="shared" si="0" ref="E8:E29">C8+D8</f>
        <v>157290</v>
      </c>
      <c r="F8" s="42">
        <v>8837</v>
      </c>
      <c r="H8" s="42">
        <f aca="true" t="shared" si="1" ref="H8:H29">DX8+EC8</f>
        <v>0</v>
      </c>
      <c r="I8" s="48">
        <f aca="true" t="shared" si="2" ref="I8:I29">DY8+ED8</f>
        <v>443.60498700000005</v>
      </c>
      <c r="J8" s="42">
        <f aca="true" t="shared" si="3" ref="J8:J29">H8+I8</f>
        <v>443.60498700000005</v>
      </c>
      <c r="K8" s="42">
        <f aca="true" t="shared" si="4" ref="K8:K19">EA8+EF8</f>
        <v>24.9229911</v>
      </c>
      <c r="M8" s="39"/>
      <c r="N8" s="39">
        <f aca="true" t="shared" si="5" ref="N8:N29">S8+X8+AC8+AH8+AM8+AR8+AW8+BB8+BG8+BL8+BQ8+BV8+CA8+CF8+CK8+CP8+CU8+CZ8+DE8+DJ8+DT8+DO8</f>
        <v>156846.39501299997</v>
      </c>
      <c r="O8" s="39">
        <f aca="true" t="shared" si="6" ref="O8:O29">M8+N8</f>
        <v>156846.39501299997</v>
      </c>
      <c r="P8" s="39">
        <f aca="true" t="shared" si="7" ref="P8:P19">U8+Z8+AE8+AJ8+AO8+AT8+AY8+BD8+BI8+BN8+BS8+BX8+CC8+CH8+CM8+CR8+CW8+DB8+DG8+DQ8+DV8+DL8</f>
        <v>8812.077008900002</v>
      </c>
      <c r="R8" s="56"/>
      <c r="S8" s="56">
        <f aca="true" t="shared" si="8" ref="S8:S29">D8*15.05006/100</f>
        <v>23672.239374</v>
      </c>
      <c r="T8" s="39">
        <f aca="true" t="shared" si="9" ref="T8:T29">R8+S8</f>
        <v>23672.239374</v>
      </c>
      <c r="U8" s="39">
        <f aca="true" t="shared" si="10" ref="U8:U19">S$6*$F8</f>
        <v>1329.9738022000001</v>
      </c>
      <c r="V8" s="39"/>
      <c r="W8" s="39"/>
      <c r="X8" s="39">
        <f aca="true" t="shared" si="11" ref="X8:X29">D8*16.92584/100</f>
        <v>26622.653736</v>
      </c>
      <c r="Y8" s="39">
        <f aca="true" t="shared" si="12" ref="Y8:Y29">W8+X8</f>
        <v>26622.653736</v>
      </c>
      <c r="Z8" s="39">
        <f aca="true" t="shared" si="13" ref="Z8:Z19">X$6*$F8</f>
        <v>1495.7364808</v>
      </c>
      <c r="AA8" s="39"/>
      <c r="AB8" s="39"/>
      <c r="AC8" s="39">
        <f aca="true" t="shared" si="14" ref="AC8:AC29">D8*9.75766/100</f>
        <v>15347.823414</v>
      </c>
      <c r="AD8" s="39">
        <f aca="true" t="shared" si="15" ref="AD8:AD29">AB8+AC8</f>
        <v>15347.823414</v>
      </c>
      <c r="AE8" s="39">
        <f aca="true" t="shared" si="16" ref="AE8:AE19">AC$6*$F8</f>
        <v>862.2844142</v>
      </c>
      <c r="AF8" s="39"/>
      <c r="AG8" s="39"/>
      <c r="AH8" s="39">
        <f aca="true" t="shared" si="17" ref="AH8:AH29">D8*7.48131/100</f>
        <v>11767.352498999999</v>
      </c>
      <c r="AI8" s="39">
        <f aca="true" t="shared" si="18" ref="AI8:AI29">AG8+AH8</f>
        <v>11767.352498999999</v>
      </c>
      <c r="AJ8" s="39">
        <f aca="true" t="shared" si="19" ref="AJ8:AJ19">AH$6*$F8</f>
        <v>661.1233646999999</v>
      </c>
      <c r="AK8" s="39"/>
      <c r="AL8" s="39"/>
      <c r="AM8" s="39">
        <f aca="true" t="shared" si="20" ref="AM8:AM29">D8*0.21612/100</f>
        <v>339.935148</v>
      </c>
      <c r="AN8" s="39">
        <f aca="true" t="shared" si="21" ref="AN8:AN29">AL8+AM8</f>
        <v>339.935148</v>
      </c>
      <c r="AO8" s="39">
        <f aca="true" t="shared" si="22" ref="AO8:AO19">AM$6*$F8</f>
        <v>19.0985244</v>
      </c>
      <c r="AP8" s="39"/>
      <c r="AQ8" s="39"/>
      <c r="AR8" s="39">
        <f aca="true" t="shared" si="23" ref="AR8:AR29">D8*0.01906/100</f>
        <v>29.979474</v>
      </c>
      <c r="AS8" s="39">
        <f aca="true" t="shared" si="24" ref="AS8:AS29">AQ8+AR8</f>
        <v>29.979474</v>
      </c>
      <c r="AT8" s="39">
        <f aca="true" t="shared" si="25" ref="AT8:AT19">AR$6*$F8</f>
        <v>1.6843322</v>
      </c>
      <c r="AU8" s="39"/>
      <c r="AV8" s="39"/>
      <c r="AW8" s="39">
        <f aca="true" t="shared" si="26" ref="AW8:AW29">D8*0.01369/100</f>
        <v>21.533001</v>
      </c>
      <c r="AX8" s="39">
        <f aca="true" t="shared" si="27" ref="AX8:AX29">AV8+AW8</f>
        <v>21.533001</v>
      </c>
      <c r="AY8" s="39">
        <f aca="true" t="shared" si="28" ref="AY8:AY19">AW$6*$F8</f>
        <v>1.2097852999999998</v>
      </c>
      <c r="AZ8" s="39"/>
      <c r="BA8" s="39"/>
      <c r="BB8" s="39">
        <f aca="true" t="shared" si="29" ref="BB8:BB29">D8*0.23757/100</f>
        <v>373.673853</v>
      </c>
      <c r="BC8" s="39">
        <f aca="true" t="shared" si="30" ref="BC8:BC29">BA8+BB8</f>
        <v>373.673853</v>
      </c>
      <c r="BD8" s="39">
        <f aca="true" t="shared" si="31" ref="BD8:BD19">BB$6*$F8</f>
        <v>20.9940609</v>
      </c>
      <c r="BE8" s="39"/>
      <c r="BF8" s="39"/>
      <c r="BG8" s="39">
        <f aca="true" t="shared" si="32" ref="BG8:BG29">D8*5.91225/100</f>
        <v>9299.378025</v>
      </c>
      <c r="BH8" s="39">
        <f aca="true" t="shared" si="33" ref="BH8:BH29">BF8+BG8</f>
        <v>9299.378025</v>
      </c>
      <c r="BI8" s="39">
        <f aca="true" t="shared" si="34" ref="BI8:BI19">BG$6*$F8</f>
        <v>522.4655325</v>
      </c>
      <c r="BJ8" s="39"/>
      <c r="BK8" s="39"/>
      <c r="BL8" s="39">
        <f aca="true" t="shared" si="35" ref="BL8:BL29">D8*1.80534/100</f>
        <v>2839.6192859999996</v>
      </c>
      <c r="BM8" s="39">
        <f aca="true" t="shared" si="36" ref="BM8:BM29">BK8+BL8</f>
        <v>2839.6192859999996</v>
      </c>
      <c r="BN8" s="39">
        <f aca="true" t="shared" si="37" ref="BN8:BN19">BL$6*$F8</f>
        <v>159.5378958</v>
      </c>
      <c r="BO8" s="39"/>
      <c r="BP8" s="39"/>
      <c r="BQ8" s="39">
        <f aca="true" t="shared" si="38" ref="BQ8:BQ29">D8*5.15053/100</f>
        <v>8101.268637</v>
      </c>
      <c r="BR8" s="39">
        <f aca="true" t="shared" si="39" ref="BR8:BR29">BP8+BQ8</f>
        <v>8101.268637</v>
      </c>
      <c r="BS8" s="39">
        <f aca="true" t="shared" si="40" ref="BS8:BS19">BQ$6*$F8</f>
        <v>455.15233609999996</v>
      </c>
      <c r="BT8" s="39"/>
      <c r="BU8" s="39"/>
      <c r="BV8" s="39">
        <f aca="true" t="shared" si="41" ref="BV8:BV29">D8*14.16042/100</f>
        <v>22272.924618</v>
      </c>
      <c r="BW8" s="39">
        <f aca="true" t="shared" si="42" ref="BW8:BW29">BU8+BV8</f>
        <v>22272.924618</v>
      </c>
      <c r="BX8" s="39">
        <f aca="true" t="shared" si="43" ref="BX8:BX19">BV$6*$F8</f>
        <v>1251.3563154</v>
      </c>
      <c r="BY8" s="39"/>
      <c r="BZ8" s="39"/>
      <c r="CA8" s="39">
        <f aca="true" t="shared" si="44" ref="CA8:CA29">D8*6.15602/100</f>
        <v>9682.803858</v>
      </c>
      <c r="CB8" s="39">
        <f aca="true" t="shared" si="45" ref="CB8:CB29">BZ8+CA8</f>
        <v>9682.803858</v>
      </c>
      <c r="CC8" s="39">
        <f aca="true" t="shared" si="46" ref="CC8:CC19">CA$6*$F8</f>
        <v>544.0074874000001</v>
      </c>
      <c r="CD8" s="39"/>
      <c r="CE8" s="39"/>
      <c r="CF8" s="39">
        <f aca="true" t="shared" si="47" ref="CF8:CF29">D8*5.37414/100</f>
        <v>8452.984806</v>
      </c>
      <c r="CG8" s="39">
        <f aca="true" t="shared" si="48" ref="CG8:CG29">CE8+CF8</f>
        <v>8452.984806</v>
      </c>
      <c r="CH8" s="39">
        <f aca="true" t="shared" si="49" ref="CH8:CH19">CF$6*$F8</f>
        <v>474.9127518</v>
      </c>
      <c r="CI8" s="39"/>
      <c r="CJ8" s="93"/>
      <c r="CK8" s="93">
        <f aca="true" t="shared" si="50" ref="CK8:CK29">D8*0.69717/100</f>
        <v>1096.578693</v>
      </c>
      <c r="CL8" s="93">
        <f aca="true" t="shared" si="51" ref="CL8:CL29">CJ8+CK8</f>
        <v>1096.578693</v>
      </c>
      <c r="CM8" s="93">
        <f aca="true" t="shared" si="52" ref="CM8:CM19">CK$6*$F8</f>
        <v>61.6089129</v>
      </c>
      <c r="CN8" s="39"/>
      <c r="CO8" s="39"/>
      <c r="CP8" s="39">
        <f aca="true" t="shared" si="53" ref="CP8:CP29">D8*0.02011/100</f>
        <v>31.631019000000002</v>
      </c>
      <c r="CQ8" s="39">
        <f aca="true" t="shared" si="54" ref="CQ8:CQ29">CO8+CP8</f>
        <v>31.631019000000002</v>
      </c>
      <c r="CR8" s="39">
        <f aca="true" t="shared" si="55" ref="CR8:CR19">CP$6*$F8</f>
        <v>1.7771207</v>
      </c>
      <c r="CS8" s="39"/>
      <c r="CT8" s="39"/>
      <c r="CU8" s="39">
        <f aca="true" t="shared" si="56" ref="CU8:CU29">D8*4.70981/100</f>
        <v>7408.060149</v>
      </c>
      <c r="CV8" s="39">
        <f aca="true" t="shared" si="57" ref="CV8:CV29">CT8+CU8</f>
        <v>7408.060149</v>
      </c>
      <c r="CW8" s="39">
        <f aca="true" t="shared" si="58" ref="CW8:CW19">CU$6*$F8</f>
        <v>416.20590969999995</v>
      </c>
      <c r="CX8" s="39"/>
      <c r="CY8" s="39"/>
      <c r="CZ8" s="39">
        <f aca="true" t="shared" si="59" ref="CZ8:CZ29">D8*0.28727/100</f>
        <v>451.846983</v>
      </c>
      <c r="DA8" s="39">
        <f aca="true" t="shared" si="60" ref="DA8:DA29">CY8+CZ8</f>
        <v>451.846983</v>
      </c>
      <c r="DB8" s="39">
        <f aca="true" t="shared" si="61" ref="DB8:DB19">CZ$6*$F8</f>
        <v>25.3860499</v>
      </c>
      <c r="DC8" s="39"/>
      <c r="DD8" s="39"/>
      <c r="DE8" s="39">
        <f aca="true" t="shared" si="62" ref="DE8:DE29">D8*4.87421/100</f>
        <v>7666.644909</v>
      </c>
      <c r="DF8" s="39">
        <f aca="true" t="shared" si="63" ref="DF8:DF29">DD8+DE8</f>
        <v>7666.644909</v>
      </c>
      <c r="DG8" s="39">
        <f aca="true" t="shared" si="64" ref="DG8:DG19">DE$6*$F8</f>
        <v>430.73393769999996</v>
      </c>
      <c r="DH8" s="39"/>
      <c r="DI8" s="39"/>
      <c r="DJ8" s="39">
        <f aca="true" t="shared" si="65" ref="DJ8:DJ29">D8*0.60754/100</f>
        <v>955.599666</v>
      </c>
      <c r="DK8" s="39">
        <f aca="true" t="shared" si="66" ref="DK8:DK29">DI8+DJ8</f>
        <v>955.599666</v>
      </c>
      <c r="DL8" s="39">
        <f aca="true" t="shared" si="67" ref="DL8:DL19">DJ$6*$F8</f>
        <v>53.6883098</v>
      </c>
      <c r="DM8" s="39"/>
      <c r="DN8" s="39"/>
      <c r="DO8" s="39">
        <f aca="true" t="shared" si="68" ref="DO8:DO29">D8*0.26185/100</f>
        <v>411.8638650000001</v>
      </c>
      <c r="DP8" s="39">
        <f aca="true" t="shared" si="69" ref="DP8:DP29">DN8+DO8</f>
        <v>411.8638650000001</v>
      </c>
      <c r="DQ8" s="39">
        <f aca="true" t="shared" si="70" ref="DQ8:DQ19">DO$6*$F8</f>
        <v>23.1396845</v>
      </c>
      <c r="DR8" s="39"/>
      <c r="DS8" s="39"/>
      <c r="DT8" s="39"/>
      <c r="DU8" s="39"/>
      <c r="DV8" s="39"/>
      <c r="DW8" s="39"/>
      <c r="DX8" s="56">
        <f aca="true" t="shared" si="71" ref="DX8:DX29">C8*0.08698/100</f>
        <v>0</v>
      </c>
      <c r="DY8" s="56">
        <f aca="true" t="shared" si="72" ref="DY8:DY29">D8*0.08698/100</f>
        <v>136.810842</v>
      </c>
      <c r="DZ8" s="39">
        <f aca="true" t="shared" si="73" ref="DZ8:DZ29">DX8+DY8</f>
        <v>136.810842</v>
      </c>
      <c r="EA8" s="39">
        <f aca="true" t="shared" si="74" ref="EA8:EA19">DY$6*$F8</f>
        <v>7.6864226</v>
      </c>
      <c r="EB8" s="39"/>
      <c r="EC8" s="39">
        <f aca="true" t="shared" si="75" ref="EC8:EC29">C8*0.19505/100</f>
        <v>0</v>
      </c>
      <c r="ED8" s="39">
        <f aca="true" t="shared" si="76" ref="ED8:ED29">D8*0.19505/100</f>
        <v>306.794145</v>
      </c>
      <c r="EE8" s="39">
        <f aca="true" t="shared" si="77" ref="EE8:EE29">EC8+ED8</f>
        <v>306.794145</v>
      </c>
      <c r="EF8" s="39">
        <f aca="true" t="shared" si="78" ref="EF8:EF19">ED$6*$F8</f>
        <v>17.2365685</v>
      </c>
      <c r="EG8" s="39"/>
      <c r="EH8" s="39"/>
      <c r="EI8" s="39"/>
      <c r="EJ8" s="39"/>
      <c r="EK8" s="39"/>
      <c r="EL8" s="39"/>
      <c r="EM8" s="39"/>
      <c r="EN8" s="39"/>
      <c r="EO8" s="39"/>
      <c r="EP8" s="39"/>
    </row>
    <row r="9" spans="1:146" ht="12">
      <c r="A9" s="22">
        <v>40634</v>
      </c>
      <c r="C9" s="39">
        <v>3540000</v>
      </c>
      <c r="D9" s="39">
        <v>157290</v>
      </c>
      <c r="E9" s="42">
        <f t="shared" si="0"/>
        <v>3697290</v>
      </c>
      <c r="F9" s="42">
        <v>8837</v>
      </c>
      <c r="H9" s="42">
        <f t="shared" si="1"/>
        <v>9983.862000000001</v>
      </c>
      <c r="I9" s="48">
        <f t="shared" si="2"/>
        <v>443.60498700000005</v>
      </c>
      <c r="J9" s="42">
        <f t="shared" si="3"/>
        <v>10427.466987000002</v>
      </c>
      <c r="K9" s="42">
        <f t="shared" si="4"/>
        <v>24.9229911</v>
      </c>
      <c r="M9" s="39">
        <f aca="true" t="shared" si="79" ref="M9:M29">R9+W9+AB9+AG9+AL9+AQ9+AV9+BA9+BF9+BK9+BP9+BU9+BZ9+CE9+CJ9+CO9+CT9+CY9+DD9+DI9+DS9+DN9</f>
        <v>3530016.138</v>
      </c>
      <c r="N9" s="39">
        <f t="shared" si="5"/>
        <v>156846.39501299997</v>
      </c>
      <c r="O9" s="39">
        <f t="shared" si="6"/>
        <v>3686862.5330129997</v>
      </c>
      <c r="P9" s="39">
        <f t="shared" si="7"/>
        <v>8812.077008900002</v>
      </c>
      <c r="R9" s="56">
        <f>C9*15.05006/100</f>
        <v>532772.124</v>
      </c>
      <c r="S9" s="56">
        <f t="shared" si="8"/>
        <v>23672.239374</v>
      </c>
      <c r="T9" s="39">
        <f t="shared" si="9"/>
        <v>556444.363374</v>
      </c>
      <c r="U9" s="39">
        <f t="shared" si="10"/>
        <v>1329.9738022000001</v>
      </c>
      <c r="V9" s="39"/>
      <c r="W9" s="39">
        <f>C9*16.92584/100</f>
        <v>599174.736</v>
      </c>
      <c r="X9" s="39">
        <f t="shared" si="11"/>
        <v>26622.653736</v>
      </c>
      <c r="Y9" s="39">
        <f t="shared" si="12"/>
        <v>625797.389736</v>
      </c>
      <c r="Z9" s="39">
        <f t="shared" si="13"/>
        <v>1495.7364808</v>
      </c>
      <c r="AA9" s="39"/>
      <c r="AB9" s="39">
        <f>C9*9.75766/100</f>
        <v>345421.164</v>
      </c>
      <c r="AC9" s="39">
        <f t="shared" si="14"/>
        <v>15347.823414</v>
      </c>
      <c r="AD9" s="39">
        <f t="shared" si="15"/>
        <v>360768.987414</v>
      </c>
      <c r="AE9" s="39">
        <f t="shared" si="16"/>
        <v>862.2844142</v>
      </c>
      <c r="AF9" s="39"/>
      <c r="AG9" s="39">
        <f>C9*7.48131/100</f>
        <v>264838.374</v>
      </c>
      <c r="AH9" s="39">
        <f t="shared" si="17"/>
        <v>11767.352498999999</v>
      </c>
      <c r="AI9" s="39">
        <f t="shared" si="18"/>
        <v>276605.726499</v>
      </c>
      <c r="AJ9" s="39">
        <f t="shared" si="19"/>
        <v>661.1233646999999</v>
      </c>
      <c r="AK9" s="39"/>
      <c r="AL9" s="39">
        <f>C9*0.21612/100</f>
        <v>7650.648</v>
      </c>
      <c r="AM9" s="39">
        <f t="shared" si="20"/>
        <v>339.935148</v>
      </c>
      <c r="AN9" s="39">
        <f t="shared" si="21"/>
        <v>7990.583148</v>
      </c>
      <c r="AO9" s="39">
        <f t="shared" si="22"/>
        <v>19.0985244</v>
      </c>
      <c r="AP9" s="39"/>
      <c r="AQ9" s="39">
        <f>C9*0.01906/100</f>
        <v>674.724</v>
      </c>
      <c r="AR9" s="39">
        <f t="shared" si="23"/>
        <v>29.979474</v>
      </c>
      <c r="AS9" s="39">
        <f t="shared" si="24"/>
        <v>704.703474</v>
      </c>
      <c r="AT9" s="39">
        <f t="shared" si="25"/>
        <v>1.6843322</v>
      </c>
      <c r="AU9" s="39"/>
      <c r="AV9" s="39">
        <f>C9*0.01369/100</f>
        <v>484.62600000000003</v>
      </c>
      <c r="AW9" s="39">
        <f t="shared" si="26"/>
        <v>21.533001</v>
      </c>
      <c r="AX9" s="39">
        <f t="shared" si="27"/>
        <v>506.15900100000005</v>
      </c>
      <c r="AY9" s="39">
        <f t="shared" si="28"/>
        <v>1.2097852999999998</v>
      </c>
      <c r="AZ9" s="39"/>
      <c r="BA9" s="39">
        <f>C9*0.23757/100</f>
        <v>8409.978000000001</v>
      </c>
      <c r="BB9" s="39">
        <f t="shared" si="29"/>
        <v>373.673853</v>
      </c>
      <c r="BC9" s="39">
        <f t="shared" si="30"/>
        <v>8783.651853000001</v>
      </c>
      <c r="BD9" s="39">
        <f t="shared" si="31"/>
        <v>20.9940609</v>
      </c>
      <c r="BE9" s="39"/>
      <c r="BF9" s="39">
        <f>C9*5.91225/100</f>
        <v>209293.65</v>
      </c>
      <c r="BG9" s="39">
        <f t="shared" si="32"/>
        <v>9299.378025</v>
      </c>
      <c r="BH9" s="39">
        <f t="shared" si="33"/>
        <v>218593.028025</v>
      </c>
      <c r="BI9" s="39">
        <f t="shared" si="34"/>
        <v>522.4655325</v>
      </c>
      <c r="BJ9" s="39"/>
      <c r="BK9" s="39">
        <f>C9*1.80534/100</f>
        <v>63909.03599999999</v>
      </c>
      <c r="BL9" s="39">
        <f t="shared" si="35"/>
        <v>2839.6192859999996</v>
      </c>
      <c r="BM9" s="39">
        <f t="shared" si="36"/>
        <v>66748.655286</v>
      </c>
      <c r="BN9" s="39">
        <f t="shared" si="37"/>
        <v>159.5378958</v>
      </c>
      <c r="BO9" s="39"/>
      <c r="BP9" s="39">
        <f>C9*5.15053/100</f>
        <v>182328.762</v>
      </c>
      <c r="BQ9" s="39">
        <f t="shared" si="38"/>
        <v>8101.268637</v>
      </c>
      <c r="BR9" s="39">
        <f t="shared" si="39"/>
        <v>190430.030637</v>
      </c>
      <c r="BS9" s="39">
        <f t="shared" si="40"/>
        <v>455.15233609999996</v>
      </c>
      <c r="BT9" s="39"/>
      <c r="BU9" s="39">
        <f>C9*14.16042/100</f>
        <v>501278.868</v>
      </c>
      <c r="BV9" s="39">
        <f t="shared" si="41"/>
        <v>22272.924618</v>
      </c>
      <c r="BW9" s="39">
        <f t="shared" si="42"/>
        <v>523551.792618</v>
      </c>
      <c r="BX9" s="39">
        <f t="shared" si="43"/>
        <v>1251.3563154</v>
      </c>
      <c r="BY9" s="39"/>
      <c r="BZ9" s="39">
        <f>C9*6.15602/100</f>
        <v>217923.108</v>
      </c>
      <c r="CA9" s="39">
        <f t="shared" si="44"/>
        <v>9682.803858</v>
      </c>
      <c r="CB9" s="39">
        <f t="shared" si="45"/>
        <v>227605.911858</v>
      </c>
      <c r="CC9" s="39">
        <f t="shared" si="46"/>
        <v>544.0074874000001</v>
      </c>
      <c r="CD9" s="39"/>
      <c r="CE9" s="39">
        <f>C9*5.37414/100</f>
        <v>190244.55599999998</v>
      </c>
      <c r="CF9" s="39">
        <f t="shared" si="47"/>
        <v>8452.984806</v>
      </c>
      <c r="CG9" s="39">
        <f t="shared" si="48"/>
        <v>198697.54080599998</v>
      </c>
      <c r="CH9" s="39">
        <f t="shared" si="49"/>
        <v>474.9127518</v>
      </c>
      <c r="CI9" s="39"/>
      <c r="CJ9" s="93">
        <f>C9*0.69717/100</f>
        <v>24679.818</v>
      </c>
      <c r="CK9" s="93">
        <f t="shared" si="50"/>
        <v>1096.578693</v>
      </c>
      <c r="CL9" s="93">
        <f t="shared" si="51"/>
        <v>25776.396693</v>
      </c>
      <c r="CM9" s="93">
        <f t="shared" si="52"/>
        <v>61.6089129</v>
      </c>
      <c r="CN9" s="39"/>
      <c r="CO9" s="39">
        <f>C9*0.02011/100</f>
        <v>711.8939999999999</v>
      </c>
      <c r="CP9" s="39">
        <f t="shared" si="53"/>
        <v>31.631019000000002</v>
      </c>
      <c r="CQ9" s="39">
        <f t="shared" si="54"/>
        <v>743.5250189999999</v>
      </c>
      <c r="CR9" s="39">
        <f t="shared" si="55"/>
        <v>1.7771207</v>
      </c>
      <c r="CS9" s="39"/>
      <c r="CT9" s="39">
        <f>C9*4.70981/100</f>
        <v>166727.274</v>
      </c>
      <c r="CU9" s="39">
        <f t="shared" si="56"/>
        <v>7408.060149</v>
      </c>
      <c r="CV9" s="39">
        <f t="shared" si="57"/>
        <v>174135.334149</v>
      </c>
      <c r="CW9" s="39">
        <f t="shared" si="58"/>
        <v>416.20590969999995</v>
      </c>
      <c r="CX9" s="39"/>
      <c r="CY9" s="39">
        <f>C9*0.28727/100</f>
        <v>10169.358</v>
      </c>
      <c r="CZ9" s="39">
        <f t="shared" si="59"/>
        <v>451.846983</v>
      </c>
      <c r="DA9" s="39">
        <f t="shared" si="60"/>
        <v>10621.204983</v>
      </c>
      <c r="DB9" s="39">
        <f t="shared" si="61"/>
        <v>25.3860499</v>
      </c>
      <c r="DC9" s="39"/>
      <c r="DD9" s="39">
        <f>C9*4.87421/100</f>
        <v>172547.03399999999</v>
      </c>
      <c r="DE9" s="39">
        <f t="shared" si="62"/>
        <v>7666.644909</v>
      </c>
      <c r="DF9" s="39">
        <f t="shared" si="63"/>
        <v>180213.67890899998</v>
      </c>
      <c r="DG9" s="39">
        <f t="shared" si="64"/>
        <v>430.73393769999996</v>
      </c>
      <c r="DH9" s="39"/>
      <c r="DI9" s="39">
        <f>C9*0.60754/100</f>
        <v>21506.916</v>
      </c>
      <c r="DJ9" s="39">
        <f t="shared" si="65"/>
        <v>955.599666</v>
      </c>
      <c r="DK9" s="39">
        <f t="shared" si="66"/>
        <v>22462.515666</v>
      </c>
      <c r="DL9" s="39">
        <f t="shared" si="67"/>
        <v>53.6883098</v>
      </c>
      <c r="DM9" s="39"/>
      <c r="DN9" s="39">
        <f>C9*0.26185/100</f>
        <v>9269.490000000002</v>
      </c>
      <c r="DO9" s="39">
        <f t="shared" si="68"/>
        <v>411.8638650000001</v>
      </c>
      <c r="DP9" s="39">
        <f t="shared" si="69"/>
        <v>9681.353865000001</v>
      </c>
      <c r="DQ9" s="39">
        <f t="shared" si="70"/>
        <v>23.1396845</v>
      </c>
      <c r="DR9" s="39"/>
      <c r="DS9" s="39"/>
      <c r="DT9" s="39"/>
      <c r="DU9" s="39"/>
      <c r="DV9" s="39"/>
      <c r="DW9" s="39"/>
      <c r="DX9" s="56">
        <f t="shared" si="71"/>
        <v>3079.092</v>
      </c>
      <c r="DY9" s="56">
        <f t="shared" si="72"/>
        <v>136.810842</v>
      </c>
      <c r="DZ9" s="39">
        <f t="shared" si="73"/>
        <v>3215.902842</v>
      </c>
      <c r="EA9" s="39">
        <f t="shared" si="74"/>
        <v>7.6864226</v>
      </c>
      <c r="EB9" s="39"/>
      <c r="EC9" s="39">
        <f t="shared" si="75"/>
        <v>6904.77</v>
      </c>
      <c r="ED9" s="39">
        <f t="shared" si="76"/>
        <v>306.794145</v>
      </c>
      <c r="EE9" s="39">
        <f t="shared" si="77"/>
        <v>7211.564145</v>
      </c>
      <c r="EF9" s="39">
        <f t="shared" si="78"/>
        <v>17.2365685</v>
      </c>
      <c r="EG9" s="39"/>
      <c r="EH9" s="39"/>
      <c r="EI9" s="39"/>
      <c r="EJ9" s="39"/>
      <c r="EK9" s="39"/>
      <c r="EL9" s="39"/>
      <c r="EM9" s="39"/>
      <c r="EN9" s="39"/>
      <c r="EO9" s="39"/>
      <c r="EP9" s="39"/>
    </row>
    <row r="10" spans="1:146" ht="12">
      <c r="A10" s="22">
        <v>40817</v>
      </c>
      <c r="C10" s="39"/>
      <c r="D10" s="39">
        <v>81180</v>
      </c>
      <c r="E10" s="42">
        <f t="shared" si="0"/>
        <v>81180</v>
      </c>
      <c r="F10" s="42">
        <v>8837</v>
      </c>
      <c r="H10" s="42">
        <f t="shared" si="1"/>
        <v>0</v>
      </c>
      <c r="I10" s="48">
        <f t="shared" si="2"/>
        <v>228.951954</v>
      </c>
      <c r="J10" s="42">
        <f t="shared" si="3"/>
        <v>228.951954</v>
      </c>
      <c r="K10" s="42">
        <f t="shared" si="4"/>
        <v>24.9229911</v>
      </c>
      <c r="M10" s="39"/>
      <c r="N10" s="39">
        <f t="shared" si="5"/>
        <v>80951.048046</v>
      </c>
      <c r="O10" s="39">
        <f t="shared" si="6"/>
        <v>80951.048046</v>
      </c>
      <c r="P10" s="39">
        <f t="shared" si="7"/>
        <v>8812.077008900002</v>
      </c>
      <c r="R10" s="56"/>
      <c r="S10" s="56">
        <f t="shared" si="8"/>
        <v>12217.638707999999</v>
      </c>
      <c r="T10" s="39">
        <f t="shared" si="9"/>
        <v>12217.638707999999</v>
      </c>
      <c r="U10" s="39">
        <f t="shared" si="10"/>
        <v>1329.9738022000001</v>
      </c>
      <c r="V10" s="39"/>
      <c r="W10" s="39"/>
      <c r="X10" s="39">
        <f t="shared" si="11"/>
        <v>13740.396912</v>
      </c>
      <c r="Y10" s="39">
        <f t="shared" si="12"/>
        <v>13740.396912</v>
      </c>
      <c r="Z10" s="39">
        <f t="shared" si="13"/>
        <v>1495.7364808</v>
      </c>
      <c r="AA10" s="39"/>
      <c r="AB10" s="39"/>
      <c r="AC10" s="39">
        <f t="shared" si="14"/>
        <v>7921.2683879999995</v>
      </c>
      <c r="AD10" s="39">
        <f t="shared" si="15"/>
        <v>7921.2683879999995</v>
      </c>
      <c r="AE10" s="39">
        <f t="shared" si="16"/>
        <v>862.2844142</v>
      </c>
      <c r="AF10" s="39"/>
      <c r="AG10" s="39"/>
      <c r="AH10" s="39">
        <f t="shared" si="17"/>
        <v>6073.327457999999</v>
      </c>
      <c r="AI10" s="39">
        <f t="shared" si="18"/>
        <v>6073.327457999999</v>
      </c>
      <c r="AJ10" s="39">
        <f t="shared" si="19"/>
        <v>661.1233646999999</v>
      </c>
      <c r="AK10" s="39"/>
      <c r="AL10" s="39"/>
      <c r="AM10" s="39">
        <f t="shared" si="20"/>
        <v>175.44621600000002</v>
      </c>
      <c r="AN10" s="39">
        <f t="shared" si="21"/>
        <v>175.44621600000002</v>
      </c>
      <c r="AO10" s="39">
        <f t="shared" si="22"/>
        <v>19.0985244</v>
      </c>
      <c r="AP10" s="39"/>
      <c r="AQ10" s="39"/>
      <c r="AR10" s="39">
        <f t="shared" si="23"/>
        <v>15.472908</v>
      </c>
      <c r="AS10" s="39">
        <f t="shared" si="24"/>
        <v>15.472908</v>
      </c>
      <c r="AT10" s="39">
        <f t="shared" si="25"/>
        <v>1.6843322</v>
      </c>
      <c r="AU10" s="39"/>
      <c r="AV10" s="39"/>
      <c r="AW10" s="39">
        <f t="shared" si="26"/>
        <v>11.113542</v>
      </c>
      <c r="AX10" s="39">
        <f t="shared" si="27"/>
        <v>11.113542</v>
      </c>
      <c r="AY10" s="39">
        <f t="shared" si="28"/>
        <v>1.2097852999999998</v>
      </c>
      <c r="AZ10" s="39"/>
      <c r="BA10" s="39"/>
      <c r="BB10" s="39">
        <f t="shared" si="29"/>
        <v>192.859326</v>
      </c>
      <c r="BC10" s="39">
        <f t="shared" si="30"/>
        <v>192.859326</v>
      </c>
      <c r="BD10" s="39">
        <f t="shared" si="31"/>
        <v>20.9940609</v>
      </c>
      <c r="BE10" s="39"/>
      <c r="BF10" s="39"/>
      <c r="BG10" s="39">
        <f t="shared" si="32"/>
        <v>4799.56455</v>
      </c>
      <c r="BH10" s="39">
        <f t="shared" si="33"/>
        <v>4799.56455</v>
      </c>
      <c r="BI10" s="39">
        <f t="shared" si="34"/>
        <v>522.4655325</v>
      </c>
      <c r="BJ10" s="39"/>
      <c r="BK10" s="39"/>
      <c r="BL10" s="39">
        <f t="shared" si="35"/>
        <v>1465.575012</v>
      </c>
      <c r="BM10" s="39">
        <f t="shared" si="36"/>
        <v>1465.575012</v>
      </c>
      <c r="BN10" s="39">
        <f t="shared" si="37"/>
        <v>159.5378958</v>
      </c>
      <c r="BO10" s="39"/>
      <c r="BP10" s="39"/>
      <c r="BQ10" s="39">
        <f t="shared" si="38"/>
        <v>4181.200253999999</v>
      </c>
      <c r="BR10" s="39">
        <f t="shared" si="39"/>
        <v>4181.200253999999</v>
      </c>
      <c r="BS10" s="39">
        <f t="shared" si="40"/>
        <v>455.15233609999996</v>
      </c>
      <c r="BT10" s="39"/>
      <c r="BU10" s="39"/>
      <c r="BV10" s="39">
        <f t="shared" si="41"/>
        <v>11495.428956</v>
      </c>
      <c r="BW10" s="39">
        <f t="shared" si="42"/>
        <v>11495.428956</v>
      </c>
      <c r="BX10" s="39">
        <f t="shared" si="43"/>
        <v>1251.3563154</v>
      </c>
      <c r="BY10" s="39"/>
      <c r="BZ10" s="39"/>
      <c r="CA10" s="39">
        <f t="shared" si="44"/>
        <v>4997.457036</v>
      </c>
      <c r="CB10" s="39">
        <f t="shared" si="45"/>
        <v>4997.457036</v>
      </c>
      <c r="CC10" s="39">
        <f t="shared" si="46"/>
        <v>544.0074874000001</v>
      </c>
      <c r="CD10" s="39"/>
      <c r="CE10" s="39"/>
      <c r="CF10" s="39">
        <f t="shared" si="47"/>
        <v>4362.726852</v>
      </c>
      <c r="CG10" s="39">
        <f t="shared" si="48"/>
        <v>4362.726852</v>
      </c>
      <c r="CH10" s="39">
        <f t="shared" si="49"/>
        <v>474.9127518</v>
      </c>
      <c r="CI10" s="39"/>
      <c r="CJ10" s="93"/>
      <c r="CK10" s="93">
        <f t="shared" si="50"/>
        <v>565.9626059999999</v>
      </c>
      <c r="CL10" s="93">
        <f t="shared" si="51"/>
        <v>565.9626059999999</v>
      </c>
      <c r="CM10" s="93">
        <f t="shared" si="52"/>
        <v>61.6089129</v>
      </c>
      <c r="CN10" s="39"/>
      <c r="CO10" s="39"/>
      <c r="CP10" s="39">
        <f t="shared" si="53"/>
        <v>16.325298</v>
      </c>
      <c r="CQ10" s="39">
        <f t="shared" si="54"/>
        <v>16.325298</v>
      </c>
      <c r="CR10" s="39">
        <f t="shared" si="55"/>
        <v>1.7771207</v>
      </c>
      <c r="CS10" s="39"/>
      <c r="CT10" s="39"/>
      <c r="CU10" s="39">
        <f t="shared" si="56"/>
        <v>3823.423758</v>
      </c>
      <c r="CV10" s="39">
        <f t="shared" si="57"/>
        <v>3823.423758</v>
      </c>
      <c r="CW10" s="39">
        <f t="shared" si="58"/>
        <v>416.20590969999995</v>
      </c>
      <c r="CX10" s="39"/>
      <c r="CY10" s="39"/>
      <c r="CZ10" s="39">
        <f t="shared" si="59"/>
        <v>233.20578600000002</v>
      </c>
      <c r="DA10" s="39">
        <f t="shared" si="60"/>
        <v>233.20578600000002</v>
      </c>
      <c r="DB10" s="39">
        <f t="shared" si="61"/>
        <v>25.3860499</v>
      </c>
      <c r="DC10" s="39"/>
      <c r="DD10" s="39"/>
      <c r="DE10" s="39">
        <f t="shared" si="62"/>
        <v>3956.8836779999997</v>
      </c>
      <c r="DF10" s="39">
        <f t="shared" si="63"/>
        <v>3956.8836779999997</v>
      </c>
      <c r="DG10" s="39">
        <f t="shared" si="64"/>
        <v>430.73393769999996</v>
      </c>
      <c r="DH10" s="39"/>
      <c r="DI10" s="39"/>
      <c r="DJ10" s="39">
        <f t="shared" si="65"/>
        <v>493.200972</v>
      </c>
      <c r="DK10" s="39">
        <f t="shared" si="66"/>
        <v>493.200972</v>
      </c>
      <c r="DL10" s="39">
        <f t="shared" si="67"/>
        <v>53.6883098</v>
      </c>
      <c r="DM10" s="39"/>
      <c r="DN10" s="39"/>
      <c r="DO10" s="39">
        <f t="shared" si="68"/>
        <v>212.56983000000002</v>
      </c>
      <c r="DP10" s="39">
        <f t="shared" si="69"/>
        <v>212.56983000000002</v>
      </c>
      <c r="DQ10" s="39">
        <f t="shared" si="70"/>
        <v>23.1396845</v>
      </c>
      <c r="DR10" s="39"/>
      <c r="DS10" s="39"/>
      <c r="DT10" s="39"/>
      <c r="DU10" s="39"/>
      <c r="DV10" s="39"/>
      <c r="DW10" s="39"/>
      <c r="DX10" s="56">
        <f t="shared" si="71"/>
        <v>0</v>
      </c>
      <c r="DY10" s="56">
        <f t="shared" si="72"/>
        <v>70.610364</v>
      </c>
      <c r="DZ10" s="39">
        <f t="shared" si="73"/>
        <v>70.610364</v>
      </c>
      <c r="EA10" s="39">
        <f t="shared" si="74"/>
        <v>7.6864226</v>
      </c>
      <c r="EB10" s="39"/>
      <c r="EC10" s="39">
        <f t="shared" si="75"/>
        <v>0</v>
      </c>
      <c r="ED10" s="39">
        <f t="shared" si="76"/>
        <v>158.34159</v>
      </c>
      <c r="EE10" s="39">
        <f t="shared" si="77"/>
        <v>158.34159</v>
      </c>
      <c r="EF10" s="39">
        <f t="shared" si="78"/>
        <v>17.2365685</v>
      </c>
      <c r="EG10" s="39"/>
      <c r="EH10" s="39"/>
      <c r="EI10" s="39"/>
      <c r="EJ10" s="39"/>
      <c r="EK10" s="39"/>
      <c r="EL10" s="39"/>
      <c r="EM10" s="39"/>
      <c r="EN10" s="39"/>
      <c r="EO10" s="39"/>
      <c r="EP10" s="39"/>
    </row>
    <row r="11" spans="1:146" ht="12">
      <c r="A11" s="22">
        <v>41000</v>
      </c>
      <c r="C11" s="74">
        <v>3690000</v>
      </c>
      <c r="D11" s="39">
        <v>81180</v>
      </c>
      <c r="E11" s="42">
        <f t="shared" si="0"/>
        <v>3771180</v>
      </c>
      <c r="F11" s="42">
        <v>8836</v>
      </c>
      <c r="H11" s="42">
        <f t="shared" si="1"/>
        <v>10406.907</v>
      </c>
      <c r="I11" s="48">
        <f t="shared" si="2"/>
        <v>228.951954</v>
      </c>
      <c r="J11" s="42">
        <f t="shared" si="3"/>
        <v>10635.858954</v>
      </c>
      <c r="K11" s="42">
        <f t="shared" si="4"/>
        <v>24.9201708</v>
      </c>
      <c r="M11" s="39">
        <f t="shared" si="79"/>
        <v>3679593.0929999994</v>
      </c>
      <c r="N11" s="39">
        <f t="shared" si="5"/>
        <v>80951.048046</v>
      </c>
      <c r="O11" s="39">
        <f t="shared" si="6"/>
        <v>3760544.1410459992</v>
      </c>
      <c r="P11" s="39">
        <f t="shared" si="7"/>
        <v>8811.079829199998</v>
      </c>
      <c r="R11" s="56">
        <f>C11*15.05006/100</f>
        <v>555347.214</v>
      </c>
      <c r="S11" s="56">
        <f t="shared" si="8"/>
        <v>12217.638707999999</v>
      </c>
      <c r="T11" s="39">
        <f t="shared" si="9"/>
        <v>567564.852708</v>
      </c>
      <c r="U11" s="39">
        <f t="shared" si="10"/>
        <v>1329.8233016000001</v>
      </c>
      <c r="V11" s="39"/>
      <c r="W11" s="39">
        <f>C11*16.92584/100</f>
        <v>624563.496</v>
      </c>
      <c r="X11" s="39">
        <f t="shared" si="11"/>
        <v>13740.396912</v>
      </c>
      <c r="Y11" s="39">
        <f t="shared" si="12"/>
        <v>638303.8929120001</v>
      </c>
      <c r="Z11" s="39">
        <f t="shared" si="13"/>
        <v>1495.5672224</v>
      </c>
      <c r="AA11" s="39"/>
      <c r="AB11" s="39">
        <f>C11*9.75766/100</f>
        <v>360057.654</v>
      </c>
      <c r="AC11" s="39">
        <f t="shared" si="14"/>
        <v>7921.2683879999995</v>
      </c>
      <c r="AD11" s="39">
        <f t="shared" si="15"/>
        <v>367978.922388</v>
      </c>
      <c r="AE11" s="39">
        <f t="shared" si="16"/>
        <v>862.1868376</v>
      </c>
      <c r="AF11" s="39"/>
      <c r="AG11" s="39">
        <f>C11*7.48131/100</f>
        <v>276060.339</v>
      </c>
      <c r="AH11" s="39">
        <f t="shared" si="17"/>
        <v>6073.327457999999</v>
      </c>
      <c r="AI11" s="39">
        <f t="shared" si="18"/>
        <v>282133.66645799996</v>
      </c>
      <c r="AJ11" s="39">
        <f t="shared" si="19"/>
        <v>661.0485516</v>
      </c>
      <c r="AK11" s="39"/>
      <c r="AL11" s="39">
        <f>C11*0.21612/100</f>
        <v>7974.828</v>
      </c>
      <c r="AM11" s="39">
        <f t="shared" si="20"/>
        <v>175.44621600000002</v>
      </c>
      <c r="AN11" s="39">
        <f t="shared" si="21"/>
        <v>8150.274216000001</v>
      </c>
      <c r="AO11" s="39">
        <f t="shared" si="22"/>
        <v>19.0963632</v>
      </c>
      <c r="AP11" s="39"/>
      <c r="AQ11" s="39">
        <f>C11*0.01906/100</f>
        <v>703.3140000000001</v>
      </c>
      <c r="AR11" s="39">
        <f t="shared" si="23"/>
        <v>15.472908</v>
      </c>
      <c r="AS11" s="39">
        <f t="shared" si="24"/>
        <v>718.786908</v>
      </c>
      <c r="AT11" s="39">
        <f t="shared" si="25"/>
        <v>1.6841416</v>
      </c>
      <c r="AU11" s="39"/>
      <c r="AV11" s="39">
        <f>C11*0.01369/100</f>
        <v>505.16100000000006</v>
      </c>
      <c r="AW11" s="39">
        <f t="shared" si="26"/>
        <v>11.113542</v>
      </c>
      <c r="AX11" s="39">
        <f t="shared" si="27"/>
        <v>516.2745420000001</v>
      </c>
      <c r="AY11" s="39">
        <f t="shared" si="28"/>
        <v>1.2096483999999998</v>
      </c>
      <c r="AZ11" s="39"/>
      <c r="BA11" s="39">
        <f>C11*0.23757/100</f>
        <v>8766.333</v>
      </c>
      <c r="BB11" s="39">
        <f t="shared" si="29"/>
        <v>192.859326</v>
      </c>
      <c r="BC11" s="39">
        <f t="shared" si="30"/>
        <v>8959.192326</v>
      </c>
      <c r="BD11" s="39">
        <f t="shared" si="31"/>
        <v>20.991685200000003</v>
      </c>
      <c r="BE11" s="39"/>
      <c r="BF11" s="39">
        <f>C11*5.91225/100</f>
        <v>218162.025</v>
      </c>
      <c r="BG11" s="39">
        <f t="shared" si="32"/>
        <v>4799.56455</v>
      </c>
      <c r="BH11" s="39">
        <f t="shared" si="33"/>
        <v>222961.58955</v>
      </c>
      <c r="BI11" s="39">
        <f t="shared" si="34"/>
        <v>522.40641</v>
      </c>
      <c r="BJ11" s="39"/>
      <c r="BK11" s="39">
        <f>C11*1.80534/100</f>
        <v>66617.046</v>
      </c>
      <c r="BL11" s="39">
        <f t="shared" si="35"/>
        <v>1465.575012</v>
      </c>
      <c r="BM11" s="39">
        <f t="shared" si="36"/>
        <v>68082.621012</v>
      </c>
      <c r="BN11" s="39">
        <f t="shared" si="37"/>
        <v>159.51984240000002</v>
      </c>
      <c r="BO11" s="39"/>
      <c r="BP11" s="39">
        <f>C11*5.15053/100</f>
        <v>190054.557</v>
      </c>
      <c r="BQ11" s="39">
        <f t="shared" si="38"/>
        <v>4181.200253999999</v>
      </c>
      <c r="BR11" s="39">
        <f t="shared" si="39"/>
        <v>194235.757254</v>
      </c>
      <c r="BS11" s="39">
        <f t="shared" si="40"/>
        <v>455.1008308</v>
      </c>
      <c r="BT11" s="39"/>
      <c r="BU11" s="39">
        <f>C11*14.16042/100</f>
        <v>522519.498</v>
      </c>
      <c r="BV11" s="39">
        <f t="shared" si="41"/>
        <v>11495.428956</v>
      </c>
      <c r="BW11" s="39">
        <f t="shared" si="42"/>
        <v>534014.926956</v>
      </c>
      <c r="BX11" s="39">
        <f t="shared" si="43"/>
        <v>1251.2147112</v>
      </c>
      <c r="BY11" s="39"/>
      <c r="BZ11" s="39">
        <f>C11*6.15602/100</f>
        <v>227157.138</v>
      </c>
      <c r="CA11" s="39">
        <f t="shared" si="44"/>
        <v>4997.457036</v>
      </c>
      <c r="CB11" s="39">
        <f t="shared" si="45"/>
        <v>232154.595036</v>
      </c>
      <c r="CC11" s="39">
        <f t="shared" si="46"/>
        <v>543.9459272</v>
      </c>
      <c r="CD11" s="39"/>
      <c r="CE11" s="39">
        <f>C11*5.37414/100</f>
        <v>198305.76599999997</v>
      </c>
      <c r="CF11" s="39">
        <f t="shared" si="47"/>
        <v>4362.726852</v>
      </c>
      <c r="CG11" s="39">
        <f t="shared" si="48"/>
        <v>202668.49285199997</v>
      </c>
      <c r="CH11" s="39">
        <f t="shared" si="49"/>
        <v>474.8590104</v>
      </c>
      <c r="CI11" s="39"/>
      <c r="CJ11" s="93">
        <f>C11*0.69717/100</f>
        <v>25725.572999999997</v>
      </c>
      <c r="CK11" s="93">
        <f t="shared" si="50"/>
        <v>565.9626059999999</v>
      </c>
      <c r="CL11" s="93">
        <f t="shared" si="51"/>
        <v>26291.535605999998</v>
      </c>
      <c r="CM11" s="93">
        <f t="shared" si="52"/>
        <v>61.6019412</v>
      </c>
      <c r="CN11" s="39"/>
      <c r="CO11" s="39">
        <f>C11*0.02011/100</f>
        <v>742.059</v>
      </c>
      <c r="CP11" s="39">
        <f t="shared" si="53"/>
        <v>16.325298</v>
      </c>
      <c r="CQ11" s="39">
        <f t="shared" si="54"/>
        <v>758.384298</v>
      </c>
      <c r="CR11" s="39">
        <f t="shared" si="55"/>
        <v>1.7769196</v>
      </c>
      <c r="CS11" s="39"/>
      <c r="CT11" s="39">
        <f>C11*4.70981/100</f>
        <v>173791.98899999997</v>
      </c>
      <c r="CU11" s="39">
        <f t="shared" si="56"/>
        <v>3823.423758</v>
      </c>
      <c r="CV11" s="39">
        <f t="shared" si="57"/>
        <v>177615.41275799996</v>
      </c>
      <c r="CW11" s="39">
        <f t="shared" si="58"/>
        <v>416.1588116</v>
      </c>
      <c r="CX11" s="39"/>
      <c r="CY11" s="39">
        <f>C11*0.28727/100</f>
        <v>10600.263</v>
      </c>
      <c r="CZ11" s="39">
        <f t="shared" si="59"/>
        <v>233.20578600000002</v>
      </c>
      <c r="DA11" s="39">
        <f t="shared" si="60"/>
        <v>10833.468786000001</v>
      </c>
      <c r="DB11" s="39">
        <f t="shared" si="61"/>
        <v>25.383177200000002</v>
      </c>
      <c r="DC11" s="39"/>
      <c r="DD11" s="39">
        <f>C11*4.87421/100</f>
        <v>179858.349</v>
      </c>
      <c r="DE11" s="39">
        <f t="shared" si="62"/>
        <v>3956.8836779999997</v>
      </c>
      <c r="DF11" s="39">
        <f t="shared" si="63"/>
        <v>183815.232678</v>
      </c>
      <c r="DG11" s="39">
        <f t="shared" si="64"/>
        <v>430.6851956</v>
      </c>
      <c r="DH11" s="39"/>
      <c r="DI11" s="39">
        <f>C11*0.60754/100</f>
        <v>22418.226000000002</v>
      </c>
      <c r="DJ11" s="39">
        <f t="shared" si="65"/>
        <v>493.200972</v>
      </c>
      <c r="DK11" s="39">
        <f t="shared" si="66"/>
        <v>22911.426972</v>
      </c>
      <c r="DL11" s="39">
        <f t="shared" si="67"/>
        <v>53.6822344</v>
      </c>
      <c r="DM11" s="39"/>
      <c r="DN11" s="39">
        <f>C11*0.26185/100</f>
        <v>9662.265000000001</v>
      </c>
      <c r="DO11" s="39">
        <f t="shared" si="68"/>
        <v>212.56983000000002</v>
      </c>
      <c r="DP11" s="39">
        <f t="shared" si="69"/>
        <v>9874.834830000002</v>
      </c>
      <c r="DQ11" s="39">
        <f t="shared" si="70"/>
        <v>23.137066</v>
      </c>
      <c r="DR11" s="39"/>
      <c r="DS11" s="39"/>
      <c r="DT11" s="39"/>
      <c r="DU11" s="39"/>
      <c r="DV11" s="39"/>
      <c r="DW11" s="39"/>
      <c r="DX11" s="56">
        <f t="shared" si="71"/>
        <v>3209.562</v>
      </c>
      <c r="DY11" s="56">
        <f t="shared" si="72"/>
        <v>70.610364</v>
      </c>
      <c r="DZ11" s="39">
        <f t="shared" si="73"/>
        <v>3280.172364</v>
      </c>
      <c r="EA11" s="39">
        <f t="shared" si="74"/>
        <v>7.6855528</v>
      </c>
      <c r="EB11" s="39"/>
      <c r="EC11" s="39">
        <f t="shared" si="75"/>
        <v>7197.345</v>
      </c>
      <c r="ED11" s="39">
        <f t="shared" si="76"/>
        <v>158.34159</v>
      </c>
      <c r="EE11" s="39">
        <f t="shared" si="77"/>
        <v>7355.68659</v>
      </c>
      <c r="EF11" s="39">
        <f t="shared" si="78"/>
        <v>17.234618</v>
      </c>
      <c r="EG11" s="39"/>
      <c r="EH11" s="39"/>
      <c r="EI11" s="39"/>
      <c r="EJ11" s="39"/>
      <c r="EK11" s="39"/>
      <c r="EL11" s="39"/>
      <c r="EM11" s="39"/>
      <c r="EN11" s="39"/>
      <c r="EO11" s="39"/>
      <c r="EP11" s="39"/>
    </row>
    <row r="12" spans="1:146" ht="12">
      <c r="A12" s="22">
        <v>41183</v>
      </c>
      <c r="C12" s="39"/>
      <c r="D12" s="39"/>
      <c r="E12" s="42">
        <f t="shared" si="0"/>
        <v>0</v>
      </c>
      <c r="H12" s="42">
        <f t="shared" si="1"/>
        <v>0</v>
      </c>
      <c r="I12" s="48">
        <f t="shared" si="2"/>
        <v>0</v>
      </c>
      <c r="J12" s="42">
        <f t="shared" si="3"/>
        <v>0</v>
      </c>
      <c r="K12" s="42">
        <f t="shared" si="4"/>
        <v>0</v>
      </c>
      <c r="M12" s="39"/>
      <c r="N12" s="39">
        <f t="shared" si="5"/>
        <v>0</v>
      </c>
      <c r="O12" s="39">
        <f t="shared" si="6"/>
        <v>0</v>
      </c>
      <c r="P12" s="39">
        <f t="shared" si="7"/>
        <v>0</v>
      </c>
      <c r="R12" s="56"/>
      <c r="S12" s="56">
        <f t="shared" si="8"/>
        <v>0</v>
      </c>
      <c r="T12" s="39">
        <f t="shared" si="9"/>
        <v>0</v>
      </c>
      <c r="U12" s="39">
        <f t="shared" si="10"/>
        <v>0</v>
      </c>
      <c r="V12" s="39"/>
      <c r="W12" s="39"/>
      <c r="X12" s="39">
        <f t="shared" si="11"/>
        <v>0</v>
      </c>
      <c r="Y12" s="39">
        <f t="shared" si="12"/>
        <v>0</v>
      </c>
      <c r="Z12" s="39">
        <f t="shared" si="13"/>
        <v>0</v>
      </c>
      <c r="AA12" s="39"/>
      <c r="AB12" s="39"/>
      <c r="AC12" s="39">
        <f t="shared" si="14"/>
        <v>0</v>
      </c>
      <c r="AD12" s="39">
        <f t="shared" si="15"/>
        <v>0</v>
      </c>
      <c r="AE12" s="39">
        <f t="shared" si="16"/>
        <v>0</v>
      </c>
      <c r="AF12" s="39"/>
      <c r="AG12" s="39"/>
      <c r="AH12" s="39">
        <f t="shared" si="17"/>
        <v>0</v>
      </c>
      <c r="AI12" s="39">
        <f t="shared" si="18"/>
        <v>0</v>
      </c>
      <c r="AJ12" s="39">
        <f t="shared" si="19"/>
        <v>0</v>
      </c>
      <c r="AK12" s="39"/>
      <c r="AL12" s="39"/>
      <c r="AM12" s="39">
        <f t="shared" si="20"/>
        <v>0</v>
      </c>
      <c r="AN12" s="39">
        <f t="shared" si="21"/>
        <v>0</v>
      </c>
      <c r="AO12" s="39">
        <f t="shared" si="22"/>
        <v>0</v>
      </c>
      <c r="AP12" s="39"/>
      <c r="AQ12" s="39"/>
      <c r="AR12" s="39">
        <f t="shared" si="23"/>
        <v>0</v>
      </c>
      <c r="AS12" s="39">
        <f t="shared" si="24"/>
        <v>0</v>
      </c>
      <c r="AT12" s="39">
        <f t="shared" si="25"/>
        <v>0</v>
      </c>
      <c r="AU12" s="39"/>
      <c r="AV12" s="39"/>
      <c r="AW12" s="39">
        <f t="shared" si="26"/>
        <v>0</v>
      </c>
      <c r="AX12" s="39">
        <f t="shared" si="27"/>
        <v>0</v>
      </c>
      <c r="AY12" s="39">
        <f t="shared" si="28"/>
        <v>0</v>
      </c>
      <c r="AZ12" s="39"/>
      <c r="BA12" s="39"/>
      <c r="BB12" s="39">
        <f t="shared" si="29"/>
        <v>0</v>
      </c>
      <c r="BC12" s="39">
        <f t="shared" si="30"/>
        <v>0</v>
      </c>
      <c r="BD12" s="39">
        <f t="shared" si="31"/>
        <v>0</v>
      </c>
      <c r="BE12" s="39"/>
      <c r="BF12" s="39"/>
      <c r="BG12" s="39">
        <f t="shared" si="32"/>
        <v>0</v>
      </c>
      <c r="BH12" s="39">
        <f t="shared" si="33"/>
        <v>0</v>
      </c>
      <c r="BI12" s="39">
        <f t="shared" si="34"/>
        <v>0</v>
      </c>
      <c r="BJ12" s="39"/>
      <c r="BK12" s="39"/>
      <c r="BL12" s="39">
        <f t="shared" si="35"/>
        <v>0</v>
      </c>
      <c r="BM12" s="39">
        <f t="shared" si="36"/>
        <v>0</v>
      </c>
      <c r="BN12" s="39">
        <f t="shared" si="37"/>
        <v>0</v>
      </c>
      <c r="BO12" s="39"/>
      <c r="BP12" s="39"/>
      <c r="BQ12" s="39">
        <f t="shared" si="38"/>
        <v>0</v>
      </c>
      <c r="BR12" s="39">
        <f t="shared" si="39"/>
        <v>0</v>
      </c>
      <c r="BS12" s="39">
        <f t="shared" si="40"/>
        <v>0</v>
      </c>
      <c r="BT12" s="39"/>
      <c r="BU12" s="39"/>
      <c r="BV12" s="39">
        <f t="shared" si="41"/>
        <v>0</v>
      </c>
      <c r="BW12" s="39">
        <f t="shared" si="42"/>
        <v>0</v>
      </c>
      <c r="BX12" s="39">
        <f t="shared" si="43"/>
        <v>0</v>
      </c>
      <c r="BY12" s="39"/>
      <c r="BZ12" s="39"/>
      <c r="CA12" s="39">
        <f t="shared" si="44"/>
        <v>0</v>
      </c>
      <c r="CB12" s="39">
        <f t="shared" si="45"/>
        <v>0</v>
      </c>
      <c r="CC12" s="39">
        <f t="shared" si="46"/>
        <v>0</v>
      </c>
      <c r="CD12" s="39"/>
      <c r="CE12" s="39"/>
      <c r="CF12" s="39">
        <f t="shared" si="47"/>
        <v>0</v>
      </c>
      <c r="CG12" s="39">
        <f t="shared" si="48"/>
        <v>0</v>
      </c>
      <c r="CH12" s="39">
        <f t="shared" si="49"/>
        <v>0</v>
      </c>
      <c r="CI12" s="39"/>
      <c r="CJ12" s="93"/>
      <c r="CK12" s="93">
        <f t="shared" si="50"/>
        <v>0</v>
      </c>
      <c r="CL12" s="93">
        <f t="shared" si="51"/>
        <v>0</v>
      </c>
      <c r="CM12" s="93">
        <f t="shared" si="52"/>
        <v>0</v>
      </c>
      <c r="CN12" s="39"/>
      <c r="CO12" s="39"/>
      <c r="CP12" s="39">
        <f t="shared" si="53"/>
        <v>0</v>
      </c>
      <c r="CQ12" s="39">
        <f t="shared" si="54"/>
        <v>0</v>
      </c>
      <c r="CR12" s="39">
        <f t="shared" si="55"/>
        <v>0</v>
      </c>
      <c r="CS12" s="39"/>
      <c r="CT12" s="39"/>
      <c r="CU12" s="39">
        <f t="shared" si="56"/>
        <v>0</v>
      </c>
      <c r="CV12" s="39">
        <f t="shared" si="57"/>
        <v>0</v>
      </c>
      <c r="CW12" s="39">
        <f t="shared" si="58"/>
        <v>0</v>
      </c>
      <c r="CX12" s="39"/>
      <c r="CY12" s="39"/>
      <c r="CZ12" s="39">
        <f t="shared" si="59"/>
        <v>0</v>
      </c>
      <c r="DA12" s="39">
        <f t="shared" si="60"/>
        <v>0</v>
      </c>
      <c r="DB12" s="39">
        <f t="shared" si="61"/>
        <v>0</v>
      </c>
      <c r="DC12" s="39"/>
      <c r="DD12" s="39"/>
      <c r="DE12" s="39">
        <f t="shared" si="62"/>
        <v>0</v>
      </c>
      <c r="DF12" s="39">
        <f t="shared" si="63"/>
        <v>0</v>
      </c>
      <c r="DG12" s="39">
        <f t="shared" si="64"/>
        <v>0</v>
      </c>
      <c r="DH12" s="39"/>
      <c r="DI12" s="39"/>
      <c r="DJ12" s="39">
        <f t="shared" si="65"/>
        <v>0</v>
      </c>
      <c r="DK12" s="39">
        <f t="shared" si="66"/>
        <v>0</v>
      </c>
      <c r="DL12" s="39">
        <f t="shared" si="67"/>
        <v>0</v>
      </c>
      <c r="DM12" s="39"/>
      <c r="DN12" s="39"/>
      <c r="DO12" s="39">
        <f t="shared" si="68"/>
        <v>0</v>
      </c>
      <c r="DP12" s="39">
        <f t="shared" si="69"/>
        <v>0</v>
      </c>
      <c r="DQ12" s="39">
        <f t="shared" si="70"/>
        <v>0</v>
      </c>
      <c r="DR12" s="39"/>
      <c r="DS12" s="39"/>
      <c r="DT12" s="39"/>
      <c r="DU12" s="39"/>
      <c r="DV12" s="39"/>
      <c r="DW12" s="39"/>
      <c r="DX12" s="56">
        <f t="shared" si="71"/>
        <v>0</v>
      </c>
      <c r="DY12" s="56">
        <f t="shared" si="72"/>
        <v>0</v>
      </c>
      <c r="DZ12" s="39">
        <f t="shared" si="73"/>
        <v>0</v>
      </c>
      <c r="EA12" s="39">
        <f t="shared" si="74"/>
        <v>0</v>
      </c>
      <c r="EB12" s="39"/>
      <c r="EC12" s="39">
        <f t="shared" si="75"/>
        <v>0</v>
      </c>
      <c r="ED12" s="39">
        <f t="shared" si="76"/>
        <v>0</v>
      </c>
      <c r="EE12" s="39">
        <f t="shared" si="77"/>
        <v>0</v>
      </c>
      <c r="EF12" s="39">
        <f t="shared" si="78"/>
        <v>0</v>
      </c>
      <c r="EG12" s="39"/>
      <c r="EH12" s="39"/>
      <c r="EI12" s="39"/>
      <c r="EJ12" s="39"/>
      <c r="EK12" s="39"/>
      <c r="EL12" s="39"/>
      <c r="EM12" s="39"/>
      <c r="EN12" s="39"/>
      <c r="EO12" s="39"/>
      <c r="EP12" s="39"/>
    </row>
    <row r="13" spans="1:146" ht="12">
      <c r="A13" s="22">
        <v>41365</v>
      </c>
      <c r="C13" s="39"/>
      <c r="D13" s="39"/>
      <c r="E13" s="42">
        <f t="shared" si="0"/>
        <v>0</v>
      </c>
      <c r="H13" s="42">
        <f t="shared" si="1"/>
        <v>0</v>
      </c>
      <c r="I13" s="48">
        <f t="shared" si="2"/>
        <v>0</v>
      </c>
      <c r="J13" s="42">
        <f t="shared" si="3"/>
        <v>0</v>
      </c>
      <c r="K13" s="42">
        <f t="shared" si="4"/>
        <v>0</v>
      </c>
      <c r="M13" s="39">
        <f t="shared" si="79"/>
        <v>0</v>
      </c>
      <c r="N13" s="39">
        <f t="shared" si="5"/>
        <v>0</v>
      </c>
      <c r="O13" s="39">
        <f t="shared" si="6"/>
        <v>0</v>
      </c>
      <c r="P13" s="39">
        <f t="shared" si="7"/>
        <v>0</v>
      </c>
      <c r="R13" s="56">
        <f>C13*15.05006/100</f>
        <v>0</v>
      </c>
      <c r="S13" s="56">
        <f t="shared" si="8"/>
        <v>0</v>
      </c>
      <c r="T13" s="39">
        <f t="shared" si="9"/>
        <v>0</v>
      </c>
      <c r="U13" s="39">
        <f t="shared" si="10"/>
        <v>0</v>
      </c>
      <c r="V13" s="39"/>
      <c r="W13" s="39">
        <f>C13*16.92584/100</f>
        <v>0</v>
      </c>
      <c r="X13" s="39">
        <f t="shared" si="11"/>
        <v>0</v>
      </c>
      <c r="Y13" s="39">
        <f t="shared" si="12"/>
        <v>0</v>
      </c>
      <c r="Z13" s="39">
        <f t="shared" si="13"/>
        <v>0</v>
      </c>
      <c r="AA13" s="39"/>
      <c r="AB13" s="39">
        <f>C13*9.75766/100</f>
        <v>0</v>
      </c>
      <c r="AC13" s="39">
        <f t="shared" si="14"/>
        <v>0</v>
      </c>
      <c r="AD13" s="39">
        <f t="shared" si="15"/>
        <v>0</v>
      </c>
      <c r="AE13" s="39">
        <f t="shared" si="16"/>
        <v>0</v>
      </c>
      <c r="AF13" s="39"/>
      <c r="AG13" s="39">
        <f>C13*7.48131/100</f>
        <v>0</v>
      </c>
      <c r="AH13" s="39">
        <f t="shared" si="17"/>
        <v>0</v>
      </c>
      <c r="AI13" s="39">
        <f t="shared" si="18"/>
        <v>0</v>
      </c>
      <c r="AJ13" s="39">
        <f t="shared" si="19"/>
        <v>0</v>
      </c>
      <c r="AK13" s="39"/>
      <c r="AL13" s="39">
        <f>C13*0.21612/100</f>
        <v>0</v>
      </c>
      <c r="AM13" s="39">
        <f t="shared" si="20"/>
        <v>0</v>
      </c>
      <c r="AN13" s="39">
        <f t="shared" si="21"/>
        <v>0</v>
      </c>
      <c r="AO13" s="39">
        <f t="shared" si="22"/>
        <v>0</v>
      </c>
      <c r="AP13" s="39"/>
      <c r="AQ13" s="39">
        <f>C13*0.01906/100</f>
        <v>0</v>
      </c>
      <c r="AR13" s="39">
        <f t="shared" si="23"/>
        <v>0</v>
      </c>
      <c r="AS13" s="39">
        <f t="shared" si="24"/>
        <v>0</v>
      </c>
      <c r="AT13" s="39">
        <f t="shared" si="25"/>
        <v>0</v>
      </c>
      <c r="AU13" s="39"/>
      <c r="AV13" s="39">
        <f>C13*0.01369/100</f>
        <v>0</v>
      </c>
      <c r="AW13" s="39">
        <f t="shared" si="26"/>
        <v>0</v>
      </c>
      <c r="AX13" s="39">
        <f t="shared" si="27"/>
        <v>0</v>
      </c>
      <c r="AY13" s="39">
        <f t="shared" si="28"/>
        <v>0</v>
      </c>
      <c r="AZ13" s="39"/>
      <c r="BA13" s="39">
        <f>C13*0.23757/100</f>
        <v>0</v>
      </c>
      <c r="BB13" s="39">
        <f t="shared" si="29"/>
        <v>0</v>
      </c>
      <c r="BC13" s="39">
        <f t="shared" si="30"/>
        <v>0</v>
      </c>
      <c r="BD13" s="39">
        <f t="shared" si="31"/>
        <v>0</v>
      </c>
      <c r="BE13" s="39"/>
      <c r="BF13" s="39">
        <f>C13*5.91225/100</f>
        <v>0</v>
      </c>
      <c r="BG13" s="39">
        <f t="shared" si="32"/>
        <v>0</v>
      </c>
      <c r="BH13" s="39">
        <f t="shared" si="33"/>
        <v>0</v>
      </c>
      <c r="BI13" s="39">
        <f t="shared" si="34"/>
        <v>0</v>
      </c>
      <c r="BJ13" s="39"/>
      <c r="BK13" s="39">
        <f>C13*1.80534/100</f>
        <v>0</v>
      </c>
      <c r="BL13" s="39">
        <f t="shared" si="35"/>
        <v>0</v>
      </c>
      <c r="BM13" s="39">
        <f t="shared" si="36"/>
        <v>0</v>
      </c>
      <c r="BN13" s="39">
        <f t="shared" si="37"/>
        <v>0</v>
      </c>
      <c r="BO13" s="39"/>
      <c r="BP13" s="39">
        <f>C13*5.15053/100</f>
        <v>0</v>
      </c>
      <c r="BQ13" s="39">
        <f t="shared" si="38"/>
        <v>0</v>
      </c>
      <c r="BR13" s="39">
        <f t="shared" si="39"/>
        <v>0</v>
      </c>
      <c r="BS13" s="39">
        <f t="shared" si="40"/>
        <v>0</v>
      </c>
      <c r="BT13" s="39"/>
      <c r="BU13" s="39">
        <f>C13*14.16042/100</f>
        <v>0</v>
      </c>
      <c r="BV13" s="39">
        <f t="shared" si="41"/>
        <v>0</v>
      </c>
      <c r="BW13" s="39">
        <f t="shared" si="42"/>
        <v>0</v>
      </c>
      <c r="BX13" s="39">
        <f t="shared" si="43"/>
        <v>0</v>
      </c>
      <c r="BY13" s="39"/>
      <c r="BZ13" s="39">
        <f>C13*6.15602/100</f>
        <v>0</v>
      </c>
      <c r="CA13" s="39">
        <f t="shared" si="44"/>
        <v>0</v>
      </c>
      <c r="CB13" s="39">
        <f t="shared" si="45"/>
        <v>0</v>
      </c>
      <c r="CC13" s="39">
        <f t="shared" si="46"/>
        <v>0</v>
      </c>
      <c r="CD13" s="39"/>
      <c r="CE13" s="39">
        <f>C13*5.37414/100</f>
        <v>0</v>
      </c>
      <c r="CF13" s="39">
        <f t="shared" si="47"/>
        <v>0</v>
      </c>
      <c r="CG13" s="39">
        <f t="shared" si="48"/>
        <v>0</v>
      </c>
      <c r="CH13" s="39">
        <f t="shared" si="49"/>
        <v>0</v>
      </c>
      <c r="CI13" s="39"/>
      <c r="CJ13" s="93">
        <f>C13*0.69717/100</f>
        <v>0</v>
      </c>
      <c r="CK13" s="93">
        <f t="shared" si="50"/>
        <v>0</v>
      </c>
      <c r="CL13" s="93">
        <f t="shared" si="51"/>
        <v>0</v>
      </c>
      <c r="CM13" s="93">
        <f t="shared" si="52"/>
        <v>0</v>
      </c>
      <c r="CN13" s="39"/>
      <c r="CO13" s="39">
        <f>C13*0.02011/100</f>
        <v>0</v>
      </c>
      <c r="CP13" s="39">
        <f t="shared" si="53"/>
        <v>0</v>
      </c>
      <c r="CQ13" s="39">
        <f t="shared" si="54"/>
        <v>0</v>
      </c>
      <c r="CR13" s="39">
        <f t="shared" si="55"/>
        <v>0</v>
      </c>
      <c r="CS13" s="39"/>
      <c r="CT13" s="39">
        <f>C13*4.70981/100</f>
        <v>0</v>
      </c>
      <c r="CU13" s="39">
        <f t="shared" si="56"/>
        <v>0</v>
      </c>
      <c r="CV13" s="39">
        <f t="shared" si="57"/>
        <v>0</v>
      </c>
      <c r="CW13" s="39">
        <f t="shared" si="58"/>
        <v>0</v>
      </c>
      <c r="CX13" s="39"/>
      <c r="CY13" s="39">
        <f>C13*0.28727/100</f>
        <v>0</v>
      </c>
      <c r="CZ13" s="39">
        <f t="shared" si="59"/>
        <v>0</v>
      </c>
      <c r="DA13" s="39">
        <f t="shared" si="60"/>
        <v>0</v>
      </c>
      <c r="DB13" s="39">
        <f t="shared" si="61"/>
        <v>0</v>
      </c>
      <c r="DC13" s="39"/>
      <c r="DD13" s="39">
        <f>C13*4.87421/100</f>
        <v>0</v>
      </c>
      <c r="DE13" s="39">
        <f t="shared" si="62"/>
        <v>0</v>
      </c>
      <c r="DF13" s="39">
        <f t="shared" si="63"/>
        <v>0</v>
      </c>
      <c r="DG13" s="39">
        <f t="shared" si="64"/>
        <v>0</v>
      </c>
      <c r="DH13" s="39"/>
      <c r="DI13" s="39">
        <f>C13*0.60754/100</f>
        <v>0</v>
      </c>
      <c r="DJ13" s="39">
        <f t="shared" si="65"/>
        <v>0</v>
      </c>
      <c r="DK13" s="39">
        <f t="shared" si="66"/>
        <v>0</v>
      </c>
      <c r="DL13" s="39">
        <f t="shared" si="67"/>
        <v>0</v>
      </c>
      <c r="DM13" s="39"/>
      <c r="DN13" s="39">
        <f>C13*0.26185/100</f>
        <v>0</v>
      </c>
      <c r="DO13" s="39">
        <f t="shared" si="68"/>
        <v>0</v>
      </c>
      <c r="DP13" s="39">
        <f t="shared" si="69"/>
        <v>0</v>
      </c>
      <c r="DQ13" s="39">
        <f t="shared" si="70"/>
        <v>0</v>
      </c>
      <c r="DR13" s="39"/>
      <c r="DS13" s="39"/>
      <c r="DT13" s="39"/>
      <c r="DU13" s="39"/>
      <c r="DV13" s="39"/>
      <c r="DW13" s="39"/>
      <c r="DX13" s="56">
        <f t="shared" si="71"/>
        <v>0</v>
      </c>
      <c r="DY13" s="56">
        <f t="shared" si="72"/>
        <v>0</v>
      </c>
      <c r="DZ13" s="39">
        <f t="shared" si="73"/>
        <v>0</v>
      </c>
      <c r="EA13" s="39">
        <f t="shared" si="74"/>
        <v>0</v>
      </c>
      <c r="EB13" s="39"/>
      <c r="EC13" s="39">
        <f t="shared" si="75"/>
        <v>0</v>
      </c>
      <c r="ED13" s="39">
        <f t="shared" si="76"/>
        <v>0</v>
      </c>
      <c r="EE13" s="39">
        <f t="shared" si="77"/>
        <v>0</v>
      </c>
      <c r="EF13" s="39">
        <f t="shared" si="78"/>
        <v>0</v>
      </c>
      <c r="EG13" s="39"/>
      <c r="EH13" s="39"/>
      <c r="EI13" s="39"/>
      <c r="EJ13" s="39"/>
      <c r="EK13" s="39"/>
      <c r="EL13" s="39"/>
      <c r="EM13" s="39"/>
      <c r="EN13" s="39"/>
      <c r="EO13" s="39"/>
      <c r="EP13" s="39"/>
    </row>
    <row r="14" spans="1:146" ht="12">
      <c r="A14" s="22">
        <v>41548</v>
      </c>
      <c r="C14" s="39"/>
      <c r="D14" s="39"/>
      <c r="E14" s="42">
        <f t="shared" si="0"/>
        <v>0</v>
      </c>
      <c r="H14" s="42">
        <f t="shared" si="1"/>
        <v>0</v>
      </c>
      <c r="I14" s="48">
        <f t="shared" si="2"/>
        <v>0</v>
      </c>
      <c r="J14" s="42">
        <f t="shared" si="3"/>
        <v>0</v>
      </c>
      <c r="K14" s="42">
        <f t="shared" si="4"/>
        <v>0</v>
      </c>
      <c r="M14" s="39"/>
      <c r="N14" s="39">
        <f t="shared" si="5"/>
        <v>0</v>
      </c>
      <c r="O14" s="39">
        <f t="shared" si="6"/>
        <v>0</v>
      </c>
      <c r="P14" s="39">
        <f t="shared" si="7"/>
        <v>0</v>
      </c>
      <c r="R14" s="56"/>
      <c r="S14" s="56">
        <f t="shared" si="8"/>
        <v>0</v>
      </c>
      <c r="T14" s="39">
        <f t="shared" si="9"/>
        <v>0</v>
      </c>
      <c r="U14" s="39">
        <f t="shared" si="10"/>
        <v>0</v>
      </c>
      <c r="V14" s="39"/>
      <c r="W14" s="39"/>
      <c r="X14" s="39">
        <f t="shared" si="11"/>
        <v>0</v>
      </c>
      <c r="Y14" s="39">
        <f t="shared" si="12"/>
        <v>0</v>
      </c>
      <c r="Z14" s="39">
        <f t="shared" si="13"/>
        <v>0</v>
      </c>
      <c r="AA14" s="39"/>
      <c r="AB14" s="39"/>
      <c r="AC14" s="39">
        <f t="shared" si="14"/>
        <v>0</v>
      </c>
      <c r="AD14" s="39">
        <f t="shared" si="15"/>
        <v>0</v>
      </c>
      <c r="AE14" s="39">
        <f t="shared" si="16"/>
        <v>0</v>
      </c>
      <c r="AF14" s="39"/>
      <c r="AG14" s="39"/>
      <c r="AH14" s="39">
        <f t="shared" si="17"/>
        <v>0</v>
      </c>
      <c r="AI14" s="39">
        <f t="shared" si="18"/>
        <v>0</v>
      </c>
      <c r="AJ14" s="39">
        <f t="shared" si="19"/>
        <v>0</v>
      </c>
      <c r="AK14" s="39"/>
      <c r="AL14" s="39"/>
      <c r="AM14" s="39">
        <f t="shared" si="20"/>
        <v>0</v>
      </c>
      <c r="AN14" s="39">
        <f t="shared" si="21"/>
        <v>0</v>
      </c>
      <c r="AO14" s="39">
        <f t="shared" si="22"/>
        <v>0</v>
      </c>
      <c r="AP14" s="39"/>
      <c r="AQ14" s="39"/>
      <c r="AR14" s="39">
        <f t="shared" si="23"/>
        <v>0</v>
      </c>
      <c r="AS14" s="39">
        <f t="shared" si="24"/>
        <v>0</v>
      </c>
      <c r="AT14" s="39">
        <f t="shared" si="25"/>
        <v>0</v>
      </c>
      <c r="AU14" s="39"/>
      <c r="AV14" s="39"/>
      <c r="AW14" s="39">
        <f t="shared" si="26"/>
        <v>0</v>
      </c>
      <c r="AX14" s="39">
        <f t="shared" si="27"/>
        <v>0</v>
      </c>
      <c r="AY14" s="39">
        <f t="shared" si="28"/>
        <v>0</v>
      </c>
      <c r="AZ14" s="39"/>
      <c r="BA14" s="39"/>
      <c r="BB14" s="39">
        <f t="shared" si="29"/>
        <v>0</v>
      </c>
      <c r="BC14" s="39">
        <f t="shared" si="30"/>
        <v>0</v>
      </c>
      <c r="BD14" s="39">
        <f t="shared" si="31"/>
        <v>0</v>
      </c>
      <c r="BE14" s="39"/>
      <c r="BF14" s="39"/>
      <c r="BG14" s="39">
        <f t="shared" si="32"/>
        <v>0</v>
      </c>
      <c r="BH14" s="39">
        <f t="shared" si="33"/>
        <v>0</v>
      </c>
      <c r="BI14" s="39">
        <f t="shared" si="34"/>
        <v>0</v>
      </c>
      <c r="BJ14" s="39"/>
      <c r="BK14" s="39"/>
      <c r="BL14" s="39">
        <f t="shared" si="35"/>
        <v>0</v>
      </c>
      <c r="BM14" s="39">
        <f t="shared" si="36"/>
        <v>0</v>
      </c>
      <c r="BN14" s="39">
        <f t="shared" si="37"/>
        <v>0</v>
      </c>
      <c r="BO14" s="39"/>
      <c r="BP14" s="39"/>
      <c r="BQ14" s="39">
        <f t="shared" si="38"/>
        <v>0</v>
      </c>
      <c r="BR14" s="39">
        <f t="shared" si="39"/>
        <v>0</v>
      </c>
      <c r="BS14" s="39">
        <f t="shared" si="40"/>
        <v>0</v>
      </c>
      <c r="BT14" s="39"/>
      <c r="BU14" s="39"/>
      <c r="BV14" s="39">
        <f t="shared" si="41"/>
        <v>0</v>
      </c>
      <c r="BW14" s="39">
        <f t="shared" si="42"/>
        <v>0</v>
      </c>
      <c r="BX14" s="39">
        <f t="shared" si="43"/>
        <v>0</v>
      </c>
      <c r="BY14" s="39"/>
      <c r="BZ14" s="39"/>
      <c r="CA14" s="39">
        <f t="shared" si="44"/>
        <v>0</v>
      </c>
      <c r="CB14" s="39">
        <f t="shared" si="45"/>
        <v>0</v>
      </c>
      <c r="CC14" s="39">
        <f t="shared" si="46"/>
        <v>0</v>
      </c>
      <c r="CD14" s="39"/>
      <c r="CE14" s="39"/>
      <c r="CF14" s="39">
        <f t="shared" si="47"/>
        <v>0</v>
      </c>
      <c r="CG14" s="39">
        <f t="shared" si="48"/>
        <v>0</v>
      </c>
      <c r="CH14" s="39">
        <f t="shared" si="49"/>
        <v>0</v>
      </c>
      <c r="CI14" s="39"/>
      <c r="CJ14" s="93"/>
      <c r="CK14" s="93">
        <f t="shared" si="50"/>
        <v>0</v>
      </c>
      <c r="CL14" s="93">
        <f t="shared" si="51"/>
        <v>0</v>
      </c>
      <c r="CM14" s="93">
        <f t="shared" si="52"/>
        <v>0</v>
      </c>
      <c r="CN14" s="39"/>
      <c r="CO14" s="39"/>
      <c r="CP14" s="39">
        <f t="shared" si="53"/>
        <v>0</v>
      </c>
      <c r="CQ14" s="39">
        <f t="shared" si="54"/>
        <v>0</v>
      </c>
      <c r="CR14" s="39">
        <f t="shared" si="55"/>
        <v>0</v>
      </c>
      <c r="CS14" s="39"/>
      <c r="CT14" s="39"/>
      <c r="CU14" s="39">
        <f t="shared" si="56"/>
        <v>0</v>
      </c>
      <c r="CV14" s="39">
        <f t="shared" si="57"/>
        <v>0</v>
      </c>
      <c r="CW14" s="39">
        <f t="shared" si="58"/>
        <v>0</v>
      </c>
      <c r="CX14" s="39"/>
      <c r="CY14" s="39"/>
      <c r="CZ14" s="39">
        <f t="shared" si="59"/>
        <v>0</v>
      </c>
      <c r="DA14" s="39">
        <f t="shared" si="60"/>
        <v>0</v>
      </c>
      <c r="DB14" s="39">
        <f t="shared" si="61"/>
        <v>0</v>
      </c>
      <c r="DC14" s="39"/>
      <c r="DD14" s="39"/>
      <c r="DE14" s="39">
        <f t="shared" si="62"/>
        <v>0</v>
      </c>
      <c r="DF14" s="39">
        <f t="shared" si="63"/>
        <v>0</v>
      </c>
      <c r="DG14" s="39">
        <f t="shared" si="64"/>
        <v>0</v>
      </c>
      <c r="DH14" s="39"/>
      <c r="DI14" s="39"/>
      <c r="DJ14" s="39">
        <f t="shared" si="65"/>
        <v>0</v>
      </c>
      <c r="DK14" s="39">
        <f t="shared" si="66"/>
        <v>0</v>
      </c>
      <c r="DL14" s="39">
        <f t="shared" si="67"/>
        <v>0</v>
      </c>
      <c r="DM14" s="39"/>
      <c r="DN14" s="39"/>
      <c r="DO14" s="39">
        <f t="shared" si="68"/>
        <v>0</v>
      </c>
      <c r="DP14" s="39">
        <f t="shared" si="69"/>
        <v>0</v>
      </c>
      <c r="DQ14" s="39">
        <f t="shared" si="70"/>
        <v>0</v>
      </c>
      <c r="DR14" s="39"/>
      <c r="DS14" s="39"/>
      <c r="DT14" s="39"/>
      <c r="DU14" s="39"/>
      <c r="DV14" s="39"/>
      <c r="DW14" s="39"/>
      <c r="DX14" s="56">
        <f t="shared" si="71"/>
        <v>0</v>
      </c>
      <c r="DY14" s="56">
        <f t="shared" si="72"/>
        <v>0</v>
      </c>
      <c r="DZ14" s="39">
        <f t="shared" si="73"/>
        <v>0</v>
      </c>
      <c r="EA14" s="39">
        <f t="shared" si="74"/>
        <v>0</v>
      </c>
      <c r="EB14" s="39"/>
      <c r="EC14" s="39">
        <f t="shared" si="75"/>
        <v>0</v>
      </c>
      <c r="ED14" s="39">
        <f t="shared" si="76"/>
        <v>0</v>
      </c>
      <c r="EE14" s="39">
        <f t="shared" si="77"/>
        <v>0</v>
      </c>
      <c r="EF14" s="39">
        <f t="shared" si="78"/>
        <v>0</v>
      </c>
      <c r="EG14" s="39"/>
      <c r="EH14" s="39"/>
      <c r="EI14" s="39"/>
      <c r="EJ14" s="39"/>
      <c r="EK14" s="39"/>
      <c r="EL14" s="39"/>
      <c r="EM14" s="39"/>
      <c r="EN14" s="39"/>
      <c r="EO14" s="39"/>
      <c r="EP14" s="39"/>
    </row>
    <row r="15" spans="1:146" ht="12">
      <c r="A15" s="22">
        <v>41730</v>
      </c>
      <c r="C15" s="39"/>
      <c r="D15" s="39"/>
      <c r="E15" s="42">
        <f t="shared" si="0"/>
        <v>0</v>
      </c>
      <c r="H15" s="42">
        <f t="shared" si="1"/>
        <v>0</v>
      </c>
      <c r="I15" s="48">
        <f t="shared" si="2"/>
        <v>0</v>
      </c>
      <c r="J15" s="42">
        <f t="shared" si="3"/>
        <v>0</v>
      </c>
      <c r="K15" s="42">
        <f t="shared" si="4"/>
        <v>0</v>
      </c>
      <c r="M15" s="39">
        <f t="shared" si="79"/>
        <v>0</v>
      </c>
      <c r="N15" s="39">
        <f t="shared" si="5"/>
        <v>0</v>
      </c>
      <c r="O15" s="39">
        <f t="shared" si="6"/>
        <v>0</v>
      </c>
      <c r="P15" s="39">
        <f t="shared" si="7"/>
        <v>0</v>
      </c>
      <c r="R15" s="56">
        <f>C15*15.05006/100</f>
        <v>0</v>
      </c>
      <c r="S15" s="56">
        <f t="shared" si="8"/>
        <v>0</v>
      </c>
      <c r="T15" s="39">
        <f t="shared" si="9"/>
        <v>0</v>
      </c>
      <c r="U15" s="39">
        <f t="shared" si="10"/>
        <v>0</v>
      </c>
      <c r="V15" s="39"/>
      <c r="W15" s="39">
        <f>C15*16.92584/100</f>
        <v>0</v>
      </c>
      <c r="X15" s="39">
        <f t="shared" si="11"/>
        <v>0</v>
      </c>
      <c r="Y15" s="39">
        <f t="shared" si="12"/>
        <v>0</v>
      </c>
      <c r="Z15" s="39">
        <f t="shared" si="13"/>
        <v>0</v>
      </c>
      <c r="AA15" s="39"/>
      <c r="AB15" s="39">
        <f>C15*9.75766/100</f>
        <v>0</v>
      </c>
      <c r="AC15" s="39">
        <f t="shared" si="14"/>
        <v>0</v>
      </c>
      <c r="AD15" s="39">
        <f t="shared" si="15"/>
        <v>0</v>
      </c>
      <c r="AE15" s="39">
        <f t="shared" si="16"/>
        <v>0</v>
      </c>
      <c r="AF15" s="39"/>
      <c r="AG15" s="39">
        <f>C15*7.48131/100</f>
        <v>0</v>
      </c>
      <c r="AH15" s="39">
        <f t="shared" si="17"/>
        <v>0</v>
      </c>
      <c r="AI15" s="39">
        <f t="shared" si="18"/>
        <v>0</v>
      </c>
      <c r="AJ15" s="39">
        <f t="shared" si="19"/>
        <v>0</v>
      </c>
      <c r="AK15" s="39"/>
      <c r="AL15" s="39">
        <f>C15*0.21612/100</f>
        <v>0</v>
      </c>
      <c r="AM15" s="39">
        <f t="shared" si="20"/>
        <v>0</v>
      </c>
      <c r="AN15" s="39">
        <f t="shared" si="21"/>
        <v>0</v>
      </c>
      <c r="AO15" s="39">
        <f t="shared" si="22"/>
        <v>0</v>
      </c>
      <c r="AP15" s="39"/>
      <c r="AQ15" s="39">
        <f>C15*0.01906/100</f>
        <v>0</v>
      </c>
      <c r="AR15" s="39">
        <f t="shared" si="23"/>
        <v>0</v>
      </c>
      <c r="AS15" s="39">
        <f t="shared" si="24"/>
        <v>0</v>
      </c>
      <c r="AT15" s="39">
        <f t="shared" si="25"/>
        <v>0</v>
      </c>
      <c r="AU15" s="39"/>
      <c r="AV15" s="39">
        <f>C15*0.01369/100</f>
        <v>0</v>
      </c>
      <c r="AW15" s="39">
        <f t="shared" si="26"/>
        <v>0</v>
      </c>
      <c r="AX15" s="39">
        <f t="shared" si="27"/>
        <v>0</v>
      </c>
      <c r="AY15" s="39">
        <f t="shared" si="28"/>
        <v>0</v>
      </c>
      <c r="AZ15" s="39"/>
      <c r="BA15" s="39">
        <f>C15*0.23757/100</f>
        <v>0</v>
      </c>
      <c r="BB15" s="39">
        <f t="shared" si="29"/>
        <v>0</v>
      </c>
      <c r="BC15" s="39">
        <f t="shared" si="30"/>
        <v>0</v>
      </c>
      <c r="BD15" s="39">
        <f t="shared" si="31"/>
        <v>0</v>
      </c>
      <c r="BE15" s="39"/>
      <c r="BF15" s="39">
        <f>C15*5.91225/100</f>
        <v>0</v>
      </c>
      <c r="BG15" s="39">
        <f t="shared" si="32"/>
        <v>0</v>
      </c>
      <c r="BH15" s="39">
        <f t="shared" si="33"/>
        <v>0</v>
      </c>
      <c r="BI15" s="39">
        <f t="shared" si="34"/>
        <v>0</v>
      </c>
      <c r="BJ15" s="39"/>
      <c r="BK15" s="39">
        <f>C15*1.80534/100</f>
        <v>0</v>
      </c>
      <c r="BL15" s="39">
        <f t="shared" si="35"/>
        <v>0</v>
      </c>
      <c r="BM15" s="39">
        <f t="shared" si="36"/>
        <v>0</v>
      </c>
      <c r="BN15" s="39">
        <f t="shared" si="37"/>
        <v>0</v>
      </c>
      <c r="BO15" s="39"/>
      <c r="BP15" s="39">
        <f>C15*5.15053/100</f>
        <v>0</v>
      </c>
      <c r="BQ15" s="39">
        <f t="shared" si="38"/>
        <v>0</v>
      </c>
      <c r="BR15" s="39">
        <f t="shared" si="39"/>
        <v>0</v>
      </c>
      <c r="BS15" s="39">
        <f t="shared" si="40"/>
        <v>0</v>
      </c>
      <c r="BT15" s="39"/>
      <c r="BU15" s="39">
        <f>C15*14.16042/100</f>
        <v>0</v>
      </c>
      <c r="BV15" s="39">
        <f t="shared" si="41"/>
        <v>0</v>
      </c>
      <c r="BW15" s="39">
        <f t="shared" si="42"/>
        <v>0</v>
      </c>
      <c r="BX15" s="39">
        <f t="shared" si="43"/>
        <v>0</v>
      </c>
      <c r="BY15" s="39"/>
      <c r="BZ15" s="39">
        <f>C15*6.15602/100</f>
        <v>0</v>
      </c>
      <c r="CA15" s="39">
        <f t="shared" si="44"/>
        <v>0</v>
      </c>
      <c r="CB15" s="39">
        <f t="shared" si="45"/>
        <v>0</v>
      </c>
      <c r="CC15" s="39">
        <f t="shared" si="46"/>
        <v>0</v>
      </c>
      <c r="CD15" s="39"/>
      <c r="CE15" s="39">
        <f>C15*5.37414/100</f>
        <v>0</v>
      </c>
      <c r="CF15" s="39">
        <f t="shared" si="47"/>
        <v>0</v>
      </c>
      <c r="CG15" s="39">
        <f t="shared" si="48"/>
        <v>0</v>
      </c>
      <c r="CH15" s="39">
        <f t="shared" si="49"/>
        <v>0</v>
      </c>
      <c r="CI15" s="39"/>
      <c r="CJ15" s="93">
        <f>C15*0.69717/100</f>
        <v>0</v>
      </c>
      <c r="CK15" s="93">
        <f t="shared" si="50"/>
        <v>0</v>
      </c>
      <c r="CL15" s="93">
        <f t="shared" si="51"/>
        <v>0</v>
      </c>
      <c r="CM15" s="93">
        <f t="shared" si="52"/>
        <v>0</v>
      </c>
      <c r="CN15" s="39"/>
      <c r="CO15" s="39">
        <f>C15*0.02011/100</f>
        <v>0</v>
      </c>
      <c r="CP15" s="39">
        <f t="shared" si="53"/>
        <v>0</v>
      </c>
      <c r="CQ15" s="39">
        <f t="shared" si="54"/>
        <v>0</v>
      </c>
      <c r="CR15" s="39">
        <f t="shared" si="55"/>
        <v>0</v>
      </c>
      <c r="CS15" s="39"/>
      <c r="CT15" s="39">
        <f>C15*4.70981/100</f>
        <v>0</v>
      </c>
      <c r="CU15" s="39">
        <f t="shared" si="56"/>
        <v>0</v>
      </c>
      <c r="CV15" s="39">
        <f t="shared" si="57"/>
        <v>0</v>
      </c>
      <c r="CW15" s="39">
        <f t="shared" si="58"/>
        <v>0</v>
      </c>
      <c r="CX15" s="39"/>
      <c r="CY15" s="39">
        <f>C15*0.28727/100</f>
        <v>0</v>
      </c>
      <c r="CZ15" s="39">
        <f t="shared" si="59"/>
        <v>0</v>
      </c>
      <c r="DA15" s="39">
        <f t="shared" si="60"/>
        <v>0</v>
      </c>
      <c r="DB15" s="39">
        <f t="shared" si="61"/>
        <v>0</v>
      </c>
      <c r="DC15" s="39"/>
      <c r="DD15" s="39">
        <f>C15*4.87421/100</f>
        <v>0</v>
      </c>
      <c r="DE15" s="39">
        <f t="shared" si="62"/>
        <v>0</v>
      </c>
      <c r="DF15" s="39">
        <f t="shared" si="63"/>
        <v>0</v>
      </c>
      <c r="DG15" s="39">
        <f t="shared" si="64"/>
        <v>0</v>
      </c>
      <c r="DH15" s="39"/>
      <c r="DI15" s="39">
        <f>C15*0.60754/100</f>
        <v>0</v>
      </c>
      <c r="DJ15" s="39">
        <f t="shared" si="65"/>
        <v>0</v>
      </c>
      <c r="DK15" s="39">
        <f t="shared" si="66"/>
        <v>0</v>
      </c>
      <c r="DL15" s="39">
        <f t="shared" si="67"/>
        <v>0</v>
      </c>
      <c r="DM15" s="39"/>
      <c r="DN15" s="39">
        <f>C15*0.26185/100</f>
        <v>0</v>
      </c>
      <c r="DO15" s="39">
        <f t="shared" si="68"/>
        <v>0</v>
      </c>
      <c r="DP15" s="39">
        <f t="shared" si="69"/>
        <v>0</v>
      </c>
      <c r="DQ15" s="39">
        <f t="shared" si="70"/>
        <v>0</v>
      </c>
      <c r="DR15" s="39"/>
      <c r="DS15" s="39"/>
      <c r="DT15" s="39"/>
      <c r="DU15" s="39"/>
      <c r="DV15" s="39"/>
      <c r="DW15" s="39"/>
      <c r="DX15" s="56">
        <f t="shared" si="71"/>
        <v>0</v>
      </c>
      <c r="DY15" s="56">
        <f t="shared" si="72"/>
        <v>0</v>
      </c>
      <c r="DZ15" s="39">
        <f t="shared" si="73"/>
        <v>0</v>
      </c>
      <c r="EA15" s="39">
        <f t="shared" si="74"/>
        <v>0</v>
      </c>
      <c r="EB15" s="39"/>
      <c r="EC15" s="39">
        <f t="shared" si="75"/>
        <v>0</v>
      </c>
      <c r="ED15" s="39">
        <f t="shared" si="76"/>
        <v>0</v>
      </c>
      <c r="EE15" s="39">
        <f t="shared" si="77"/>
        <v>0</v>
      </c>
      <c r="EF15" s="39">
        <f t="shared" si="78"/>
        <v>0</v>
      </c>
      <c r="EG15" s="39"/>
      <c r="EH15" s="39"/>
      <c r="EI15" s="39"/>
      <c r="EJ15" s="39"/>
      <c r="EK15" s="39"/>
      <c r="EL15" s="39"/>
      <c r="EM15" s="39"/>
      <c r="EN15" s="39"/>
      <c r="EO15" s="39"/>
      <c r="EP15" s="39"/>
    </row>
    <row r="16" spans="1:146" ht="12">
      <c r="A16" s="22">
        <v>41913</v>
      </c>
      <c r="B16" s="31"/>
      <c r="C16" s="39"/>
      <c r="D16" s="39"/>
      <c r="E16" s="42">
        <f t="shared" si="0"/>
        <v>0</v>
      </c>
      <c r="H16" s="42">
        <f t="shared" si="1"/>
        <v>0</v>
      </c>
      <c r="I16" s="48">
        <f t="shared" si="2"/>
        <v>0</v>
      </c>
      <c r="J16" s="42">
        <f t="shared" si="3"/>
        <v>0</v>
      </c>
      <c r="K16" s="42">
        <f t="shared" si="4"/>
        <v>0</v>
      </c>
      <c r="L16" s="31"/>
      <c r="M16" s="39"/>
      <c r="N16" s="39">
        <f t="shared" si="5"/>
        <v>0</v>
      </c>
      <c r="O16" s="39">
        <f t="shared" si="6"/>
        <v>0</v>
      </c>
      <c r="P16" s="39">
        <f t="shared" si="7"/>
        <v>0</v>
      </c>
      <c r="Q16" s="31"/>
      <c r="R16" s="56"/>
      <c r="S16" s="56">
        <f t="shared" si="8"/>
        <v>0</v>
      </c>
      <c r="T16" s="39">
        <f t="shared" si="9"/>
        <v>0</v>
      </c>
      <c r="U16" s="39">
        <f t="shared" si="10"/>
        <v>0</v>
      </c>
      <c r="V16" s="39"/>
      <c r="W16" s="39"/>
      <c r="X16" s="39">
        <f t="shared" si="11"/>
        <v>0</v>
      </c>
      <c r="Y16" s="39">
        <f t="shared" si="12"/>
        <v>0</v>
      </c>
      <c r="Z16" s="39">
        <f t="shared" si="13"/>
        <v>0</v>
      </c>
      <c r="AA16" s="39"/>
      <c r="AB16" s="39"/>
      <c r="AC16" s="39">
        <f t="shared" si="14"/>
        <v>0</v>
      </c>
      <c r="AD16" s="39">
        <f t="shared" si="15"/>
        <v>0</v>
      </c>
      <c r="AE16" s="39">
        <f t="shared" si="16"/>
        <v>0</v>
      </c>
      <c r="AF16" s="39"/>
      <c r="AG16" s="39"/>
      <c r="AH16" s="39">
        <f t="shared" si="17"/>
        <v>0</v>
      </c>
      <c r="AI16" s="39">
        <f t="shared" si="18"/>
        <v>0</v>
      </c>
      <c r="AJ16" s="39">
        <f t="shared" si="19"/>
        <v>0</v>
      </c>
      <c r="AK16" s="39"/>
      <c r="AL16" s="39"/>
      <c r="AM16" s="39">
        <f t="shared" si="20"/>
        <v>0</v>
      </c>
      <c r="AN16" s="39">
        <f t="shared" si="21"/>
        <v>0</v>
      </c>
      <c r="AO16" s="39">
        <f t="shared" si="22"/>
        <v>0</v>
      </c>
      <c r="AP16" s="39"/>
      <c r="AQ16" s="39"/>
      <c r="AR16" s="39">
        <f t="shared" si="23"/>
        <v>0</v>
      </c>
      <c r="AS16" s="39">
        <f t="shared" si="24"/>
        <v>0</v>
      </c>
      <c r="AT16" s="39">
        <f t="shared" si="25"/>
        <v>0</v>
      </c>
      <c r="AU16" s="39"/>
      <c r="AV16" s="39"/>
      <c r="AW16" s="39">
        <f t="shared" si="26"/>
        <v>0</v>
      </c>
      <c r="AX16" s="39">
        <f t="shared" si="27"/>
        <v>0</v>
      </c>
      <c r="AY16" s="39">
        <f t="shared" si="28"/>
        <v>0</v>
      </c>
      <c r="AZ16" s="39"/>
      <c r="BA16" s="39"/>
      <c r="BB16" s="39">
        <f t="shared" si="29"/>
        <v>0</v>
      </c>
      <c r="BC16" s="39">
        <f t="shared" si="30"/>
        <v>0</v>
      </c>
      <c r="BD16" s="39">
        <f t="shared" si="31"/>
        <v>0</v>
      </c>
      <c r="BE16" s="39"/>
      <c r="BF16" s="39"/>
      <c r="BG16" s="39">
        <f t="shared" si="32"/>
        <v>0</v>
      </c>
      <c r="BH16" s="39">
        <f t="shared" si="33"/>
        <v>0</v>
      </c>
      <c r="BI16" s="39">
        <f t="shared" si="34"/>
        <v>0</v>
      </c>
      <c r="BJ16" s="39"/>
      <c r="BK16" s="39"/>
      <c r="BL16" s="39">
        <f t="shared" si="35"/>
        <v>0</v>
      </c>
      <c r="BM16" s="39">
        <f t="shared" si="36"/>
        <v>0</v>
      </c>
      <c r="BN16" s="39">
        <f t="shared" si="37"/>
        <v>0</v>
      </c>
      <c r="BO16" s="39"/>
      <c r="BP16" s="39"/>
      <c r="BQ16" s="39">
        <f t="shared" si="38"/>
        <v>0</v>
      </c>
      <c r="BR16" s="39">
        <f t="shared" si="39"/>
        <v>0</v>
      </c>
      <c r="BS16" s="39">
        <f t="shared" si="40"/>
        <v>0</v>
      </c>
      <c r="BT16" s="39"/>
      <c r="BU16" s="39"/>
      <c r="BV16" s="39">
        <f t="shared" si="41"/>
        <v>0</v>
      </c>
      <c r="BW16" s="39">
        <f t="shared" si="42"/>
        <v>0</v>
      </c>
      <c r="BX16" s="39">
        <f t="shared" si="43"/>
        <v>0</v>
      </c>
      <c r="BY16" s="39"/>
      <c r="BZ16" s="39"/>
      <c r="CA16" s="39">
        <f t="shared" si="44"/>
        <v>0</v>
      </c>
      <c r="CB16" s="39">
        <f t="shared" si="45"/>
        <v>0</v>
      </c>
      <c r="CC16" s="39">
        <f t="shared" si="46"/>
        <v>0</v>
      </c>
      <c r="CD16" s="39"/>
      <c r="CE16" s="39"/>
      <c r="CF16" s="39">
        <f t="shared" si="47"/>
        <v>0</v>
      </c>
      <c r="CG16" s="39">
        <f t="shared" si="48"/>
        <v>0</v>
      </c>
      <c r="CH16" s="39">
        <f t="shared" si="49"/>
        <v>0</v>
      </c>
      <c r="CI16" s="39"/>
      <c r="CJ16" s="93"/>
      <c r="CK16" s="93">
        <f t="shared" si="50"/>
        <v>0</v>
      </c>
      <c r="CL16" s="93">
        <f t="shared" si="51"/>
        <v>0</v>
      </c>
      <c r="CM16" s="93">
        <f t="shared" si="52"/>
        <v>0</v>
      </c>
      <c r="CN16" s="39"/>
      <c r="CO16" s="39"/>
      <c r="CP16" s="39">
        <f t="shared" si="53"/>
        <v>0</v>
      </c>
      <c r="CQ16" s="39">
        <f t="shared" si="54"/>
        <v>0</v>
      </c>
      <c r="CR16" s="39">
        <f t="shared" si="55"/>
        <v>0</v>
      </c>
      <c r="CS16" s="39"/>
      <c r="CT16" s="39"/>
      <c r="CU16" s="39">
        <f t="shared" si="56"/>
        <v>0</v>
      </c>
      <c r="CV16" s="39">
        <f t="shared" si="57"/>
        <v>0</v>
      </c>
      <c r="CW16" s="39">
        <f t="shared" si="58"/>
        <v>0</v>
      </c>
      <c r="CX16" s="39"/>
      <c r="CY16" s="39"/>
      <c r="CZ16" s="39">
        <f t="shared" si="59"/>
        <v>0</v>
      </c>
      <c r="DA16" s="39">
        <f t="shared" si="60"/>
        <v>0</v>
      </c>
      <c r="DB16" s="39">
        <f t="shared" si="61"/>
        <v>0</v>
      </c>
      <c r="DC16" s="39"/>
      <c r="DD16" s="39"/>
      <c r="DE16" s="39">
        <f t="shared" si="62"/>
        <v>0</v>
      </c>
      <c r="DF16" s="39">
        <f t="shared" si="63"/>
        <v>0</v>
      </c>
      <c r="DG16" s="39">
        <f t="shared" si="64"/>
        <v>0</v>
      </c>
      <c r="DH16" s="39"/>
      <c r="DI16" s="39"/>
      <c r="DJ16" s="39">
        <f t="shared" si="65"/>
        <v>0</v>
      </c>
      <c r="DK16" s="39">
        <f t="shared" si="66"/>
        <v>0</v>
      </c>
      <c r="DL16" s="39">
        <f t="shared" si="67"/>
        <v>0</v>
      </c>
      <c r="DM16" s="39"/>
      <c r="DN16" s="39"/>
      <c r="DO16" s="39">
        <f t="shared" si="68"/>
        <v>0</v>
      </c>
      <c r="DP16" s="39">
        <f t="shared" si="69"/>
        <v>0</v>
      </c>
      <c r="DQ16" s="39">
        <f t="shared" si="70"/>
        <v>0</v>
      </c>
      <c r="DR16" s="39"/>
      <c r="DS16" s="39"/>
      <c r="DT16" s="39"/>
      <c r="DU16" s="39"/>
      <c r="DV16" s="39"/>
      <c r="DW16" s="39"/>
      <c r="DX16" s="56">
        <f t="shared" si="71"/>
        <v>0</v>
      </c>
      <c r="DY16" s="56">
        <f t="shared" si="72"/>
        <v>0</v>
      </c>
      <c r="DZ16" s="39">
        <f t="shared" si="73"/>
        <v>0</v>
      </c>
      <c r="EA16" s="39">
        <f t="shared" si="74"/>
        <v>0</v>
      </c>
      <c r="EB16" s="39"/>
      <c r="EC16" s="39">
        <f t="shared" si="75"/>
        <v>0</v>
      </c>
      <c r="ED16" s="39">
        <f t="shared" si="76"/>
        <v>0</v>
      </c>
      <c r="EE16" s="39">
        <f t="shared" si="77"/>
        <v>0</v>
      </c>
      <c r="EF16" s="39">
        <f t="shared" si="78"/>
        <v>0</v>
      </c>
      <c r="EG16" s="39"/>
      <c r="EH16" s="39"/>
      <c r="EI16" s="39"/>
      <c r="EJ16" s="39"/>
      <c r="EK16" s="39"/>
      <c r="EL16" s="39"/>
      <c r="EM16" s="39"/>
      <c r="EN16" s="39"/>
      <c r="EO16" s="39"/>
      <c r="EP16" s="39"/>
    </row>
    <row r="17" spans="1:146" ht="12">
      <c r="A17" s="22">
        <v>42095</v>
      </c>
      <c r="C17" s="39"/>
      <c r="D17" s="39"/>
      <c r="E17" s="42">
        <f t="shared" si="0"/>
        <v>0</v>
      </c>
      <c r="H17" s="42">
        <f t="shared" si="1"/>
        <v>0</v>
      </c>
      <c r="I17" s="48">
        <f t="shared" si="2"/>
        <v>0</v>
      </c>
      <c r="J17" s="42">
        <f t="shared" si="3"/>
        <v>0</v>
      </c>
      <c r="K17" s="42">
        <f t="shared" si="4"/>
        <v>0</v>
      </c>
      <c r="M17" s="39">
        <f t="shared" si="79"/>
        <v>0</v>
      </c>
      <c r="N17" s="39">
        <f t="shared" si="5"/>
        <v>0</v>
      </c>
      <c r="O17" s="39">
        <f t="shared" si="6"/>
        <v>0</v>
      </c>
      <c r="P17" s="39">
        <f t="shared" si="7"/>
        <v>0</v>
      </c>
      <c r="R17" s="56">
        <f>C17*15.05006/100</f>
        <v>0</v>
      </c>
      <c r="S17" s="56">
        <f t="shared" si="8"/>
        <v>0</v>
      </c>
      <c r="T17" s="39">
        <f t="shared" si="9"/>
        <v>0</v>
      </c>
      <c r="U17" s="39">
        <f t="shared" si="10"/>
        <v>0</v>
      </c>
      <c r="V17" s="39"/>
      <c r="W17" s="39">
        <f>C17*16.92584/100</f>
        <v>0</v>
      </c>
      <c r="X17" s="39">
        <f t="shared" si="11"/>
        <v>0</v>
      </c>
      <c r="Y17" s="39">
        <f t="shared" si="12"/>
        <v>0</v>
      </c>
      <c r="Z17" s="39">
        <f t="shared" si="13"/>
        <v>0</v>
      </c>
      <c r="AA17" s="39"/>
      <c r="AB17" s="39">
        <f>C17*9.75766/100</f>
        <v>0</v>
      </c>
      <c r="AC17" s="39">
        <f t="shared" si="14"/>
        <v>0</v>
      </c>
      <c r="AD17" s="39">
        <f t="shared" si="15"/>
        <v>0</v>
      </c>
      <c r="AE17" s="39">
        <f t="shared" si="16"/>
        <v>0</v>
      </c>
      <c r="AF17" s="39"/>
      <c r="AG17" s="39">
        <f>C17*7.48131/100</f>
        <v>0</v>
      </c>
      <c r="AH17" s="39">
        <f t="shared" si="17"/>
        <v>0</v>
      </c>
      <c r="AI17" s="39">
        <f t="shared" si="18"/>
        <v>0</v>
      </c>
      <c r="AJ17" s="39">
        <f t="shared" si="19"/>
        <v>0</v>
      </c>
      <c r="AK17" s="39"/>
      <c r="AL17" s="39">
        <f>C17*0.21612/100</f>
        <v>0</v>
      </c>
      <c r="AM17" s="39">
        <f t="shared" si="20"/>
        <v>0</v>
      </c>
      <c r="AN17" s="39">
        <f t="shared" si="21"/>
        <v>0</v>
      </c>
      <c r="AO17" s="39">
        <f t="shared" si="22"/>
        <v>0</v>
      </c>
      <c r="AP17" s="39"/>
      <c r="AQ17" s="39">
        <f>C17*0.01906/100</f>
        <v>0</v>
      </c>
      <c r="AR17" s="39">
        <f t="shared" si="23"/>
        <v>0</v>
      </c>
      <c r="AS17" s="39">
        <f t="shared" si="24"/>
        <v>0</v>
      </c>
      <c r="AT17" s="39">
        <f t="shared" si="25"/>
        <v>0</v>
      </c>
      <c r="AU17" s="39"/>
      <c r="AV17" s="39">
        <f>C17*0.01369/100</f>
        <v>0</v>
      </c>
      <c r="AW17" s="39">
        <f t="shared" si="26"/>
        <v>0</v>
      </c>
      <c r="AX17" s="39">
        <f t="shared" si="27"/>
        <v>0</v>
      </c>
      <c r="AY17" s="39">
        <f t="shared" si="28"/>
        <v>0</v>
      </c>
      <c r="AZ17" s="39"/>
      <c r="BA17" s="39">
        <f>C17*0.23757/100</f>
        <v>0</v>
      </c>
      <c r="BB17" s="39">
        <f t="shared" si="29"/>
        <v>0</v>
      </c>
      <c r="BC17" s="39">
        <f t="shared" si="30"/>
        <v>0</v>
      </c>
      <c r="BD17" s="39">
        <f t="shared" si="31"/>
        <v>0</v>
      </c>
      <c r="BE17" s="39"/>
      <c r="BF17" s="39">
        <f>C17*5.91225/100</f>
        <v>0</v>
      </c>
      <c r="BG17" s="39">
        <f t="shared" si="32"/>
        <v>0</v>
      </c>
      <c r="BH17" s="39">
        <f t="shared" si="33"/>
        <v>0</v>
      </c>
      <c r="BI17" s="39">
        <f t="shared" si="34"/>
        <v>0</v>
      </c>
      <c r="BJ17" s="39"/>
      <c r="BK17" s="39">
        <f>C17*1.80534/100</f>
        <v>0</v>
      </c>
      <c r="BL17" s="39">
        <f t="shared" si="35"/>
        <v>0</v>
      </c>
      <c r="BM17" s="39">
        <f t="shared" si="36"/>
        <v>0</v>
      </c>
      <c r="BN17" s="39">
        <f t="shared" si="37"/>
        <v>0</v>
      </c>
      <c r="BO17" s="39"/>
      <c r="BP17" s="39">
        <f>C17*5.15053/100</f>
        <v>0</v>
      </c>
      <c r="BQ17" s="39">
        <f t="shared" si="38"/>
        <v>0</v>
      </c>
      <c r="BR17" s="39">
        <f t="shared" si="39"/>
        <v>0</v>
      </c>
      <c r="BS17" s="39">
        <f t="shared" si="40"/>
        <v>0</v>
      </c>
      <c r="BT17" s="39"/>
      <c r="BU17" s="39">
        <f>C17*14.16042/100</f>
        <v>0</v>
      </c>
      <c r="BV17" s="39">
        <f t="shared" si="41"/>
        <v>0</v>
      </c>
      <c r="BW17" s="39">
        <f t="shared" si="42"/>
        <v>0</v>
      </c>
      <c r="BX17" s="39">
        <f t="shared" si="43"/>
        <v>0</v>
      </c>
      <c r="BY17" s="39"/>
      <c r="BZ17" s="39">
        <f>C17*6.15602/100</f>
        <v>0</v>
      </c>
      <c r="CA17" s="39">
        <f t="shared" si="44"/>
        <v>0</v>
      </c>
      <c r="CB17" s="39">
        <f t="shared" si="45"/>
        <v>0</v>
      </c>
      <c r="CC17" s="39">
        <f t="shared" si="46"/>
        <v>0</v>
      </c>
      <c r="CD17" s="39"/>
      <c r="CE17" s="39">
        <f>C17*5.37414/100</f>
        <v>0</v>
      </c>
      <c r="CF17" s="39">
        <f t="shared" si="47"/>
        <v>0</v>
      </c>
      <c r="CG17" s="39">
        <f t="shared" si="48"/>
        <v>0</v>
      </c>
      <c r="CH17" s="39">
        <f t="shared" si="49"/>
        <v>0</v>
      </c>
      <c r="CI17" s="39"/>
      <c r="CJ17" s="93">
        <f>C17*0.69717/100</f>
        <v>0</v>
      </c>
      <c r="CK17" s="93">
        <f t="shared" si="50"/>
        <v>0</v>
      </c>
      <c r="CL17" s="93">
        <f t="shared" si="51"/>
        <v>0</v>
      </c>
      <c r="CM17" s="93">
        <f t="shared" si="52"/>
        <v>0</v>
      </c>
      <c r="CN17" s="39"/>
      <c r="CO17" s="39">
        <f>C17*0.02011/100</f>
        <v>0</v>
      </c>
      <c r="CP17" s="39">
        <f t="shared" si="53"/>
        <v>0</v>
      </c>
      <c r="CQ17" s="39">
        <f t="shared" si="54"/>
        <v>0</v>
      </c>
      <c r="CR17" s="39">
        <f t="shared" si="55"/>
        <v>0</v>
      </c>
      <c r="CS17" s="39"/>
      <c r="CT17" s="39">
        <f>C17*4.70981/100</f>
        <v>0</v>
      </c>
      <c r="CU17" s="39">
        <f t="shared" si="56"/>
        <v>0</v>
      </c>
      <c r="CV17" s="39">
        <f t="shared" si="57"/>
        <v>0</v>
      </c>
      <c r="CW17" s="39">
        <f t="shared" si="58"/>
        <v>0</v>
      </c>
      <c r="CX17" s="39"/>
      <c r="CY17" s="39">
        <f>C17*0.28727/100</f>
        <v>0</v>
      </c>
      <c r="CZ17" s="39">
        <f t="shared" si="59"/>
        <v>0</v>
      </c>
      <c r="DA17" s="39">
        <f t="shared" si="60"/>
        <v>0</v>
      </c>
      <c r="DB17" s="39">
        <f t="shared" si="61"/>
        <v>0</v>
      </c>
      <c r="DC17" s="39"/>
      <c r="DD17" s="39">
        <f>C17*4.87421/100</f>
        <v>0</v>
      </c>
      <c r="DE17" s="39">
        <f t="shared" si="62"/>
        <v>0</v>
      </c>
      <c r="DF17" s="39">
        <f t="shared" si="63"/>
        <v>0</v>
      </c>
      <c r="DG17" s="39">
        <f t="shared" si="64"/>
        <v>0</v>
      </c>
      <c r="DH17" s="39"/>
      <c r="DI17" s="39">
        <f>C17*0.60754/100</f>
        <v>0</v>
      </c>
      <c r="DJ17" s="39">
        <f t="shared" si="65"/>
        <v>0</v>
      </c>
      <c r="DK17" s="39">
        <f t="shared" si="66"/>
        <v>0</v>
      </c>
      <c r="DL17" s="39">
        <f t="shared" si="67"/>
        <v>0</v>
      </c>
      <c r="DM17" s="39"/>
      <c r="DN17" s="39">
        <f>C17*0.26185/100</f>
        <v>0</v>
      </c>
      <c r="DO17" s="39">
        <f t="shared" si="68"/>
        <v>0</v>
      </c>
      <c r="DP17" s="39">
        <f t="shared" si="69"/>
        <v>0</v>
      </c>
      <c r="DQ17" s="39">
        <f t="shared" si="70"/>
        <v>0</v>
      </c>
      <c r="DR17" s="39"/>
      <c r="DS17" s="39"/>
      <c r="DT17" s="39"/>
      <c r="DU17" s="39"/>
      <c r="DV17" s="39"/>
      <c r="DW17" s="39"/>
      <c r="DX17" s="56">
        <f t="shared" si="71"/>
        <v>0</v>
      </c>
      <c r="DY17" s="56">
        <f t="shared" si="72"/>
        <v>0</v>
      </c>
      <c r="DZ17" s="39">
        <f t="shared" si="73"/>
        <v>0</v>
      </c>
      <c r="EA17" s="39">
        <f t="shared" si="74"/>
        <v>0</v>
      </c>
      <c r="EB17" s="39"/>
      <c r="EC17" s="39">
        <f t="shared" si="75"/>
        <v>0</v>
      </c>
      <c r="ED17" s="39">
        <f t="shared" si="76"/>
        <v>0</v>
      </c>
      <c r="EE17" s="39">
        <f t="shared" si="77"/>
        <v>0</v>
      </c>
      <c r="EF17" s="39">
        <f t="shared" si="78"/>
        <v>0</v>
      </c>
      <c r="EG17" s="39"/>
      <c r="EH17" s="39"/>
      <c r="EI17" s="39"/>
      <c r="EJ17" s="39"/>
      <c r="EK17" s="39"/>
      <c r="EL17" s="39"/>
      <c r="EM17" s="39"/>
      <c r="EN17" s="39"/>
      <c r="EO17" s="39"/>
      <c r="EP17" s="39"/>
    </row>
    <row r="18" spans="1:146" ht="12">
      <c r="A18" s="22">
        <v>42278</v>
      </c>
      <c r="C18" s="39"/>
      <c r="D18" s="39"/>
      <c r="E18" s="42">
        <f t="shared" si="0"/>
        <v>0</v>
      </c>
      <c r="H18" s="42">
        <f t="shared" si="1"/>
        <v>0</v>
      </c>
      <c r="I18" s="48">
        <f t="shared" si="2"/>
        <v>0</v>
      </c>
      <c r="J18" s="42">
        <f t="shared" si="3"/>
        <v>0</v>
      </c>
      <c r="K18" s="42">
        <f t="shared" si="4"/>
        <v>0</v>
      </c>
      <c r="M18" s="39"/>
      <c r="N18" s="39">
        <f t="shared" si="5"/>
        <v>0</v>
      </c>
      <c r="O18" s="39">
        <f t="shared" si="6"/>
        <v>0</v>
      </c>
      <c r="P18" s="39">
        <f t="shared" si="7"/>
        <v>0</v>
      </c>
      <c r="R18" s="56"/>
      <c r="S18" s="56">
        <f t="shared" si="8"/>
        <v>0</v>
      </c>
      <c r="T18" s="39">
        <f t="shared" si="9"/>
        <v>0</v>
      </c>
      <c r="U18" s="39">
        <f t="shared" si="10"/>
        <v>0</v>
      </c>
      <c r="V18" s="39"/>
      <c r="W18" s="39"/>
      <c r="X18" s="39">
        <f t="shared" si="11"/>
        <v>0</v>
      </c>
      <c r="Y18" s="39">
        <f t="shared" si="12"/>
        <v>0</v>
      </c>
      <c r="Z18" s="39">
        <f t="shared" si="13"/>
        <v>0</v>
      </c>
      <c r="AA18" s="39"/>
      <c r="AB18" s="39"/>
      <c r="AC18" s="39">
        <f t="shared" si="14"/>
        <v>0</v>
      </c>
      <c r="AD18" s="39">
        <f t="shared" si="15"/>
        <v>0</v>
      </c>
      <c r="AE18" s="39">
        <f t="shared" si="16"/>
        <v>0</v>
      </c>
      <c r="AF18" s="39"/>
      <c r="AG18" s="39"/>
      <c r="AH18" s="39">
        <f t="shared" si="17"/>
        <v>0</v>
      </c>
      <c r="AI18" s="39">
        <f t="shared" si="18"/>
        <v>0</v>
      </c>
      <c r="AJ18" s="39">
        <f t="shared" si="19"/>
        <v>0</v>
      </c>
      <c r="AK18" s="39"/>
      <c r="AL18" s="39"/>
      <c r="AM18" s="39">
        <f t="shared" si="20"/>
        <v>0</v>
      </c>
      <c r="AN18" s="39">
        <f t="shared" si="21"/>
        <v>0</v>
      </c>
      <c r="AO18" s="39">
        <f t="shared" si="22"/>
        <v>0</v>
      </c>
      <c r="AP18" s="39"/>
      <c r="AQ18" s="39"/>
      <c r="AR18" s="39">
        <f t="shared" si="23"/>
        <v>0</v>
      </c>
      <c r="AS18" s="39">
        <f t="shared" si="24"/>
        <v>0</v>
      </c>
      <c r="AT18" s="39">
        <f t="shared" si="25"/>
        <v>0</v>
      </c>
      <c r="AU18" s="39"/>
      <c r="AV18" s="39"/>
      <c r="AW18" s="39">
        <f t="shared" si="26"/>
        <v>0</v>
      </c>
      <c r="AX18" s="39">
        <f t="shared" si="27"/>
        <v>0</v>
      </c>
      <c r="AY18" s="39">
        <f t="shared" si="28"/>
        <v>0</v>
      </c>
      <c r="AZ18" s="39"/>
      <c r="BA18" s="39"/>
      <c r="BB18" s="39">
        <f t="shared" si="29"/>
        <v>0</v>
      </c>
      <c r="BC18" s="39">
        <f t="shared" si="30"/>
        <v>0</v>
      </c>
      <c r="BD18" s="39">
        <f t="shared" si="31"/>
        <v>0</v>
      </c>
      <c r="BE18" s="39"/>
      <c r="BF18" s="39"/>
      <c r="BG18" s="39">
        <f t="shared" si="32"/>
        <v>0</v>
      </c>
      <c r="BH18" s="39">
        <f t="shared" si="33"/>
        <v>0</v>
      </c>
      <c r="BI18" s="39">
        <f t="shared" si="34"/>
        <v>0</v>
      </c>
      <c r="BJ18" s="39"/>
      <c r="BK18" s="39"/>
      <c r="BL18" s="39">
        <f t="shared" si="35"/>
        <v>0</v>
      </c>
      <c r="BM18" s="39">
        <f t="shared" si="36"/>
        <v>0</v>
      </c>
      <c r="BN18" s="39">
        <f t="shared" si="37"/>
        <v>0</v>
      </c>
      <c r="BO18" s="39"/>
      <c r="BP18" s="39"/>
      <c r="BQ18" s="39">
        <f t="shared" si="38"/>
        <v>0</v>
      </c>
      <c r="BR18" s="39">
        <f t="shared" si="39"/>
        <v>0</v>
      </c>
      <c r="BS18" s="39">
        <f t="shared" si="40"/>
        <v>0</v>
      </c>
      <c r="BT18" s="39"/>
      <c r="BU18" s="39"/>
      <c r="BV18" s="39">
        <f t="shared" si="41"/>
        <v>0</v>
      </c>
      <c r="BW18" s="39">
        <f t="shared" si="42"/>
        <v>0</v>
      </c>
      <c r="BX18" s="39">
        <f t="shared" si="43"/>
        <v>0</v>
      </c>
      <c r="BY18" s="39"/>
      <c r="BZ18" s="39"/>
      <c r="CA18" s="39">
        <f t="shared" si="44"/>
        <v>0</v>
      </c>
      <c r="CB18" s="39">
        <f t="shared" si="45"/>
        <v>0</v>
      </c>
      <c r="CC18" s="39">
        <f t="shared" si="46"/>
        <v>0</v>
      </c>
      <c r="CD18" s="39"/>
      <c r="CE18" s="39"/>
      <c r="CF18" s="39">
        <f t="shared" si="47"/>
        <v>0</v>
      </c>
      <c r="CG18" s="39">
        <f t="shared" si="48"/>
        <v>0</v>
      </c>
      <c r="CH18" s="39">
        <f t="shared" si="49"/>
        <v>0</v>
      </c>
      <c r="CI18" s="39"/>
      <c r="CJ18" s="93"/>
      <c r="CK18" s="93">
        <f t="shared" si="50"/>
        <v>0</v>
      </c>
      <c r="CL18" s="93">
        <f t="shared" si="51"/>
        <v>0</v>
      </c>
      <c r="CM18" s="93">
        <f t="shared" si="52"/>
        <v>0</v>
      </c>
      <c r="CN18" s="39"/>
      <c r="CO18" s="39"/>
      <c r="CP18" s="39">
        <f t="shared" si="53"/>
        <v>0</v>
      </c>
      <c r="CQ18" s="39">
        <f t="shared" si="54"/>
        <v>0</v>
      </c>
      <c r="CR18" s="39">
        <f t="shared" si="55"/>
        <v>0</v>
      </c>
      <c r="CS18" s="39"/>
      <c r="CT18" s="39"/>
      <c r="CU18" s="39">
        <f t="shared" si="56"/>
        <v>0</v>
      </c>
      <c r="CV18" s="39">
        <f t="shared" si="57"/>
        <v>0</v>
      </c>
      <c r="CW18" s="39">
        <f t="shared" si="58"/>
        <v>0</v>
      </c>
      <c r="CX18" s="39"/>
      <c r="CY18" s="39"/>
      <c r="CZ18" s="39">
        <f t="shared" si="59"/>
        <v>0</v>
      </c>
      <c r="DA18" s="39">
        <f t="shared" si="60"/>
        <v>0</v>
      </c>
      <c r="DB18" s="39">
        <f t="shared" si="61"/>
        <v>0</v>
      </c>
      <c r="DC18" s="39"/>
      <c r="DD18" s="39"/>
      <c r="DE18" s="39">
        <f t="shared" si="62"/>
        <v>0</v>
      </c>
      <c r="DF18" s="39">
        <f t="shared" si="63"/>
        <v>0</v>
      </c>
      <c r="DG18" s="39">
        <f t="shared" si="64"/>
        <v>0</v>
      </c>
      <c r="DH18" s="39"/>
      <c r="DI18" s="39"/>
      <c r="DJ18" s="39">
        <f t="shared" si="65"/>
        <v>0</v>
      </c>
      <c r="DK18" s="39">
        <f t="shared" si="66"/>
        <v>0</v>
      </c>
      <c r="DL18" s="39">
        <f t="shared" si="67"/>
        <v>0</v>
      </c>
      <c r="DM18" s="39"/>
      <c r="DN18" s="39"/>
      <c r="DO18" s="39">
        <f t="shared" si="68"/>
        <v>0</v>
      </c>
      <c r="DP18" s="39">
        <f t="shared" si="69"/>
        <v>0</v>
      </c>
      <c r="DQ18" s="39">
        <f t="shared" si="70"/>
        <v>0</v>
      </c>
      <c r="DR18" s="39"/>
      <c r="DS18" s="39"/>
      <c r="DT18" s="39"/>
      <c r="DU18" s="39"/>
      <c r="DV18" s="39"/>
      <c r="DW18" s="39"/>
      <c r="DX18" s="56">
        <f t="shared" si="71"/>
        <v>0</v>
      </c>
      <c r="DY18" s="56">
        <f t="shared" si="72"/>
        <v>0</v>
      </c>
      <c r="DZ18" s="39">
        <f t="shared" si="73"/>
        <v>0</v>
      </c>
      <c r="EA18" s="39">
        <f t="shared" si="74"/>
        <v>0</v>
      </c>
      <c r="EB18" s="39"/>
      <c r="EC18" s="39">
        <f t="shared" si="75"/>
        <v>0</v>
      </c>
      <c r="ED18" s="39">
        <f t="shared" si="76"/>
        <v>0</v>
      </c>
      <c r="EE18" s="39">
        <f t="shared" si="77"/>
        <v>0</v>
      </c>
      <c r="EF18" s="39">
        <f t="shared" si="78"/>
        <v>0</v>
      </c>
      <c r="EG18" s="39"/>
      <c r="EH18" s="39"/>
      <c r="EI18" s="39"/>
      <c r="EJ18" s="39"/>
      <c r="EK18" s="39"/>
      <c r="EL18" s="39"/>
      <c r="EM18" s="39"/>
      <c r="EN18" s="39"/>
      <c r="EO18" s="39"/>
      <c r="EP18" s="39"/>
    </row>
    <row r="19" spans="1:146" ht="12">
      <c r="A19" s="22">
        <v>42461</v>
      </c>
      <c r="C19" s="39"/>
      <c r="D19" s="39"/>
      <c r="E19" s="42">
        <f t="shared" si="0"/>
        <v>0</v>
      </c>
      <c r="H19" s="42">
        <f t="shared" si="1"/>
        <v>0</v>
      </c>
      <c r="I19" s="48">
        <f t="shared" si="2"/>
        <v>0</v>
      </c>
      <c r="J19" s="42">
        <f t="shared" si="3"/>
        <v>0</v>
      </c>
      <c r="K19" s="42">
        <f t="shared" si="4"/>
        <v>0</v>
      </c>
      <c r="M19" s="39">
        <f t="shared" si="79"/>
        <v>0</v>
      </c>
      <c r="N19" s="39">
        <f t="shared" si="5"/>
        <v>0</v>
      </c>
      <c r="O19" s="39">
        <f t="shared" si="6"/>
        <v>0</v>
      </c>
      <c r="P19" s="39">
        <f t="shared" si="7"/>
        <v>0</v>
      </c>
      <c r="R19" s="56">
        <f>C19*15.05006/100</f>
        <v>0</v>
      </c>
      <c r="S19" s="56">
        <f t="shared" si="8"/>
        <v>0</v>
      </c>
      <c r="T19" s="39">
        <f t="shared" si="9"/>
        <v>0</v>
      </c>
      <c r="U19" s="39">
        <f t="shared" si="10"/>
        <v>0</v>
      </c>
      <c r="V19" s="39"/>
      <c r="W19" s="39">
        <f>C19*16.92584/100</f>
        <v>0</v>
      </c>
      <c r="X19" s="39">
        <f t="shared" si="11"/>
        <v>0</v>
      </c>
      <c r="Y19" s="39">
        <f t="shared" si="12"/>
        <v>0</v>
      </c>
      <c r="Z19" s="39">
        <f t="shared" si="13"/>
        <v>0</v>
      </c>
      <c r="AA19" s="39"/>
      <c r="AB19" s="39">
        <f>C19*9.75766/100</f>
        <v>0</v>
      </c>
      <c r="AC19" s="39">
        <f t="shared" si="14"/>
        <v>0</v>
      </c>
      <c r="AD19" s="39">
        <f t="shared" si="15"/>
        <v>0</v>
      </c>
      <c r="AE19" s="39">
        <f t="shared" si="16"/>
        <v>0</v>
      </c>
      <c r="AF19" s="39"/>
      <c r="AG19" s="39">
        <f>C19*7.48131/100</f>
        <v>0</v>
      </c>
      <c r="AH19" s="39">
        <f t="shared" si="17"/>
        <v>0</v>
      </c>
      <c r="AI19" s="39">
        <f t="shared" si="18"/>
        <v>0</v>
      </c>
      <c r="AJ19" s="39">
        <f t="shared" si="19"/>
        <v>0</v>
      </c>
      <c r="AK19" s="39"/>
      <c r="AL19" s="39">
        <f>C19*0.21612/100</f>
        <v>0</v>
      </c>
      <c r="AM19" s="39">
        <f t="shared" si="20"/>
        <v>0</v>
      </c>
      <c r="AN19" s="39">
        <f t="shared" si="21"/>
        <v>0</v>
      </c>
      <c r="AO19" s="39">
        <f t="shared" si="22"/>
        <v>0</v>
      </c>
      <c r="AP19" s="39"/>
      <c r="AQ19" s="39">
        <f>C19*0.01906/100</f>
        <v>0</v>
      </c>
      <c r="AR19" s="39">
        <f t="shared" si="23"/>
        <v>0</v>
      </c>
      <c r="AS19" s="39">
        <f t="shared" si="24"/>
        <v>0</v>
      </c>
      <c r="AT19" s="39">
        <f t="shared" si="25"/>
        <v>0</v>
      </c>
      <c r="AU19" s="39"/>
      <c r="AV19" s="39">
        <f>C19*0.01369/100</f>
        <v>0</v>
      </c>
      <c r="AW19" s="39">
        <f t="shared" si="26"/>
        <v>0</v>
      </c>
      <c r="AX19" s="39">
        <f t="shared" si="27"/>
        <v>0</v>
      </c>
      <c r="AY19" s="39">
        <f t="shared" si="28"/>
        <v>0</v>
      </c>
      <c r="AZ19" s="39"/>
      <c r="BA19" s="39">
        <f>C19*0.23757/100</f>
        <v>0</v>
      </c>
      <c r="BB19" s="39">
        <f t="shared" si="29"/>
        <v>0</v>
      </c>
      <c r="BC19" s="39">
        <f t="shared" si="30"/>
        <v>0</v>
      </c>
      <c r="BD19" s="39">
        <f t="shared" si="31"/>
        <v>0</v>
      </c>
      <c r="BE19" s="39"/>
      <c r="BF19" s="39">
        <f>C19*5.91225/100</f>
        <v>0</v>
      </c>
      <c r="BG19" s="39">
        <f t="shared" si="32"/>
        <v>0</v>
      </c>
      <c r="BH19" s="39">
        <f t="shared" si="33"/>
        <v>0</v>
      </c>
      <c r="BI19" s="39">
        <f t="shared" si="34"/>
        <v>0</v>
      </c>
      <c r="BJ19" s="39"/>
      <c r="BK19" s="39">
        <f>C19*1.80534/100</f>
        <v>0</v>
      </c>
      <c r="BL19" s="39">
        <f t="shared" si="35"/>
        <v>0</v>
      </c>
      <c r="BM19" s="39">
        <f t="shared" si="36"/>
        <v>0</v>
      </c>
      <c r="BN19" s="39">
        <f t="shared" si="37"/>
        <v>0</v>
      </c>
      <c r="BO19" s="39"/>
      <c r="BP19" s="39">
        <f>C19*5.15053/100</f>
        <v>0</v>
      </c>
      <c r="BQ19" s="39">
        <f t="shared" si="38"/>
        <v>0</v>
      </c>
      <c r="BR19" s="39">
        <f t="shared" si="39"/>
        <v>0</v>
      </c>
      <c r="BS19" s="39">
        <f t="shared" si="40"/>
        <v>0</v>
      </c>
      <c r="BT19" s="39"/>
      <c r="BU19" s="39">
        <f>C19*14.16042/100</f>
        <v>0</v>
      </c>
      <c r="BV19" s="39">
        <f t="shared" si="41"/>
        <v>0</v>
      </c>
      <c r="BW19" s="39">
        <f t="shared" si="42"/>
        <v>0</v>
      </c>
      <c r="BX19" s="39">
        <f t="shared" si="43"/>
        <v>0</v>
      </c>
      <c r="BY19" s="39"/>
      <c r="BZ19" s="39">
        <f>C19*6.15602/100</f>
        <v>0</v>
      </c>
      <c r="CA19" s="39">
        <f t="shared" si="44"/>
        <v>0</v>
      </c>
      <c r="CB19" s="39">
        <f t="shared" si="45"/>
        <v>0</v>
      </c>
      <c r="CC19" s="39">
        <f t="shared" si="46"/>
        <v>0</v>
      </c>
      <c r="CD19" s="39"/>
      <c r="CE19" s="39">
        <f>C19*5.37414/100</f>
        <v>0</v>
      </c>
      <c r="CF19" s="39">
        <f t="shared" si="47"/>
        <v>0</v>
      </c>
      <c r="CG19" s="39">
        <f t="shared" si="48"/>
        <v>0</v>
      </c>
      <c r="CH19" s="39">
        <f t="shared" si="49"/>
        <v>0</v>
      </c>
      <c r="CI19" s="39"/>
      <c r="CJ19" s="93">
        <f>C19*0.69717/100</f>
        <v>0</v>
      </c>
      <c r="CK19" s="93">
        <f t="shared" si="50"/>
        <v>0</v>
      </c>
      <c r="CL19" s="93">
        <f t="shared" si="51"/>
        <v>0</v>
      </c>
      <c r="CM19" s="93">
        <f t="shared" si="52"/>
        <v>0</v>
      </c>
      <c r="CN19" s="39"/>
      <c r="CO19" s="39">
        <f>C19*0.02011/100</f>
        <v>0</v>
      </c>
      <c r="CP19" s="39">
        <f t="shared" si="53"/>
        <v>0</v>
      </c>
      <c r="CQ19" s="39">
        <f t="shared" si="54"/>
        <v>0</v>
      </c>
      <c r="CR19" s="39">
        <f t="shared" si="55"/>
        <v>0</v>
      </c>
      <c r="CS19" s="39"/>
      <c r="CT19" s="39">
        <f>C19*4.70981/100</f>
        <v>0</v>
      </c>
      <c r="CU19" s="39">
        <f t="shared" si="56"/>
        <v>0</v>
      </c>
      <c r="CV19" s="39">
        <f t="shared" si="57"/>
        <v>0</v>
      </c>
      <c r="CW19" s="39">
        <f t="shared" si="58"/>
        <v>0</v>
      </c>
      <c r="CX19" s="39"/>
      <c r="CY19" s="39">
        <f>C19*0.28727/100</f>
        <v>0</v>
      </c>
      <c r="CZ19" s="39">
        <f t="shared" si="59"/>
        <v>0</v>
      </c>
      <c r="DA19" s="39">
        <f t="shared" si="60"/>
        <v>0</v>
      </c>
      <c r="DB19" s="39">
        <f t="shared" si="61"/>
        <v>0</v>
      </c>
      <c r="DC19" s="39"/>
      <c r="DD19" s="39">
        <f>C19*4.87421/100</f>
        <v>0</v>
      </c>
      <c r="DE19" s="39">
        <f t="shared" si="62"/>
        <v>0</v>
      </c>
      <c r="DF19" s="39">
        <f t="shared" si="63"/>
        <v>0</v>
      </c>
      <c r="DG19" s="39">
        <f t="shared" si="64"/>
        <v>0</v>
      </c>
      <c r="DH19" s="39"/>
      <c r="DI19" s="39">
        <f>C19*0.60754/100</f>
        <v>0</v>
      </c>
      <c r="DJ19" s="39">
        <f t="shared" si="65"/>
        <v>0</v>
      </c>
      <c r="DK19" s="39">
        <f t="shared" si="66"/>
        <v>0</v>
      </c>
      <c r="DL19" s="39">
        <f t="shared" si="67"/>
        <v>0</v>
      </c>
      <c r="DM19" s="39"/>
      <c r="DN19" s="39">
        <f>C19*0.26185/100</f>
        <v>0</v>
      </c>
      <c r="DO19" s="39">
        <f t="shared" si="68"/>
        <v>0</v>
      </c>
      <c r="DP19" s="39">
        <f t="shared" si="69"/>
        <v>0</v>
      </c>
      <c r="DQ19" s="39">
        <f t="shared" si="70"/>
        <v>0</v>
      </c>
      <c r="DR19" s="39"/>
      <c r="DS19" s="39"/>
      <c r="DT19" s="39"/>
      <c r="DU19" s="39"/>
      <c r="DV19" s="39"/>
      <c r="DW19" s="39"/>
      <c r="DX19" s="56">
        <f t="shared" si="71"/>
        <v>0</v>
      </c>
      <c r="DY19" s="56">
        <f t="shared" si="72"/>
        <v>0</v>
      </c>
      <c r="DZ19" s="39">
        <f t="shared" si="73"/>
        <v>0</v>
      </c>
      <c r="EA19" s="39">
        <f t="shared" si="74"/>
        <v>0</v>
      </c>
      <c r="EB19" s="39"/>
      <c r="EC19" s="39">
        <f t="shared" si="75"/>
        <v>0</v>
      </c>
      <c r="ED19" s="39">
        <f t="shared" si="76"/>
        <v>0</v>
      </c>
      <c r="EE19" s="39">
        <f t="shared" si="77"/>
        <v>0</v>
      </c>
      <c r="EF19" s="39">
        <f t="shared" si="78"/>
        <v>0</v>
      </c>
      <c r="EG19" s="39"/>
      <c r="EH19" s="39"/>
      <c r="EI19" s="39"/>
      <c r="EJ19" s="39"/>
      <c r="EK19" s="39"/>
      <c r="EL19" s="39"/>
      <c r="EM19" s="39"/>
      <c r="EN19" s="39"/>
      <c r="EO19" s="39"/>
      <c r="EP19" s="39"/>
    </row>
    <row r="20" spans="1:146" ht="12" hidden="1">
      <c r="A20" s="22">
        <v>42644</v>
      </c>
      <c r="E20" s="42">
        <f t="shared" si="0"/>
        <v>0</v>
      </c>
      <c r="H20" s="42">
        <f t="shared" si="1"/>
        <v>0</v>
      </c>
      <c r="I20" s="48">
        <f t="shared" si="2"/>
        <v>0</v>
      </c>
      <c r="J20" s="42">
        <f t="shared" si="3"/>
        <v>0</v>
      </c>
      <c r="K20" s="42"/>
      <c r="M20" s="39"/>
      <c r="N20" s="39">
        <f t="shared" si="5"/>
        <v>0</v>
      </c>
      <c r="O20" s="39">
        <f t="shared" si="6"/>
        <v>0</v>
      </c>
      <c r="P20" s="39"/>
      <c r="R20" s="56"/>
      <c r="S20" s="56">
        <f t="shared" si="8"/>
        <v>0</v>
      </c>
      <c r="T20" s="39">
        <f t="shared" si="9"/>
        <v>0</v>
      </c>
      <c r="U20" s="39"/>
      <c r="V20" s="39"/>
      <c r="W20" s="39"/>
      <c r="X20" s="39">
        <f t="shared" si="11"/>
        <v>0</v>
      </c>
      <c r="Y20" s="39">
        <f t="shared" si="12"/>
        <v>0</v>
      </c>
      <c r="Z20" s="39"/>
      <c r="AA20" s="39"/>
      <c r="AB20" s="39"/>
      <c r="AC20" s="39">
        <f t="shared" si="14"/>
        <v>0</v>
      </c>
      <c r="AD20" s="39">
        <f t="shared" si="15"/>
        <v>0</v>
      </c>
      <c r="AE20" s="39"/>
      <c r="AF20" s="39"/>
      <c r="AG20" s="39"/>
      <c r="AH20" s="39">
        <f t="shared" si="17"/>
        <v>0</v>
      </c>
      <c r="AI20" s="39">
        <f t="shared" si="18"/>
        <v>0</v>
      </c>
      <c r="AJ20" s="39"/>
      <c r="AK20" s="39"/>
      <c r="AL20" s="39"/>
      <c r="AM20" s="39">
        <f t="shared" si="20"/>
        <v>0</v>
      </c>
      <c r="AN20" s="39">
        <f t="shared" si="21"/>
        <v>0</v>
      </c>
      <c r="AO20" s="39"/>
      <c r="AP20" s="39"/>
      <c r="AQ20" s="39"/>
      <c r="AR20" s="39">
        <f t="shared" si="23"/>
        <v>0</v>
      </c>
      <c r="AS20" s="39">
        <f t="shared" si="24"/>
        <v>0</v>
      </c>
      <c r="AT20" s="39"/>
      <c r="AU20" s="39"/>
      <c r="AV20" s="39"/>
      <c r="AW20" s="39">
        <f t="shared" si="26"/>
        <v>0</v>
      </c>
      <c r="AX20" s="39">
        <f t="shared" si="27"/>
        <v>0</v>
      </c>
      <c r="AY20" s="39"/>
      <c r="AZ20" s="39"/>
      <c r="BA20" s="39"/>
      <c r="BB20" s="39">
        <f t="shared" si="29"/>
        <v>0</v>
      </c>
      <c r="BC20" s="39">
        <f t="shared" si="30"/>
        <v>0</v>
      </c>
      <c r="BD20" s="39"/>
      <c r="BE20" s="39"/>
      <c r="BF20" s="39"/>
      <c r="BG20" s="39">
        <f t="shared" si="32"/>
        <v>0</v>
      </c>
      <c r="BH20" s="39">
        <f t="shared" si="33"/>
        <v>0</v>
      </c>
      <c r="BI20" s="39"/>
      <c r="BJ20" s="39"/>
      <c r="BK20" s="39"/>
      <c r="BL20" s="39">
        <f t="shared" si="35"/>
        <v>0</v>
      </c>
      <c r="BM20" s="39">
        <f t="shared" si="36"/>
        <v>0</v>
      </c>
      <c r="BN20" s="39"/>
      <c r="BO20" s="39"/>
      <c r="BP20" s="39"/>
      <c r="BQ20" s="39">
        <f t="shared" si="38"/>
        <v>0</v>
      </c>
      <c r="BR20" s="39">
        <f t="shared" si="39"/>
        <v>0</v>
      </c>
      <c r="BS20" s="39"/>
      <c r="BT20" s="39"/>
      <c r="BU20" s="39"/>
      <c r="BV20" s="39">
        <f t="shared" si="41"/>
        <v>0</v>
      </c>
      <c r="BW20" s="39">
        <f t="shared" si="42"/>
        <v>0</v>
      </c>
      <c r="BX20" s="39"/>
      <c r="BY20" s="39"/>
      <c r="BZ20" s="39"/>
      <c r="CA20" s="39">
        <f t="shared" si="44"/>
        <v>0</v>
      </c>
      <c r="CB20" s="39">
        <f t="shared" si="45"/>
        <v>0</v>
      </c>
      <c r="CC20" s="39"/>
      <c r="CD20" s="39"/>
      <c r="CE20" s="39"/>
      <c r="CF20" s="39">
        <f t="shared" si="47"/>
        <v>0</v>
      </c>
      <c r="CG20" s="39">
        <f t="shared" si="48"/>
        <v>0</v>
      </c>
      <c r="CH20" s="39"/>
      <c r="CI20" s="39"/>
      <c r="CJ20" s="93"/>
      <c r="CK20" s="93">
        <f t="shared" si="50"/>
        <v>0</v>
      </c>
      <c r="CL20" s="93">
        <f t="shared" si="51"/>
        <v>0</v>
      </c>
      <c r="CM20" s="93"/>
      <c r="CN20" s="39"/>
      <c r="CO20" s="39"/>
      <c r="CP20" s="39">
        <f t="shared" si="53"/>
        <v>0</v>
      </c>
      <c r="CQ20" s="39">
        <f t="shared" si="54"/>
        <v>0</v>
      </c>
      <c r="CR20" s="39"/>
      <c r="CS20" s="39"/>
      <c r="CT20" s="39"/>
      <c r="CU20" s="39">
        <f t="shared" si="56"/>
        <v>0</v>
      </c>
      <c r="CV20" s="39">
        <f t="shared" si="57"/>
        <v>0</v>
      </c>
      <c r="CW20" s="39"/>
      <c r="CX20" s="39"/>
      <c r="CY20" s="39"/>
      <c r="CZ20" s="39">
        <f t="shared" si="59"/>
        <v>0</v>
      </c>
      <c r="DA20" s="39">
        <f t="shared" si="60"/>
        <v>0</v>
      </c>
      <c r="DB20" s="39"/>
      <c r="DC20" s="39"/>
      <c r="DD20" s="39"/>
      <c r="DE20" s="39">
        <f t="shared" si="62"/>
        <v>0</v>
      </c>
      <c r="DF20" s="39">
        <f t="shared" si="63"/>
        <v>0</v>
      </c>
      <c r="DG20" s="39"/>
      <c r="DH20" s="39"/>
      <c r="DI20" s="39"/>
      <c r="DJ20" s="39">
        <f t="shared" si="65"/>
        <v>0</v>
      </c>
      <c r="DK20" s="39">
        <f t="shared" si="66"/>
        <v>0</v>
      </c>
      <c r="DL20" s="39"/>
      <c r="DM20" s="39"/>
      <c r="DN20" s="39"/>
      <c r="DO20" s="39">
        <f t="shared" si="68"/>
        <v>0</v>
      </c>
      <c r="DP20" s="39">
        <f t="shared" si="69"/>
        <v>0</v>
      </c>
      <c r="DQ20" s="39"/>
      <c r="DR20" s="39"/>
      <c r="DS20" s="39"/>
      <c r="DT20" s="39"/>
      <c r="DU20" s="39"/>
      <c r="DV20" s="39"/>
      <c r="DW20" s="39"/>
      <c r="DX20" s="56">
        <f t="shared" si="71"/>
        <v>0</v>
      </c>
      <c r="DY20" s="56">
        <f t="shared" si="72"/>
        <v>0</v>
      </c>
      <c r="DZ20" s="39">
        <f t="shared" si="73"/>
        <v>0</v>
      </c>
      <c r="EA20" s="39"/>
      <c r="EB20" s="39"/>
      <c r="EC20" s="39">
        <f t="shared" si="75"/>
        <v>0</v>
      </c>
      <c r="ED20" s="39">
        <f t="shared" si="76"/>
        <v>0</v>
      </c>
      <c r="EE20" s="39">
        <f t="shared" si="77"/>
        <v>0</v>
      </c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</row>
    <row r="21" spans="1:146" ht="12" hidden="1">
      <c r="A21" s="22">
        <v>42826</v>
      </c>
      <c r="E21" s="42">
        <f t="shared" si="0"/>
        <v>0</v>
      </c>
      <c r="H21" s="42">
        <f t="shared" si="1"/>
        <v>0</v>
      </c>
      <c r="I21" s="48">
        <f t="shared" si="2"/>
        <v>0</v>
      </c>
      <c r="J21" s="42">
        <f t="shared" si="3"/>
        <v>0</v>
      </c>
      <c r="K21" s="42"/>
      <c r="M21" s="39">
        <f t="shared" si="79"/>
        <v>0</v>
      </c>
      <c r="N21" s="39">
        <f t="shared" si="5"/>
        <v>0</v>
      </c>
      <c r="O21" s="39">
        <f t="shared" si="6"/>
        <v>0</v>
      </c>
      <c r="P21" s="39"/>
      <c r="R21" s="56">
        <f>C21*15.05006/100</f>
        <v>0</v>
      </c>
      <c r="S21" s="56">
        <f t="shared" si="8"/>
        <v>0</v>
      </c>
      <c r="T21" s="39">
        <f t="shared" si="9"/>
        <v>0</v>
      </c>
      <c r="U21" s="39"/>
      <c r="V21" s="39"/>
      <c r="W21" s="39">
        <f>C21*16.92584/100</f>
        <v>0</v>
      </c>
      <c r="X21" s="39">
        <f t="shared" si="11"/>
        <v>0</v>
      </c>
      <c r="Y21" s="39">
        <f t="shared" si="12"/>
        <v>0</v>
      </c>
      <c r="Z21" s="39"/>
      <c r="AA21" s="39"/>
      <c r="AB21" s="39">
        <f>C21*9.75766/100</f>
        <v>0</v>
      </c>
      <c r="AC21" s="39">
        <f t="shared" si="14"/>
        <v>0</v>
      </c>
      <c r="AD21" s="39">
        <f t="shared" si="15"/>
        <v>0</v>
      </c>
      <c r="AE21" s="39"/>
      <c r="AF21" s="39"/>
      <c r="AG21" s="39">
        <f>C21*7.48131/100</f>
        <v>0</v>
      </c>
      <c r="AH21" s="39">
        <f t="shared" si="17"/>
        <v>0</v>
      </c>
      <c r="AI21" s="39">
        <f t="shared" si="18"/>
        <v>0</v>
      </c>
      <c r="AJ21" s="39"/>
      <c r="AK21" s="39"/>
      <c r="AL21" s="39">
        <f>C21*0.21612/100</f>
        <v>0</v>
      </c>
      <c r="AM21" s="39">
        <f t="shared" si="20"/>
        <v>0</v>
      </c>
      <c r="AN21" s="39">
        <f t="shared" si="21"/>
        <v>0</v>
      </c>
      <c r="AO21" s="39"/>
      <c r="AP21" s="39"/>
      <c r="AQ21" s="39">
        <f>C21*0.01906/100</f>
        <v>0</v>
      </c>
      <c r="AR21" s="39">
        <f t="shared" si="23"/>
        <v>0</v>
      </c>
      <c r="AS21" s="39">
        <f t="shared" si="24"/>
        <v>0</v>
      </c>
      <c r="AT21" s="39"/>
      <c r="AU21" s="39"/>
      <c r="AV21" s="39">
        <f>C21*0.01369/100</f>
        <v>0</v>
      </c>
      <c r="AW21" s="39">
        <f t="shared" si="26"/>
        <v>0</v>
      </c>
      <c r="AX21" s="39">
        <f t="shared" si="27"/>
        <v>0</v>
      </c>
      <c r="AY21" s="39"/>
      <c r="AZ21" s="39"/>
      <c r="BA21" s="39">
        <f>C21*0.23757/100</f>
        <v>0</v>
      </c>
      <c r="BB21" s="39">
        <f t="shared" si="29"/>
        <v>0</v>
      </c>
      <c r="BC21" s="39">
        <f t="shared" si="30"/>
        <v>0</v>
      </c>
      <c r="BD21" s="39"/>
      <c r="BE21" s="39"/>
      <c r="BF21" s="39">
        <f>C21*5.91225/100</f>
        <v>0</v>
      </c>
      <c r="BG21" s="39">
        <f t="shared" si="32"/>
        <v>0</v>
      </c>
      <c r="BH21" s="39">
        <f t="shared" si="33"/>
        <v>0</v>
      </c>
      <c r="BI21" s="39"/>
      <c r="BJ21" s="39"/>
      <c r="BK21" s="39">
        <f>C21*1.80534/100</f>
        <v>0</v>
      </c>
      <c r="BL21" s="39">
        <f t="shared" si="35"/>
        <v>0</v>
      </c>
      <c r="BM21" s="39">
        <f t="shared" si="36"/>
        <v>0</v>
      </c>
      <c r="BN21" s="39"/>
      <c r="BO21" s="39"/>
      <c r="BP21" s="39">
        <f>C21*5.15053/100</f>
        <v>0</v>
      </c>
      <c r="BQ21" s="39">
        <f t="shared" si="38"/>
        <v>0</v>
      </c>
      <c r="BR21" s="39">
        <f t="shared" si="39"/>
        <v>0</v>
      </c>
      <c r="BS21" s="39"/>
      <c r="BT21" s="39"/>
      <c r="BU21" s="39">
        <f>C21*14.16042/100</f>
        <v>0</v>
      </c>
      <c r="BV21" s="39">
        <f t="shared" si="41"/>
        <v>0</v>
      </c>
      <c r="BW21" s="39">
        <f t="shared" si="42"/>
        <v>0</v>
      </c>
      <c r="BX21" s="39"/>
      <c r="BY21" s="39"/>
      <c r="BZ21" s="39">
        <f>C21*6.15602/100</f>
        <v>0</v>
      </c>
      <c r="CA21" s="39">
        <f t="shared" si="44"/>
        <v>0</v>
      </c>
      <c r="CB21" s="39">
        <f t="shared" si="45"/>
        <v>0</v>
      </c>
      <c r="CC21" s="39"/>
      <c r="CD21" s="39"/>
      <c r="CE21" s="39">
        <f>C21*5.37414/100</f>
        <v>0</v>
      </c>
      <c r="CF21" s="39">
        <f t="shared" si="47"/>
        <v>0</v>
      </c>
      <c r="CG21" s="39">
        <f t="shared" si="48"/>
        <v>0</v>
      </c>
      <c r="CH21" s="39"/>
      <c r="CI21" s="39"/>
      <c r="CJ21" s="93">
        <f>C21*0.69717/100</f>
        <v>0</v>
      </c>
      <c r="CK21" s="93">
        <f t="shared" si="50"/>
        <v>0</v>
      </c>
      <c r="CL21" s="93">
        <f t="shared" si="51"/>
        <v>0</v>
      </c>
      <c r="CM21" s="93"/>
      <c r="CN21" s="39"/>
      <c r="CO21" s="39">
        <f>C21*0.02011/100</f>
        <v>0</v>
      </c>
      <c r="CP21" s="39">
        <f t="shared" si="53"/>
        <v>0</v>
      </c>
      <c r="CQ21" s="39">
        <f t="shared" si="54"/>
        <v>0</v>
      </c>
      <c r="CR21" s="39"/>
      <c r="CS21" s="39"/>
      <c r="CT21" s="39">
        <f>C21*4.70981/100</f>
        <v>0</v>
      </c>
      <c r="CU21" s="39">
        <f t="shared" si="56"/>
        <v>0</v>
      </c>
      <c r="CV21" s="39">
        <f t="shared" si="57"/>
        <v>0</v>
      </c>
      <c r="CW21" s="39"/>
      <c r="CX21" s="39"/>
      <c r="CY21" s="39">
        <f>C21*0.28727/100</f>
        <v>0</v>
      </c>
      <c r="CZ21" s="39">
        <f t="shared" si="59"/>
        <v>0</v>
      </c>
      <c r="DA21" s="39">
        <f t="shared" si="60"/>
        <v>0</v>
      </c>
      <c r="DB21" s="39"/>
      <c r="DC21" s="39"/>
      <c r="DD21" s="39">
        <f>C21*4.87421/100</f>
        <v>0</v>
      </c>
      <c r="DE21" s="39">
        <f t="shared" si="62"/>
        <v>0</v>
      </c>
      <c r="DF21" s="39">
        <f t="shared" si="63"/>
        <v>0</v>
      </c>
      <c r="DG21" s="39"/>
      <c r="DH21" s="39"/>
      <c r="DI21" s="39">
        <f>C21*0.60754/100</f>
        <v>0</v>
      </c>
      <c r="DJ21" s="39">
        <f t="shared" si="65"/>
        <v>0</v>
      </c>
      <c r="DK21" s="39">
        <f t="shared" si="66"/>
        <v>0</v>
      </c>
      <c r="DL21" s="39"/>
      <c r="DM21" s="39"/>
      <c r="DN21" s="39">
        <f>C21*0.26185/100</f>
        <v>0</v>
      </c>
      <c r="DO21" s="39">
        <f t="shared" si="68"/>
        <v>0</v>
      </c>
      <c r="DP21" s="39">
        <f t="shared" si="69"/>
        <v>0</v>
      </c>
      <c r="DQ21" s="39"/>
      <c r="DR21" s="39"/>
      <c r="DS21" s="39"/>
      <c r="DT21" s="39"/>
      <c r="DU21" s="39"/>
      <c r="DV21" s="39"/>
      <c r="DW21" s="39"/>
      <c r="DX21" s="56">
        <f t="shared" si="71"/>
        <v>0</v>
      </c>
      <c r="DY21" s="56">
        <f t="shared" si="72"/>
        <v>0</v>
      </c>
      <c r="DZ21" s="39">
        <f t="shared" si="73"/>
        <v>0</v>
      </c>
      <c r="EA21" s="39"/>
      <c r="EB21" s="39"/>
      <c r="EC21" s="39">
        <f t="shared" si="75"/>
        <v>0</v>
      </c>
      <c r="ED21" s="39">
        <f t="shared" si="76"/>
        <v>0</v>
      </c>
      <c r="EE21" s="39">
        <f t="shared" si="77"/>
        <v>0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</row>
    <row r="22" spans="1:146" ht="12" hidden="1">
      <c r="A22" s="22">
        <v>43009</v>
      </c>
      <c r="E22" s="42">
        <f t="shared" si="0"/>
        <v>0</v>
      </c>
      <c r="H22" s="42">
        <f t="shared" si="1"/>
        <v>0</v>
      </c>
      <c r="I22" s="48">
        <f t="shared" si="2"/>
        <v>0</v>
      </c>
      <c r="J22" s="42">
        <f t="shared" si="3"/>
        <v>0</v>
      </c>
      <c r="K22" s="42"/>
      <c r="M22" s="39"/>
      <c r="N22" s="39">
        <f t="shared" si="5"/>
        <v>0</v>
      </c>
      <c r="O22" s="39">
        <f t="shared" si="6"/>
        <v>0</v>
      </c>
      <c r="P22" s="39"/>
      <c r="R22" s="56"/>
      <c r="S22" s="56">
        <f t="shared" si="8"/>
        <v>0</v>
      </c>
      <c r="T22" s="39">
        <f t="shared" si="9"/>
        <v>0</v>
      </c>
      <c r="U22" s="39"/>
      <c r="V22" s="39"/>
      <c r="W22" s="39"/>
      <c r="X22" s="39">
        <f t="shared" si="11"/>
        <v>0</v>
      </c>
      <c r="Y22" s="39">
        <f t="shared" si="12"/>
        <v>0</v>
      </c>
      <c r="Z22" s="39"/>
      <c r="AA22" s="39"/>
      <c r="AB22" s="39"/>
      <c r="AC22" s="39">
        <f t="shared" si="14"/>
        <v>0</v>
      </c>
      <c r="AD22" s="39">
        <f t="shared" si="15"/>
        <v>0</v>
      </c>
      <c r="AE22" s="39"/>
      <c r="AF22" s="39"/>
      <c r="AG22" s="39"/>
      <c r="AH22" s="39">
        <f t="shared" si="17"/>
        <v>0</v>
      </c>
      <c r="AI22" s="39">
        <f t="shared" si="18"/>
        <v>0</v>
      </c>
      <c r="AJ22" s="39"/>
      <c r="AK22" s="39"/>
      <c r="AL22" s="39"/>
      <c r="AM22" s="39">
        <f t="shared" si="20"/>
        <v>0</v>
      </c>
      <c r="AN22" s="39">
        <f t="shared" si="21"/>
        <v>0</v>
      </c>
      <c r="AO22" s="39"/>
      <c r="AP22" s="39"/>
      <c r="AQ22" s="39"/>
      <c r="AR22" s="39">
        <f t="shared" si="23"/>
        <v>0</v>
      </c>
      <c r="AS22" s="39">
        <f t="shared" si="24"/>
        <v>0</v>
      </c>
      <c r="AT22" s="39"/>
      <c r="AU22" s="39"/>
      <c r="AV22" s="39"/>
      <c r="AW22" s="39">
        <f t="shared" si="26"/>
        <v>0</v>
      </c>
      <c r="AX22" s="39">
        <f t="shared" si="27"/>
        <v>0</v>
      </c>
      <c r="AY22" s="39"/>
      <c r="AZ22" s="39"/>
      <c r="BA22" s="39"/>
      <c r="BB22" s="39">
        <f t="shared" si="29"/>
        <v>0</v>
      </c>
      <c r="BC22" s="39">
        <f t="shared" si="30"/>
        <v>0</v>
      </c>
      <c r="BD22" s="39"/>
      <c r="BE22" s="39"/>
      <c r="BF22" s="39"/>
      <c r="BG22" s="39">
        <f t="shared" si="32"/>
        <v>0</v>
      </c>
      <c r="BH22" s="39">
        <f t="shared" si="33"/>
        <v>0</v>
      </c>
      <c r="BI22" s="39"/>
      <c r="BJ22" s="39"/>
      <c r="BK22" s="39"/>
      <c r="BL22" s="39">
        <f t="shared" si="35"/>
        <v>0</v>
      </c>
      <c r="BM22" s="39">
        <f t="shared" si="36"/>
        <v>0</v>
      </c>
      <c r="BN22" s="39"/>
      <c r="BO22" s="39"/>
      <c r="BP22" s="39"/>
      <c r="BQ22" s="39">
        <f t="shared" si="38"/>
        <v>0</v>
      </c>
      <c r="BR22" s="39">
        <f t="shared" si="39"/>
        <v>0</v>
      </c>
      <c r="BS22" s="39"/>
      <c r="BT22" s="39"/>
      <c r="BU22" s="39"/>
      <c r="BV22" s="39">
        <f t="shared" si="41"/>
        <v>0</v>
      </c>
      <c r="BW22" s="39">
        <f t="shared" si="42"/>
        <v>0</v>
      </c>
      <c r="BX22" s="39"/>
      <c r="BY22" s="39"/>
      <c r="BZ22" s="39"/>
      <c r="CA22" s="39">
        <f t="shared" si="44"/>
        <v>0</v>
      </c>
      <c r="CB22" s="39">
        <f t="shared" si="45"/>
        <v>0</v>
      </c>
      <c r="CC22" s="39"/>
      <c r="CD22" s="39"/>
      <c r="CE22" s="39"/>
      <c r="CF22" s="39">
        <f t="shared" si="47"/>
        <v>0</v>
      </c>
      <c r="CG22" s="39">
        <f t="shared" si="48"/>
        <v>0</v>
      </c>
      <c r="CH22" s="39"/>
      <c r="CI22" s="39"/>
      <c r="CJ22" s="93"/>
      <c r="CK22" s="93">
        <f t="shared" si="50"/>
        <v>0</v>
      </c>
      <c r="CL22" s="93">
        <f t="shared" si="51"/>
        <v>0</v>
      </c>
      <c r="CM22" s="93"/>
      <c r="CN22" s="39"/>
      <c r="CO22" s="39"/>
      <c r="CP22" s="39">
        <f t="shared" si="53"/>
        <v>0</v>
      </c>
      <c r="CQ22" s="39">
        <f t="shared" si="54"/>
        <v>0</v>
      </c>
      <c r="CR22" s="39"/>
      <c r="CS22" s="39"/>
      <c r="CT22" s="39"/>
      <c r="CU22" s="39">
        <f t="shared" si="56"/>
        <v>0</v>
      </c>
      <c r="CV22" s="39">
        <f t="shared" si="57"/>
        <v>0</v>
      </c>
      <c r="CW22" s="39"/>
      <c r="CX22" s="39"/>
      <c r="CY22" s="39"/>
      <c r="CZ22" s="39">
        <f t="shared" si="59"/>
        <v>0</v>
      </c>
      <c r="DA22" s="39">
        <f t="shared" si="60"/>
        <v>0</v>
      </c>
      <c r="DB22" s="39"/>
      <c r="DC22" s="39"/>
      <c r="DD22" s="39"/>
      <c r="DE22" s="39">
        <f t="shared" si="62"/>
        <v>0</v>
      </c>
      <c r="DF22" s="39">
        <f t="shared" si="63"/>
        <v>0</v>
      </c>
      <c r="DG22" s="39"/>
      <c r="DH22" s="39"/>
      <c r="DI22" s="39"/>
      <c r="DJ22" s="39">
        <f t="shared" si="65"/>
        <v>0</v>
      </c>
      <c r="DK22" s="39">
        <f t="shared" si="66"/>
        <v>0</v>
      </c>
      <c r="DL22" s="39"/>
      <c r="DM22" s="39"/>
      <c r="DN22" s="39"/>
      <c r="DO22" s="39">
        <f t="shared" si="68"/>
        <v>0</v>
      </c>
      <c r="DP22" s="39">
        <f t="shared" si="69"/>
        <v>0</v>
      </c>
      <c r="DQ22" s="39"/>
      <c r="DR22" s="39"/>
      <c r="DS22" s="39"/>
      <c r="DT22" s="39"/>
      <c r="DU22" s="39"/>
      <c r="DV22" s="39"/>
      <c r="DW22" s="39"/>
      <c r="DX22" s="56">
        <f t="shared" si="71"/>
        <v>0</v>
      </c>
      <c r="DY22" s="56">
        <f t="shared" si="72"/>
        <v>0</v>
      </c>
      <c r="DZ22" s="39">
        <f t="shared" si="73"/>
        <v>0</v>
      </c>
      <c r="EA22" s="39"/>
      <c r="EB22" s="39"/>
      <c r="EC22" s="39">
        <f t="shared" si="75"/>
        <v>0</v>
      </c>
      <c r="ED22" s="39">
        <f t="shared" si="76"/>
        <v>0</v>
      </c>
      <c r="EE22" s="39">
        <f t="shared" si="77"/>
        <v>0</v>
      </c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</row>
    <row r="23" spans="1:146" ht="12" hidden="1">
      <c r="A23" s="57">
        <v>43191</v>
      </c>
      <c r="E23" s="42">
        <f t="shared" si="0"/>
        <v>0</v>
      </c>
      <c r="H23" s="42">
        <f t="shared" si="1"/>
        <v>0</v>
      </c>
      <c r="I23" s="48">
        <f t="shared" si="2"/>
        <v>0</v>
      </c>
      <c r="J23" s="42">
        <f t="shared" si="3"/>
        <v>0</v>
      </c>
      <c r="K23" s="42"/>
      <c r="M23" s="39">
        <f t="shared" si="79"/>
        <v>0</v>
      </c>
      <c r="N23" s="39">
        <f t="shared" si="5"/>
        <v>0</v>
      </c>
      <c r="O23" s="39">
        <f t="shared" si="6"/>
        <v>0</v>
      </c>
      <c r="P23" s="39"/>
      <c r="R23" s="56">
        <f>C23*15.05006/100</f>
        <v>0</v>
      </c>
      <c r="S23" s="56">
        <f t="shared" si="8"/>
        <v>0</v>
      </c>
      <c r="T23" s="39">
        <f t="shared" si="9"/>
        <v>0</v>
      </c>
      <c r="U23" s="39"/>
      <c r="V23" s="39"/>
      <c r="W23" s="39">
        <f>C23*16.92584/100</f>
        <v>0</v>
      </c>
      <c r="X23" s="39">
        <f t="shared" si="11"/>
        <v>0</v>
      </c>
      <c r="Y23" s="39">
        <f t="shared" si="12"/>
        <v>0</v>
      </c>
      <c r="Z23" s="39"/>
      <c r="AA23" s="39"/>
      <c r="AB23" s="39">
        <f>C23*9.75766/100</f>
        <v>0</v>
      </c>
      <c r="AC23" s="39">
        <f t="shared" si="14"/>
        <v>0</v>
      </c>
      <c r="AD23" s="39">
        <f t="shared" si="15"/>
        <v>0</v>
      </c>
      <c r="AE23" s="39"/>
      <c r="AF23" s="39"/>
      <c r="AG23" s="39">
        <f>C23*7.48131/100</f>
        <v>0</v>
      </c>
      <c r="AH23" s="39">
        <f t="shared" si="17"/>
        <v>0</v>
      </c>
      <c r="AI23" s="39">
        <f t="shared" si="18"/>
        <v>0</v>
      </c>
      <c r="AJ23" s="39"/>
      <c r="AK23" s="39"/>
      <c r="AL23" s="39">
        <f>C23*0.21612/100</f>
        <v>0</v>
      </c>
      <c r="AM23" s="39">
        <f t="shared" si="20"/>
        <v>0</v>
      </c>
      <c r="AN23" s="39">
        <f t="shared" si="21"/>
        <v>0</v>
      </c>
      <c r="AO23" s="39"/>
      <c r="AP23" s="39"/>
      <c r="AQ23" s="39">
        <f>C23*0.01906/100</f>
        <v>0</v>
      </c>
      <c r="AR23" s="39">
        <f t="shared" si="23"/>
        <v>0</v>
      </c>
      <c r="AS23" s="39">
        <f t="shared" si="24"/>
        <v>0</v>
      </c>
      <c r="AT23" s="39"/>
      <c r="AU23" s="39"/>
      <c r="AV23" s="39">
        <f>C23*0.01369/100</f>
        <v>0</v>
      </c>
      <c r="AW23" s="39">
        <f t="shared" si="26"/>
        <v>0</v>
      </c>
      <c r="AX23" s="39">
        <f t="shared" si="27"/>
        <v>0</v>
      </c>
      <c r="AY23" s="39"/>
      <c r="AZ23" s="39"/>
      <c r="BA23" s="39">
        <f>C23*0.23757/100</f>
        <v>0</v>
      </c>
      <c r="BB23" s="39">
        <f t="shared" si="29"/>
        <v>0</v>
      </c>
      <c r="BC23" s="39">
        <f t="shared" si="30"/>
        <v>0</v>
      </c>
      <c r="BD23" s="39"/>
      <c r="BE23" s="39"/>
      <c r="BF23" s="39">
        <f>C23*5.91225/100</f>
        <v>0</v>
      </c>
      <c r="BG23" s="39">
        <f t="shared" si="32"/>
        <v>0</v>
      </c>
      <c r="BH23" s="39">
        <f t="shared" si="33"/>
        <v>0</v>
      </c>
      <c r="BI23" s="39"/>
      <c r="BJ23" s="39"/>
      <c r="BK23" s="39">
        <f>C23*1.80534/100</f>
        <v>0</v>
      </c>
      <c r="BL23" s="39">
        <f t="shared" si="35"/>
        <v>0</v>
      </c>
      <c r="BM23" s="39">
        <f t="shared" si="36"/>
        <v>0</v>
      </c>
      <c r="BN23" s="39"/>
      <c r="BO23" s="39"/>
      <c r="BP23" s="39">
        <f>C23*5.15053/100</f>
        <v>0</v>
      </c>
      <c r="BQ23" s="39">
        <f t="shared" si="38"/>
        <v>0</v>
      </c>
      <c r="BR23" s="39">
        <f t="shared" si="39"/>
        <v>0</v>
      </c>
      <c r="BS23" s="39"/>
      <c r="BT23" s="39"/>
      <c r="BU23" s="39">
        <f>C23*14.16042/100</f>
        <v>0</v>
      </c>
      <c r="BV23" s="39">
        <f t="shared" si="41"/>
        <v>0</v>
      </c>
      <c r="BW23" s="39">
        <f t="shared" si="42"/>
        <v>0</v>
      </c>
      <c r="BX23" s="39"/>
      <c r="BY23" s="39"/>
      <c r="BZ23" s="39">
        <f>C23*6.15602/100</f>
        <v>0</v>
      </c>
      <c r="CA23" s="39">
        <f t="shared" si="44"/>
        <v>0</v>
      </c>
      <c r="CB23" s="39">
        <f t="shared" si="45"/>
        <v>0</v>
      </c>
      <c r="CC23" s="39"/>
      <c r="CD23" s="39"/>
      <c r="CE23" s="39">
        <f>C23*5.37414/100</f>
        <v>0</v>
      </c>
      <c r="CF23" s="39">
        <f t="shared" si="47"/>
        <v>0</v>
      </c>
      <c r="CG23" s="39">
        <f t="shared" si="48"/>
        <v>0</v>
      </c>
      <c r="CH23" s="39"/>
      <c r="CI23" s="39"/>
      <c r="CJ23" s="93">
        <f>C23*0.69717/100</f>
        <v>0</v>
      </c>
      <c r="CK23" s="93">
        <f t="shared" si="50"/>
        <v>0</v>
      </c>
      <c r="CL23" s="93">
        <f t="shared" si="51"/>
        <v>0</v>
      </c>
      <c r="CM23" s="93"/>
      <c r="CN23" s="39"/>
      <c r="CO23" s="39">
        <f>C23*0.02011/100</f>
        <v>0</v>
      </c>
      <c r="CP23" s="39">
        <f t="shared" si="53"/>
        <v>0</v>
      </c>
      <c r="CQ23" s="39">
        <f t="shared" si="54"/>
        <v>0</v>
      </c>
      <c r="CR23" s="39"/>
      <c r="CS23" s="39"/>
      <c r="CT23" s="39">
        <f>C23*4.70981/100</f>
        <v>0</v>
      </c>
      <c r="CU23" s="39">
        <f t="shared" si="56"/>
        <v>0</v>
      </c>
      <c r="CV23" s="39">
        <f t="shared" si="57"/>
        <v>0</v>
      </c>
      <c r="CW23" s="39"/>
      <c r="CX23" s="39"/>
      <c r="CY23" s="39">
        <f>C23*0.28727/100</f>
        <v>0</v>
      </c>
      <c r="CZ23" s="39">
        <f t="shared" si="59"/>
        <v>0</v>
      </c>
      <c r="DA23" s="39">
        <f t="shared" si="60"/>
        <v>0</v>
      </c>
      <c r="DB23" s="39"/>
      <c r="DC23" s="39"/>
      <c r="DD23" s="39">
        <f>C23*4.87421/100</f>
        <v>0</v>
      </c>
      <c r="DE23" s="39">
        <f t="shared" si="62"/>
        <v>0</v>
      </c>
      <c r="DF23" s="39">
        <f t="shared" si="63"/>
        <v>0</v>
      </c>
      <c r="DG23" s="39"/>
      <c r="DH23" s="39"/>
      <c r="DI23" s="39">
        <f>C23*0.60754/100</f>
        <v>0</v>
      </c>
      <c r="DJ23" s="39">
        <f t="shared" si="65"/>
        <v>0</v>
      </c>
      <c r="DK23" s="39">
        <f t="shared" si="66"/>
        <v>0</v>
      </c>
      <c r="DL23" s="39"/>
      <c r="DM23" s="39"/>
      <c r="DN23" s="39">
        <f>C23*0.26185/100</f>
        <v>0</v>
      </c>
      <c r="DO23" s="39">
        <f t="shared" si="68"/>
        <v>0</v>
      </c>
      <c r="DP23" s="39">
        <f t="shared" si="69"/>
        <v>0</v>
      </c>
      <c r="DQ23" s="39"/>
      <c r="DR23" s="39"/>
      <c r="DS23" s="39"/>
      <c r="DT23" s="39"/>
      <c r="DU23" s="39"/>
      <c r="DV23" s="39"/>
      <c r="DW23" s="39"/>
      <c r="DX23" s="56">
        <f t="shared" si="71"/>
        <v>0</v>
      </c>
      <c r="DY23" s="56">
        <f t="shared" si="72"/>
        <v>0</v>
      </c>
      <c r="DZ23" s="39">
        <f t="shared" si="73"/>
        <v>0</v>
      </c>
      <c r="EA23" s="39"/>
      <c r="EB23" s="39"/>
      <c r="EC23" s="39">
        <f t="shared" si="75"/>
        <v>0</v>
      </c>
      <c r="ED23" s="39">
        <f t="shared" si="76"/>
        <v>0</v>
      </c>
      <c r="EE23" s="39">
        <f t="shared" si="77"/>
        <v>0</v>
      </c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</row>
    <row r="24" spans="1:146" ht="12" hidden="1">
      <c r="A24" s="57">
        <v>43374</v>
      </c>
      <c r="E24" s="42">
        <f t="shared" si="0"/>
        <v>0</v>
      </c>
      <c r="H24" s="42">
        <f t="shared" si="1"/>
        <v>0</v>
      </c>
      <c r="I24" s="48">
        <f t="shared" si="2"/>
        <v>0</v>
      </c>
      <c r="J24" s="42">
        <f t="shared" si="3"/>
        <v>0</v>
      </c>
      <c r="K24" s="42"/>
      <c r="M24" s="39"/>
      <c r="N24" s="39">
        <f t="shared" si="5"/>
        <v>0</v>
      </c>
      <c r="O24" s="39">
        <f t="shared" si="6"/>
        <v>0</v>
      </c>
      <c r="P24" s="39"/>
      <c r="R24" s="56"/>
      <c r="S24" s="56">
        <f t="shared" si="8"/>
        <v>0</v>
      </c>
      <c r="T24" s="39">
        <f t="shared" si="9"/>
        <v>0</v>
      </c>
      <c r="U24" s="39"/>
      <c r="V24" s="39"/>
      <c r="W24" s="39"/>
      <c r="X24" s="39">
        <f t="shared" si="11"/>
        <v>0</v>
      </c>
      <c r="Y24" s="39">
        <f t="shared" si="12"/>
        <v>0</v>
      </c>
      <c r="Z24" s="39"/>
      <c r="AA24" s="39"/>
      <c r="AB24" s="39"/>
      <c r="AC24" s="39">
        <f t="shared" si="14"/>
        <v>0</v>
      </c>
      <c r="AD24" s="39">
        <f t="shared" si="15"/>
        <v>0</v>
      </c>
      <c r="AE24" s="39"/>
      <c r="AF24" s="39"/>
      <c r="AG24" s="39"/>
      <c r="AH24" s="39">
        <f t="shared" si="17"/>
        <v>0</v>
      </c>
      <c r="AI24" s="39">
        <f t="shared" si="18"/>
        <v>0</v>
      </c>
      <c r="AJ24" s="39"/>
      <c r="AK24" s="39"/>
      <c r="AL24" s="39"/>
      <c r="AM24" s="39">
        <f t="shared" si="20"/>
        <v>0</v>
      </c>
      <c r="AN24" s="39">
        <f t="shared" si="21"/>
        <v>0</v>
      </c>
      <c r="AO24" s="39"/>
      <c r="AP24" s="39"/>
      <c r="AQ24" s="39"/>
      <c r="AR24" s="39">
        <f t="shared" si="23"/>
        <v>0</v>
      </c>
      <c r="AS24" s="39">
        <f t="shared" si="24"/>
        <v>0</v>
      </c>
      <c r="AT24" s="39"/>
      <c r="AU24" s="39"/>
      <c r="AV24" s="39"/>
      <c r="AW24" s="39">
        <f t="shared" si="26"/>
        <v>0</v>
      </c>
      <c r="AX24" s="39">
        <f t="shared" si="27"/>
        <v>0</v>
      </c>
      <c r="AY24" s="39"/>
      <c r="AZ24" s="39"/>
      <c r="BA24" s="39"/>
      <c r="BB24" s="39">
        <f t="shared" si="29"/>
        <v>0</v>
      </c>
      <c r="BC24" s="39">
        <f t="shared" si="30"/>
        <v>0</v>
      </c>
      <c r="BD24" s="39"/>
      <c r="BE24" s="39"/>
      <c r="BF24" s="39"/>
      <c r="BG24" s="39">
        <f t="shared" si="32"/>
        <v>0</v>
      </c>
      <c r="BH24" s="39">
        <f t="shared" si="33"/>
        <v>0</v>
      </c>
      <c r="BI24" s="39"/>
      <c r="BJ24" s="39"/>
      <c r="BK24" s="39"/>
      <c r="BL24" s="39">
        <f t="shared" si="35"/>
        <v>0</v>
      </c>
      <c r="BM24" s="39">
        <f t="shared" si="36"/>
        <v>0</v>
      </c>
      <c r="BN24" s="39"/>
      <c r="BO24" s="39"/>
      <c r="BP24" s="39"/>
      <c r="BQ24" s="39">
        <f t="shared" si="38"/>
        <v>0</v>
      </c>
      <c r="BR24" s="39">
        <f t="shared" si="39"/>
        <v>0</v>
      </c>
      <c r="BS24" s="39"/>
      <c r="BT24" s="39"/>
      <c r="BU24" s="39"/>
      <c r="BV24" s="39">
        <f t="shared" si="41"/>
        <v>0</v>
      </c>
      <c r="BW24" s="39">
        <f t="shared" si="42"/>
        <v>0</v>
      </c>
      <c r="BX24" s="39"/>
      <c r="BY24" s="39"/>
      <c r="BZ24" s="39"/>
      <c r="CA24" s="39">
        <f t="shared" si="44"/>
        <v>0</v>
      </c>
      <c r="CB24" s="39">
        <f t="shared" si="45"/>
        <v>0</v>
      </c>
      <c r="CC24" s="39"/>
      <c r="CD24" s="39"/>
      <c r="CE24" s="39"/>
      <c r="CF24" s="39">
        <f t="shared" si="47"/>
        <v>0</v>
      </c>
      <c r="CG24" s="39">
        <f t="shared" si="48"/>
        <v>0</v>
      </c>
      <c r="CH24" s="39"/>
      <c r="CI24" s="39"/>
      <c r="CJ24" s="93"/>
      <c r="CK24" s="93">
        <f t="shared" si="50"/>
        <v>0</v>
      </c>
      <c r="CL24" s="93">
        <f t="shared" si="51"/>
        <v>0</v>
      </c>
      <c r="CM24" s="93"/>
      <c r="CN24" s="39"/>
      <c r="CO24" s="39"/>
      <c r="CP24" s="39">
        <f t="shared" si="53"/>
        <v>0</v>
      </c>
      <c r="CQ24" s="39">
        <f t="shared" si="54"/>
        <v>0</v>
      </c>
      <c r="CR24" s="39"/>
      <c r="CS24" s="39"/>
      <c r="CT24" s="39"/>
      <c r="CU24" s="39">
        <f t="shared" si="56"/>
        <v>0</v>
      </c>
      <c r="CV24" s="39">
        <f t="shared" si="57"/>
        <v>0</v>
      </c>
      <c r="CW24" s="39"/>
      <c r="CX24" s="39"/>
      <c r="CY24" s="39"/>
      <c r="CZ24" s="39">
        <f t="shared" si="59"/>
        <v>0</v>
      </c>
      <c r="DA24" s="39">
        <f t="shared" si="60"/>
        <v>0</v>
      </c>
      <c r="DB24" s="39"/>
      <c r="DC24" s="39"/>
      <c r="DD24" s="39"/>
      <c r="DE24" s="39">
        <f t="shared" si="62"/>
        <v>0</v>
      </c>
      <c r="DF24" s="39">
        <f t="shared" si="63"/>
        <v>0</v>
      </c>
      <c r="DG24" s="39"/>
      <c r="DH24" s="39"/>
      <c r="DI24" s="39"/>
      <c r="DJ24" s="39">
        <f t="shared" si="65"/>
        <v>0</v>
      </c>
      <c r="DK24" s="39">
        <f t="shared" si="66"/>
        <v>0</v>
      </c>
      <c r="DL24" s="39"/>
      <c r="DM24" s="39"/>
      <c r="DN24" s="39"/>
      <c r="DO24" s="39">
        <f t="shared" si="68"/>
        <v>0</v>
      </c>
      <c r="DP24" s="39">
        <f t="shared" si="69"/>
        <v>0</v>
      </c>
      <c r="DQ24" s="39"/>
      <c r="DR24" s="39"/>
      <c r="DS24" s="39"/>
      <c r="DT24" s="39"/>
      <c r="DU24" s="39"/>
      <c r="DV24" s="39"/>
      <c r="DW24" s="39"/>
      <c r="DX24" s="56">
        <f t="shared" si="71"/>
        <v>0</v>
      </c>
      <c r="DY24" s="56">
        <f t="shared" si="72"/>
        <v>0</v>
      </c>
      <c r="DZ24" s="39">
        <f t="shared" si="73"/>
        <v>0</v>
      </c>
      <c r="EA24" s="39"/>
      <c r="EB24" s="39"/>
      <c r="EC24" s="39">
        <f t="shared" si="75"/>
        <v>0</v>
      </c>
      <c r="ED24" s="39">
        <f t="shared" si="76"/>
        <v>0</v>
      </c>
      <c r="EE24" s="39">
        <f t="shared" si="77"/>
        <v>0</v>
      </c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</row>
    <row r="25" spans="1:146" s="58" customFormat="1" ht="12" hidden="1">
      <c r="A25" s="57">
        <v>43556</v>
      </c>
      <c r="C25" s="42"/>
      <c r="D25" s="42"/>
      <c r="E25" s="42">
        <f t="shared" si="0"/>
        <v>0</v>
      </c>
      <c r="F25" s="42"/>
      <c r="G25" s="56"/>
      <c r="H25" s="42">
        <f t="shared" si="1"/>
        <v>0</v>
      </c>
      <c r="I25" s="48">
        <f t="shared" si="2"/>
        <v>0</v>
      </c>
      <c r="J25" s="42">
        <f t="shared" si="3"/>
        <v>0</v>
      </c>
      <c r="K25" s="42"/>
      <c r="M25" s="39">
        <f t="shared" si="79"/>
        <v>0</v>
      </c>
      <c r="N25" s="39">
        <f t="shared" si="5"/>
        <v>0</v>
      </c>
      <c r="O25" s="39">
        <f t="shared" si="6"/>
        <v>0</v>
      </c>
      <c r="P25" s="39"/>
      <c r="R25" s="56">
        <f>C25*15.05006/100</f>
        <v>0</v>
      </c>
      <c r="S25" s="56">
        <f t="shared" si="8"/>
        <v>0</v>
      </c>
      <c r="T25" s="39">
        <f t="shared" si="9"/>
        <v>0</v>
      </c>
      <c r="U25" s="39"/>
      <c r="V25" s="56"/>
      <c r="W25" s="39">
        <f>C25*16.92584/100</f>
        <v>0</v>
      </c>
      <c r="X25" s="39">
        <f t="shared" si="11"/>
        <v>0</v>
      </c>
      <c r="Y25" s="39">
        <f t="shared" si="12"/>
        <v>0</v>
      </c>
      <c r="Z25" s="39"/>
      <c r="AA25" s="56"/>
      <c r="AB25" s="39">
        <f>C25*9.75766/100</f>
        <v>0</v>
      </c>
      <c r="AC25" s="39">
        <f t="shared" si="14"/>
        <v>0</v>
      </c>
      <c r="AD25" s="39">
        <f t="shared" si="15"/>
        <v>0</v>
      </c>
      <c r="AE25" s="39"/>
      <c r="AF25" s="56"/>
      <c r="AG25" s="39">
        <f>C25*7.48131/100</f>
        <v>0</v>
      </c>
      <c r="AH25" s="39">
        <f t="shared" si="17"/>
        <v>0</v>
      </c>
      <c r="AI25" s="39">
        <f t="shared" si="18"/>
        <v>0</v>
      </c>
      <c r="AJ25" s="39"/>
      <c r="AK25" s="56"/>
      <c r="AL25" s="39">
        <f>C25*0.21612/100</f>
        <v>0</v>
      </c>
      <c r="AM25" s="39">
        <f t="shared" si="20"/>
        <v>0</v>
      </c>
      <c r="AN25" s="39">
        <f t="shared" si="21"/>
        <v>0</v>
      </c>
      <c r="AO25" s="39"/>
      <c r="AP25" s="56"/>
      <c r="AQ25" s="39">
        <f>C25*0.01906/100</f>
        <v>0</v>
      </c>
      <c r="AR25" s="39">
        <f t="shared" si="23"/>
        <v>0</v>
      </c>
      <c r="AS25" s="39">
        <f t="shared" si="24"/>
        <v>0</v>
      </c>
      <c r="AT25" s="39"/>
      <c r="AU25" s="56"/>
      <c r="AV25" s="39">
        <f>C25*0.01369/100</f>
        <v>0</v>
      </c>
      <c r="AW25" s="39">
        <f t="shared" si="26"/>
        <v>0</v>
      </c>
      <c r="AX25" s="39">
        <f t="shared" si="27"/>
        <v>0</v>
      </c>
      <c r="AY25" s="39"/>
      <c r="AZ25" s="56"/>
      <c r="BA25" s="39">
        <f>C25*0.23757/100</f>
        <v>0</v>
      </c>
      <c r="BB25" s="39">
        <f t="shared" si="29"/>
        <v>0</v>
      </c>
      <c r="BC25" s="39">
        <f t="shared" si="30"/>
        <v>0</v>
      </c>
      <c r="BD25" s="39"/>
      <c r="BE25" s="56"/>
      <c r="BF25" s="39">
        <f>C25*5.91225/100</f>
        <v>0</v>
      </c>
      <c r="BG25" s="39">
        <f t="shared" si="32"/>
        <v>0</v>
      </c>
      <c r="BH25" s="39">
        <f t="shared" si="33"/>
        <v>0</v>
      </c>
      <c r="BI25" s="39"/>
      <c r="BJ25" s="56"/>
      <c r="BK25" s="39">
        <f>C25*1.80534/100</f>
        <v>0</v>
      </c>
      <c r="BL25" s="39">
        <f t="shared" si="35"/>
        <v>0</v>
      </c>
      <c r="BM25" s="39">
        <f t="shared" si="36"/>
        <v>0</v>
      </c>
      <c r="BN25" s="39"/>
      <c r="BO25" s="56"/>
      <c r="BP25" s="39">
        <f>C25*5.15053/100</f>
        <v>0</v>
      </c>
      <c r="BQ25" s="39">
        <f t="shared" si="38"/>
        <v>0</v>
      </c>
      <c r="BR25" s="39">
        <f t="shared" si="39"/>
        <v>0</v>
      </c>
      <c r="BS25" s="39"/>
      <c r="BT25" s="56"/>
      <c r="BU25" s="39">
        <f>C25*14.16042/100</f>
        <v>0</v>
      </c>
      <c r="BV25" s="39">
        <f t="shared" si="41"/>
        <v>0</v>
      </c>
      <c r="BW25" s="39">
        <f t="shared" si="42"/>
        <v>0</v>
      </c>
      <c r="BX25" s="39"/>
      <c r="BY25" s="39"/>
      <c r="BZ25" s="39">
        <f>C25*6.15602/100</f>
        <v>0</v>
      </c>
      <c r="CA25" s="39">
        <f t="shared" si="44"/>
        <v>0</v>
      </c>
      <c r="CB25" s="39">
        <f t="shared" si="45"/>
        <v>0</v>
      </c>
      <c r="CC25" s="39"/>
      <c r="CD25" s="56"/>
      <c r="CE25" s="39">
        <f>C25*5.37414/100</f>
        <v>0</v>
      </c>
      <c r="CF25" s="39">
        <f t="shared" si="47"/>
        <v>0</v>
      </c>
      <c r="CG25" s="39">
        <f t="shared" si="48"/>
        <v>0</v>
      </c>
      <c r="CH25" s="39"/>
      <c r="CI25" s="56"/>
      <c r="CJ25" s="93">
        <f>C25*0.69717/100</f>
        <v>0</v>
      </c>
      <c r="CK25" s="93">
        <f t="shared" si="50"/>
        <v>0</v>
      </c>
      <c r="CL25" s="93">
        <f t="shared" si="51"/>
        <v>0</v>
      </c>
      <c r="CM25" s="93"/>
      <c r="CN25" s="56"/>
      <c r="CO25" s="39">
        <f>C25*0.02011/100</f>
        <v>0</v>
      </c>
      <c r="CP25" s="39">
        <f t="shared" si="53"/>
        <v>0</v>
      </c>
      <c r="CQ25" s="39">
        <f t="shared" si="54"/>
        <v>0</v>
      </c>
      <c r="CR25" s="39"/>
      <c r="CS25" s="56"/>
      <c r="CT25" s="39">
        <f>C25*4.70981/100</f>
        <v>0</v>
      </c>
      <c r="CU25" s="39">
        <f t="shared" si="56"/>
        <v>0</v>
      </c>
      <c r="CV25" s="39">
        <f t="shared" si="57"/>
        <v>0</v>
      </c>
      <c r="CW25" s="39"/>
      <c r="CX25" s="56"/>
      <c r="CY25" s="39">
        <f>C25*0.28727/100</f>
        <v>0</v>
      </c>
      <c r="CZ25" s="39">
        <f t="shared" si="59"/>
        <v>0</v>
      </c>
      <c r="DA25" s="39">
        <f t="shared" si="60"/>
        <v>0</v>
      </c>
      <c r="DB25" s="39"/>
      <c r="DC25" s="56"/>
      <c r="DD25" s="39">
        <f>C25*4.87421/100</f>
        <v>0</v>
      </c>
      <c r="DE25" s="39">
        <f t="shared" si="62"/>
        <v>0</v>
      </c>
      <c r="DF25" s="39">
        <f t="shared" si="63"/>
        <v>0</v>
      </c>
      <c r="DG25" s="39"/>
      <c r="DH25" s="56"/>
      <c r="DI25" s="39">
        <f>C25*0.60754/100</f>
        <v>0</v>
      </c>
      <c r="DJ25" s="39">
        <f t="shared" si="65"/>
        <v>0</v>
      </c>
      <c r="DK25" s="39">
        <f t="shared" si="66"/>
        <v>0</v>
      </c>
      <c r="DL25" s="39"/>
      <c r="DM25" s="56"/>
      <c r="DN25" s="39">
        <f>C25*0.26185/100</f>
        <v>0</v>
      </c>
      <c r="DO25" s="39">
        <f t="shared" si="68"/>
        <v>0</v>
      </c>
      <c r="DP25" s="39">
        <f t="shared" si="69"/>
        <v>0</v>
      </c>
      <c r="DQ25" s="39"/>
      <c r="DR25" s="56"/>
      <c r="DS25" s="39"/>
      <c r="DT25" s="39"/>
      <c r="DU25" s="39"/>
      <c r="DV25" s="39"/>
      <c r="DW25" s="56"/>
      <c r="DX25" s="56">
        <f t="shared" si="71"/>
        <v>0</v>
      </c>
      <c r="DY25" s="56">
        <f t="shared" si="72"/>
        <v>0</v>
      </c>
      <c r="DZ25" s="39">
        <f t="shared" si="73"/>
        <v>0</v>
      </c>
      <c r="EA25" s="39"/>
      <c r="EB25" s="56"/>
      <c r="EC25" s="39">
        <f t="shared" si="75"/>
        <v>0</v>
      </c>
      <c r="ED25" s="39">
        <f t="shared" si="76"/>
        <v>0</v>
      </c>
      <c r="EE25" s="39">
        <f t="shared" si="77"/>
        <v>0</v>
      </c>
      <c r="EF25" s="39"/>
      <c r="EG25" s="56"/>
      <c r="EH25" s="56"/>
      <c r="EI25" s="56"/>
      <c r="EJ25" s="56"/>
      <c r="EK25" s="56"/>
      <c r="EL25" s="56"/>
      <c r="EM25" s="56"/>
      <c r="EN25" s="56"/>
      <c r="EO25" s="56"/>
      <c r="EP25" s="56"/>
    </row>
    <row r="26" spans="1:146" s="58" customFormat="1" ht="12" hidden="1">
      <c r="A26" s="57">
        <v>43739</v>
      </c>
      <c r="C26" s="42"/>
      <c r="D26" s="42"/>
      <c r="E26" s="42">
        <f t="shared" si="0"/>
        <v>0</v>
      </c>
      <c r="F26" s="42"/>
      <c r="G26" s="56"/>
      <c r="H26" s="42">
        <f t="shared" si="1"/>
        <v>0</v>
      </c>
      <c r="I26" s="48">
        <f t="shared" si="2"/>
        <v>0</v>
      </c>
      <c r="J26" s="42">
        <f t="shared" si="3"/>
        <v>0</v>
      </c>
      <c r="K26" s="42"/>
      <c r="M26" s="39"/>
      <c r="N26" s="39">
        <f t="shared" si="5"/>
        <v>0</v>
      </c>
      <c r="O26" s="39">
        <f t="shared" si="6"/>
        <v>0</v>
      </c>
      <c r="P26" s="39"/>
      <c r="R26" s="56"/>
      <c r="S26" s="56">
        <f t="shared" si="8"/>
        <v>0</v>
      </c>
      <c r="T26" s="39">
        <f t="shared" si="9"/>
        <v>0</v>
      </c>
      <c r="U26" s="39"/>
      <c r="V26" s="56"/>
      <c r="W26" s="39"/>
      <c r="X26" s="39">
        <f t="shared" si="11"/>
        <v>0</v>
      </c>
      <c r="Y26" s="39">
        <f t="shared" si="12"/>
        <v>0</v>
      </c>
      <c r="Z26" s="39"/>
      <c r="AA26" s="56"/>
      <c r="AB26" s="39"/>
      <c r="AC26" s="39">
        <f t="shared" si="14"/>
        <v>0</v>
      </c>
      <c r="AD26" s="39">
        <f t="shared" si="15"/>
        <v>0</v>
      </c>
      <c r="AE26" s="39"/>
      <c r="AF26" s="56"/>
      <c r="AG26" s="39"/>
      <c r="AH26" s="39">
        <f t="shared" si="17"/>
        <v>0</v>
      </c>
      <c r="AI26" s="39">
        <f t="shared" si="18"/>
        <v>0</v>
      </c>
      <c r="AJ26" s="39"/>
      <c r="AK26" s="56"/>
      <c r="AL26" s="39"/>
      <c r="AM26" s="39">
        <f t="shared" si="20"/>
        <v>0</v>
      </c>
      <c r="AN26" s="39">
        <f t="shared" si="21"/>
        <v>0</v>
      </c>
      <c r="AO26" s="39"/>
      <c r="AP26" s="56"/>
      <c r="AQ26" s="39"/>
      <c r="AR26" s="39">
        <f t="shared" si="23"/>
        <v>0</v>
      </c>
      <c r="AS26" s="39">
        <f t="shared" si="24"/>
        <v>0</v>
      </c>
      <c r="AT26" s="39"/>
      <c r="AU26" s="56"/>
      <c r="AV26" s="39"/>
      <c r="AW26" s="39">
        <f t="shared" si="26"/>
        <v>0</v>
      </c>
      <c r="AX26" s="39">
        <f t="shared" si="27"/>
        <v>0</v>
      </c>
      <c r="AY26" s="39"/>
      <c r="AZ26" s="56"/>
      <c r="BA26" s="39"/>
      <c r="BB26" s="39">
        <f t="shared" si="29"/>
        <v>0</v>
      </c>
      <c r="BC26" s="39">
        <f t="shared" si="30"/>
        <v>0</v>
      </c>
      <c r="BD26" s="39"/>
      <c r="BE26" s="56"/>
      <c r="BF26" s="39"/>
      <c r="BG26" s="39">
        <f t="shared" si="32"/>
        <v>0</v>
      </c>
      <c r="BH26" s="39">
        <f t="shared" si="33"/>
        <v>0</v>
      </c>
      <c r="BI26" s="39"/>
      <c r="BJ26" s="56"/>
      <c r="BK26" s="39"/>
      <c r="BL26" s="39">
        <f t="shared" si="35"/>
        <v>0</v>
      </c>
      <c r="BM26" s="39">
        <f t="shared" si="36"/>
        <v>0</v>
      </c>
      <c r="BN26" s="39"/>
      <c r="BO26" s="56"/>
      <c r="BP26" s="39"/>
      <c r="BQ26" s="39">
        <f t="shared" si="38"/>
        <v>0</v>
      </c>
      <c r="BR26" s="39">
        <f t="shared" si="39"/>
        <v>0</v>
      </c>
      <c r="BS26" s="39"/>
      <c r="BT26" s="56"/>
      <c r="BU26" s="39"/>
      <c r="BV26" s="39">
        <f t="shared" si="41"/>
        <v>0</v>
      </c>
      <c r="BW26" s="39">
        <f t="shared" si="42"/>
        <v>0</v>
      </c>
      <c r="BX26" s="39"/>
      <c r="BY26" s="39"/>
      <c r="BZ26" s="39"/>
      <c r="CA26" s="39">
        <f t="shared" si="44"/>
        <v>0</v>
      </c>
      <c r="CB26" s="39">
        <f t="shared" si="45"/>
        <v>0</v>
      </c>
      <c r="CC26" s="39"/>
      <c r="CD26" s="56"/>
      <c r="CE26" s="39"/>
      <c r="CF26" s="39">
        <f t="shared" si="47"/>
        <v>0</v>
      </c>
      <c r="CG26" s="39">
        <f t="shared" si="48"/>
        <v>0</v>
      </c>
      <c r="CH26" s="39"/>
      <c r="CI26" s="56"/>
      <c r="CJ26" s="93"/>
      <c r="CK26" s="93">
        <f t="shared" si="50"/>
        <v>0</v>
      </c>
      <c r="CL26" s="93">
        <f t="shared" si="51"/>
        <v>0</v>
      </c>
      <c r="CM26" s="93"/>
      <c r="CN26" s="56"/>
      <c r="CO26" s="39"/>
      <c r="CP26" s="39">
        <f t="shared" si="53"/>
        <v>0</v>
      </c>
      <c r="CQ26" s="39">
        <f t="shared" si="54"/>
        <v>0</v>
      </c>
      <c r="CR26" s="39"/>
      <c r="CS26" s="56"/>
      <c r="CT26" s="39"/>
      <c r="CU26" s="39">
        <f t="shared" si="56"/>
        <v>0</v>
      </c>
      <c r="CV26" s="39">
        <f t="shared" si="57"/>
        <v>0</v>
      </c>
      <c r="CW26" s="39"/>
      <c r="CX26" s="56"/>
      <c r="CY26" s="39"/>
      <c r="CZ26" s="39">
        <f t="shared" si="59"/>
        <v>0</v>
      </c>
      <c r="DA26" s="39">
        <f t="shared" si="60"/>
        <v>0</v>
      </c>
      <c r="DB26" s="39"/>
      <c r="DC26" s="56"/>
      <c r="DD26" s="39"/>
      <c r="DE26" s="39">
        <f t="shared" si="62"/>
        <v>0</v>
      </c>
      <c r="DF26" s="39">
        <f t="shared" si="63"/>
        <v>0</v>
      </c>
      <c r="DG26" s="39"/>
      <c r="DH26" s="56"/>
      <c r="DI26" s="39"/>
      <c r="DJ26" s="39">
        <f t="shared" si="65"/>
        <v>0</v>
      </c>
      <c r="DK26" s="39">
        <f t="shared" si="66"/>
        <v>0</v>
      </c>
      <c r="DL26" s="39"/>
      <c r="DM26" s="56"/>
      <c r="DN26" s="39"/>
      <c r="DO26" s="39">
        <f t="shared" si="68"/>
        <v>0</v>
      </c>
      <c r="DP26" s="39">
        <f t="shared" si="69"/>
        <v>0</v>
      </c>
      <c r="DQ26" s="39"/>
      <c r="DR26" s="56"/>
      <c r="DS26" s="39"/>
      <c r="DT26" s="39"/>
      <c r="DU26" s="39"/>
      <c r="DV26" s="39"/>
      <c r="DW26" s="56"/>
      <c r="DX26" s="56">
        <f t="shared" si="71"/>
        <v>0</v>
      </c>
      <c r="DY26" s="56">
        <f t="shared" si="72"/>
        <v>0</v>
      </c>
      <c r="DZ26" s="39">
        <f t="shared" si="73"/>
        <v>0</v>
      </c>
      <c r="EA26" s="39"/>
      <c r="EB26" s="56"/>
      <c r="EC26" s="39">
        <f t="shared" si="75"/>
        <v>0</v>
      </c>
      <c r="ED26" s="39">
        <f t="shared" si="76"/>
        <v>0</v>
      </c>
      <c r="EE26" s="39">
        <f t="shared" si="77"/>
        <v>0</v>
      </c>
      <c r="EF26" s="39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spans="1:146" s="58" customFormat="1" ht="12" hidden="1">
      <c r="A27" s="57">
        <v>43922</v>
      </c>
      <c r="C27" s="42"/>
      <c r="D27" s="42"/>
      <c r="E27" s="42">
        <f t="shared" si="0"/>
        <v>0</v>
      </c>
      <c r="F27" s="42"/>
      <c r="G27" s="56"/>
      <c r="H27" s="42">
        <f t="shared" si="1"/>
        <v>0</v>
      </c>
      <c r="I27" s="48">
        <f t="shared" si="2"/>
        <v>0</v>
      </c>
      <c r="J27" s="42">
        <f t="shared" si="3"/>
        <v>0</v>
      </c>
      <c r="K27" s="42"/>
      <c r="M27" s="39">
        <f t="shared" si="79"/>
        <v>0</v>
      </c>
      <c r="N27" s="39">
        <f t="shared" si="5"/>
        <v>0</v>
      </c>
      <c r="O27" s="39">
        <f t="shared" si="6"/>
        <v>0</v>
      </c>
      <c r="P27" s="39"/>
      <c r="R27" s="56">
        <f>C27*15.05006/100</f>
        <v>0</v>
      </c>
      <c r="S27" s="56">
        <f t="shared" si="8"/>
        <v>0</v>
      </c>
      <c r="T27" s="39">
        <f t="shared" si="9"/>
        <v>0</v>
      </c>
      <c r="U27" s="39"/>
      <c r="V27" s="56"/>
      <c r="W27" s="39">
        <f>C27*16.92584/100</f>
        <v>0</v>
      </c>
      <c r="X27" s="39">
        <f t="shared" si="11"/>
        <v>0</v>
      </c>
      <c r="Y27" s="39">
        <f t="shared" si="12"/>
        <v>0</v>
      </c>
      <c r="Z27" s="39"/>
      <c r="AA27" s="56"/>
      <c r="AB27" s="39">
        <f>C27*9.75766/100</f>
        <v>0</v>
      </c>
      <c r="AC27" s="39">
        <f t="shared" si="14"/>
        <v>0</v>
      </c>
      <c r="AD27" s="39">
        <f t="shared" si="15"/>
        <v>0</v>
      </c>
      <c r="AE27" s="39"/>
      <c r="AF27" s="56"/>
      <c r="AG27" s="39">
        <f>C27*7.48131/100</f>
        <v>0</v>
      </c>
      <c r="AH27" s="39">
        <f t="shared" si="17"/>
        <v>0</v>
      </c>
      <c r="AI27" s="39">
        <f t="shared" si="18"/>
        <v>0</v>
      </c>
      <c r="AJ27" s="39"/>
      <c r="AK27" s="56"/>
      <c r="AL27" s="39">
        <f>C27*0.21612/100</f>
        <v>0</v>
      </c>
      <c r="AM27" s="39">
        <f t="shared" si="20"/>
        <v>0</v>
      </c>
      <c r="AN27" s="39">
        <f t="shared" si="21"/>
        <v>0</v>
      </c>
      <c r="AO27" s="39"/>
      <c r="AP27" s="56"/>
      <c r="AQ27" s="39">
        <f>C27*0.01906/100</f>
        <v>0</v>
      </c>
      <c r="AR27" s="39">
        <f t="shared" si="23"/>
        <v>0</v>
      </c>
      <c r="AS27" s="39">
        <f t="shared" si="24"/>
        <v>0</v>
      </c>
      <c r="AT27" s="39"/>
      <c r="AU27" s="56"/>
      <c r="AV27" s="39">
        <f>C27*0.01369/100</f>
        <v>0</v>
      </c>
      <c r="AW27" s="39">
        <f t="shared" si="26"/>
        <v>0</v>
      </c>
      <c r="AX27" s="39">
        <f t="shared" si="27"/>
        <v>0</v>
      </c>
      <c r="AY27" s="39"/>
      <c r="AZ27" s="56"/>
      <c r="BA27" s="39">
        <f>C27*0.23757/100</f>
        <v>0</v>
      </c>
      <c r="BB27" s="39">
        <f t="shared" si="29"/>
        <v>0</v>
      </c>
      <c r="BC27" s="39">
        <f t="shared" si="30"/>
        <v>0</v>
      </c>
      <c r="BD27" s="39"/>
      <c r="BE27" s="56"/>
      <c r="BF27" s="39">
        <f>C27*5.91225/100</f>
        <v>0</v>
      </c>
      <c r="BG27" s="39">
        <f t="shared" si="32"/>
        <v>0</v>
      </c>
      <c r="BH27" s="39">
        <f t="shared" si="33"/>
        <v>0</v>
      </c>
      <c r="BI27" s="39"/>
      <c r="BJ27" s="56"/>
      <c r="BK27" s="39">
        <f>C27*1.80534/100</f>
        <v>0</v>
      </c>
      <c r="BL27" s="39">
        <f t="shared" si="35"/>
        <v>0</v>
      </c>
      <c r="BM27" s="39">
        <f t="shared" si="36"/>
        <v>0</v>
      </c>
      <c r="BN27" s="39"/>
      <c r="BO27" s="56"/>
      <c r="BP27" s="39">
        <f>C27*5.15053/100</f>
        <v>0</v>
      </c>
      <c r="BQ27" s="39">
        <f t="shared" si="38"/>
        <v>0</v>
      </c>
      <c r="BR27" s="39">
        <f t="shared" si="39"/>
        <v>0</v>
      </c>
      <c r="BS27" s="39"/>
      <c r="BT27" s="56"/>
      <c r="BU27" s="39">
        <f>C27*14.16042/100</f>
        <v>0</v>
      </c>
      <c r="BV27" s="39">
        <f t="shared" si="41"/>
        <v>0</v>
      </c>
      <c r="BW27" s="39">
        <f t="shared" si="42"/>
        <v>0</v>
      </c>
      <c r="BX27" s="39"/>
      <c r="BY27" s="39"/>
      <c r="BZ27" s="39">
        <f>C27*6.15602/100</f>
        <v>0</v>
      </c>
      <c r="CA27" s="39">
        <f t="shared" si="44"/>
        <v>0</v>
      </c>
      <c r="CB27" s="39">
        <f t="shared" si="45"/>
        <v>0</v>
      </c>
      <c r="CC27" s="39"/>
      <c r="CD27" s="56"/>
      <c r="CE27" s="39">
        <f>C27*5.37414/100</f>
        <v>0</v>
      </c>
      <c r="CF27" s="39">
        <f t="shared" si="47"/>
        <v>0</v>
      </c>
      <c r="CG27" s="39">
        <f t="shared" si="48"/>
        <v>0</v>
      </c>
      <c r="CH27" s="39"/>
      <c r="CI27" s="56"/>
      <c r="CJ27" s="93">
        <f>C27*0.69717/100</f>
        <v>0</v>
      </c>
      <c r="CK27" s="93">
        <f t="shared" si="50"/>
        <v>0</v>
      </c>
      <c r="CL27" s="93">
        <f t="shared" si="51"/>
        <v>0</v>
      </c>
      <c r="CM27" s="93"/>
      <c r="CN27" s="56"/>
      <c r="CO27" s="39">
        <f>C27*0.02011/100</f>
        <v>0</v>
      </c>
      <c r="CP27" s="39">
        <f t="shared" si="53"/>
        <v>0</v>
      </c>
      <c r="CQ27" s="39">
        <f t="shared" si="54"/>
        <v>0</v>
      </c>
      <c r="CR27" s="39"/>
      <c r="CS27" s="56"/>
      <c r="CT27" s="39">
        <f>C27*4.70981/100</f>
        <v>0</v>
      </c>
      <c r="CU27" s="39">
        <f t="shared" si="56"/>
        <v>0</v>
      </c>
      <c r="CV27" s="39">
        <f t="shared" si="57"/>
        <v>0</v>
      </c>
      <c r="CW27" s="39"/>
      <c r="CX27" s="56"/>
      <c r="CY27" s="39">
        <f>C27*0.28727/100</f>
        <v>0</v>
      </c>
      <c r="CZ27" s="39">
        <f t="shared" si="59"/>
        <v>0</v>
      </c>
      <c r="DA27" s="39">
        <f t="shared" si="60"/>
        <v>0</v>
      </c>
      <c r="DB27" s="39"/>
      <c r="DC27" s="56"/>
      <c r="DD27" s="39">
        <f>C27*4.87421/100</f>
        <v>0</v>
      </c>
      <c r="DE27" s="39">
        <f t="shared" si="62"/>
        <v>0</v>
      </c>
      <c r="DF27" s="39">
        <f t="shared" si="63"/>
        <v>0</v>
      </c>
      <c r="DG27" s="39"/>
      <c r="DH27" s="56"/>
      <c r="DI27" s="39">
        <f>C27*0.60754/100</f>
        <v>0</v>
      </c>
      <c r="DJ27" s="39">
        <f t="shared" si="65"/>
        <v>0</v>
      </c>
      <c r="DK27" s="39">
        <f t="shared" si="66"/>
        <v>0</v>
      </c>
      <c r="DL27" s="39"/>
      <c r="DM27" s="56"/>
      <c r="DN27" s="39">
        <f>C27*0.26185/100</f>
        <v>0</v>
      </c>
      <c r="DO27" s="39">
        <f t="shared" si="68"/>
        <v>0</v>
      </c>
      <c r="DP27" s="39">
        <f t="shared" si="69"/>
        <v>0</v>
      </c>
      <c r="DQ27" s="39"/>
      <c r="DR27" s="56"/>
      <c r="DS27" s="39"/>
      <c r="DT27" s="39"/>
      <c r="DU27" s="39"/>
      <c r="DV27" s="39"/>
      <c r="DW27" s="56"/>
      <c r="DX27" s="56">
        <f t="shared" si="71"/>
        <v>0</v>
      </c>
      <c r="DY27" s="56">
        <f t="shared" si="72"/>
        <v>0</v>
      </c>
      <c r="DZ27" s="39">
        <f t="shared" si="73"/>
        <v>0</v>
      </c>
      <c r="EA27" s="39"/>
      <c r="EB27" s="56"/>
      <c r="EC27" s="39">
        <f t="shared" si="75"/>
        <v>0</v>
      </c>
      <c r="ED27" s="39">
        <f t="shared" si="76"/>
        <v>0</v>
      </c>
      <c r="EE27" s="39">
        <f t="shared" si="77"/>
        <v>0</v>
      </c>
      <c r="EF27" s="39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spans="1:146" s="58" customFormat="1" ht="12" hidden="1">
      <c r="A28" s="57">
        <v>44105</v>
      </c>
      <c r="C28" s="42"/>
      <c r="D28" s="42"/>
      <c r="E28" s="42">
        <f t="shared" si="0"/>
        <v>0</v>
      </c>
      <c r="F28" s="42"/>
      <c r="G28" s="56"/>
      <c r="H28" s="42">
        <f t="shared" si="1"/>
        <v>0</v>
      </c>
      <c r="I28" s="48">
        <f t="shared" si="2"/>
        <v>0</v>
      </c>
      <c r="J28" s="42">
        <f t="shared" si="3"/>
        <v>0</v>
      </c>
      <c r="K28" s="42"/>
      <c r="M28" s="39"/>
      <c r="N28" s="39">
        <f t="shared" si="5"/>
        <v>0</v>
      </c>
      <c r="O28" s="39">
        <f t="shared" si="6"/>
        <v>0</v>
      </c>
      <c r="P28" s="39"/>
      <c r="R28" s="56"/>
      <c r="S28" s="56">
        <f t="shared" si="8"/>
        <v>0</v>
      </c>
      <c r="T28" s="39">
        <f t="shared" si="9"/>
        <v>0</v>
      </c>
      <c r="U28" s="39"/>
      <c r="V28" s="56"/>
      <c r="W28" s="39"/>
      <c r="X28" s="39">
        <f t="shared" si="11"/>
        <v>0</v>
      </c>
      <c r="Y28" s="39">
        <f t="shared" si="12"/>
        <v>0</v>
      </c>
      <c r="Z28" s="39"/>
      <c r="AA28" s="56"/>
      <c r="AB28" s="39"/>
      <c r="AC28" s="39">
        <f t="shared" si="14"/>
        <v>0</v>
      </c>
      <c r="AD28" s="39">
        <f t="shared" si="15"/>
        <v>0</v>
      </c>
      <c r="AE28" s="39"/>
      <c r="AF28" s="56"/>
      <c r="AG28" s="39"/>
      <c r="AH28" s="39">
        <f t="shared" si="17"/>
        <v>0</v>
      </c>
      <c r="AI28" s="39">
        <f t="shared" si="18"/>
        <v>0</v>
      </c>
      <c r="AJ28" s="39"/>
      <c r="AK28" s="56"/>
      <c r="AL28" s="39"/>
      <c r="AM28" s="39">
        <f t="shared" si="20"/>
        <v>0</v>
      </c>
      <c r="AN28" s="39">
        <f t="shared" si="21"/>
        <v>0</v>
      </c>
      <c r="AO28" s="39"/>
      <c r="AP28" s="56"/>
      <c r="AQ28" s="39"/>
      <c r="AR28" s="39">
        <f t="shared" si="23"/>
        <v>0</v>
      </c>
      <c r="AS28" s="39">
        <f t="shared" si="24"/>
        <v>0</v>
      </c>
      <c r="AT28" s="39"/>
      <c r="AU28" s="56"/>
      <c r="AV28" s="39"/>
      <c r="AW28" s="39">
        <f t="shared" si="26"/>
        <v>0</v>
      </c>
      <c r="AX28" s="39">
        <f t="shared" si="27"/>
        <v>0</v>
      </c>
      <c r="AY28" s="39"/>
      <c r="AZ28" s="56"/>
      <c r="BA28" s="39"/>
      <c r="BB28" s="39">
        <f t="shared" si="29"/>
        <v>0</v>
      </c>
      <c r="BC28" s="39">
        <f t="shared" si="30"/>
        <v>0</v>
      </c>
      <c r="BD28" s="39"/>
      <c r="BE28" s="56"/>
      <c r="BF28" s="39"/>
      <c r="BG28" s="39">
        <f t="shared" si="32"/>
        <v>0</v>
      </c>
      <c r="BH28" s="39">
        <f t="shared" si="33"/>
        <v>0</v>
      </c>
      <c r="BI28" s="39"/>
      <c r="BJ28" s="56"/>
      <c r="BK28" s="39"/>
      <c r="BL28" s="39">
        <f t="shared" si="35"/>
        <v>0</v>
      </c>
      <c r="BM28" s="39">
        <f t="shared" si="36"/>
        <v>0</v>
      </c>
      <c r="BN28" s="39"/>
      <c r="BO28" s="56"/>
      <c r="BP28" s="39"/>
      <c r="BQ28" s="39">
        <f t="shared" si="38"/>
        <v>0</v>
      </c>
      <c r="BR28" s="39">
        <f t="shared" si="39"/>
        <v>0</v>
      </c>
      <c r="BS28" s="39"/>
      <c r="BT28" s="56"/>
      <c r="BU28" s="39"/>
      <c r="BV28" s="39">
        <f t="shared" si="41"/>
        <v>0</v>
      </c>
      <c r="BW28" s="39">
        <f t="shared" si="42"/>
        <v>0</v>
      </c>
      <c r="BX28" s="39"/>
      <c r="BY28" s="39"/>
      <c r="BZ28" s="39"/>
      <c r="CA28" s="39">
        <f t="shared" si="44"/>
        <v>0</v>
      </c>
      <c r="CB28" s="39">
        <f t="shared" si="45"/>
        <v>0</v>
      </c>
      <c r="CC28" s="39"/>
      <c r="CD28" s="56"/>
      <c r="CE28" s="39"/>
      <c r="CF28" s="39">
        <f t="shared" si="47"/>
        <v>0</v>
      </c>
      <c r="CG28" s="39">
        <f t="shared" si="48"/>
        <v>0</v>
      </c>
      <c r="CH28" s="39"/>
      <c r="CI28" s="56"/>
      <c r="CJ28" s="93"/>
      <c r="CK28" s="93">
        <f t="shared" si="50"/>
        <v>0</v>
      </c>
      <c r="CL28" s="93">
        <f t="shared" si="51"/>
        <v>0</v>
      </c>
      <c r="CM28" s="93"/>
      <c r="CN28" s="56"/>
      <c r="CO28" s="39"/>
      <c r="CP28" s="39">
        <f t="shared" si="53"/>
        <v>0</v>
      </c>
      <c r="CQ28" s="39">
        <f t="shared" si="54"/>
        <v>0</v>
      </c>
      <c r="CR28" s="39"/>
      <c r="CS28" s="56"/>
      <c r="CT28" s="39"/>
      <c r="CU28" s="39">
        <f t="shared" si="56"/>
        <v>0</v>
      </c>
      <c r="CV28" s="39">
        <f t="shared" si="57"/>
        <v>0</v>
      </c>
      <c r="CW28" s="39"/>
      <c r="CX28" s="56"/>
      <c r="CY28" s="39"/>
      <c r="CZ28" s="39">
        <f t="shared" si="59"/>
        <v>0</v>
      </c>
      <c r="DA28" s="39">
        <f t="shared" si="60"/>
        <v>0</v>
      </c>
      <c r="DB28" s="39"/>
      <c r="DC28" s="56"/>
      <c r="DD28" s="39"/>
      <c r="DE28" s="39">
        <f t="shared" si="62"/>
        <v>0</v>
      </c>
      <c r="DF28" s="39">
        <f t="shared" si="63"/>
        <v>0</v>
      </c>
      <c r="DG28" s="39"/>
      <c r="DH28" s="56"/>
      <c r="DI28" s="39"/>
      <c r="DJ28" s="39">
        <f t="shared" si="65"/>
        <v>0</v>
      </c>
      <c r="DK28" s="39">
        <f t="shared" si="66"/>
        <v>0</v>
      </c>
      <c r="DL28" s="39"/>
      <c r="DM28" s="56"/>
      <c r="DN28" s="39"/>
      <c r="DO28" s="39">
        <f t="shared" si="68"/>
        <v>0</v>
      </c>
      <c r="DP28" s="39">
        <f t="shared" si="69"/>
        <v>0</v>
      </c>
      <c r="DQ28" s="39"/>
      <c r="DR28" s="56"/>
      <c r="DS28" s="39"/>
      <c r="DT28" s="39"/>
      <c r="DU28" s="39"/>
      <c r="DV28" s="39"/>
      <c r="DW28" s="56"/>
      <c r="DX28" s="56">
        <f t="shared" si="71"/>
        <v>0</v>
      </c>
      <c r="DY28" s="56">
        <f t="shared" si="72"/>
        <v>0</v>
      </c>
      <c r="DZ28" s="39">
        <f t="shared" si="73"/>
        <v>0</v>
      </c>
      <c r="EA28" s="39"/>
      <c r="EB28" s="56"/>
      <c r="EC28" s="39">
        <f t="shared" si="75"/>
        <v>0</v>
      </c>
      <c r="ED28" s="39">
        <f t="shared" si="76"/>
        <v>0</v>
      </c>
      <c r="EE28" s="39">
        <f t="shared" si="77"/>
        <v>0</v>
      </c>
      <c r="EF28" s="39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spans="1:146" s="58" customFormat="1" ht="12" hidden="1">
      <c r="A29" s="57">
        <v>44287</v>
      </c>
      <c r="C29" s="42"/>
      <c r="D29" s="42"/>
      <c r="E29" s="42">
        <f t="shared" si="0"/>
        <v>0</v>
      </c>
      <c r="F29" s="42"/>
      <c r="G29" s="56"/>
      <c r="H29" s="42">
        <f t="shared" si="1"/>
        <v>0</v>
      </c>
      <c r="I29" s="48">
        <f t="shared" si="2"/>
        <v>0</v>
      </c>
      <c r="J29" s="42">
        <f t="shared" si="3"/>
        <v>0</v>
      </c>
      <c r="K29" s="42"/>
      <c r="M29" s="39">
        <f t="shared" si="79"/>
        <v>0</v>
      </c>
      <c r="N29" s="39">
        <f t="shared" si="5"/>
        <v>0</v>
      </c>
      <c r="O29" s="39">
        <f t="shared" si="6"/>
        <v>0</v>
      </c>
      <c r="P29" s="39"/>
      <c r="R29" s="56">
        <f>C29*15.05006/100</f>
        <v>0</v>
      </c>
      <c r="S29" s="56">
        <f t="shared" si="8"/>
        <v>0</v>
      </c>
      <c r="T29" s="39">
        <f t="shared" si="9"/>
        <v>0</v>
      </c>
      <c r="U29" s="39"/>
      <c r="V29" s="56"/>
      <c r="W29" s="39">
        <f>C29*16.92584/100</f>
        <v>0</v>
      </c>
      <c r="X29" s="39">
        <f t="shared" si="11"/>
        <v>0</v>
      </c>
      <c r="Y29" s="39">
        <f t="shared" si="12"/>
        <v>0</v>
      </c>
      <c r="Z29" s="39"/>
      <c r="AA29" s="56"/>
      <c r="AB29" s="39">
        <f>C29*9.75766/100</f>
        <v>0</v>
      </c>
      <c r="AC29" s="39">
        <f t="shared" si="14"/>
        <v>0</v>
      </c>
      <c r="AD29" s="39">
        <f t="shared" si="15"/>
        <v>0</v>
      </c>
      <c r="AE29" s="39"/>
      <c r="AF29" s="56"/>
      <c r="AG29" s="39">
        <f>C29*7.48131/100</f>
        <v>0</v>
      </c>
      <c r="AH29" s="39">
        <f t="shared" si="17"/>
        <v>0</v>
      </c>
      <c r="AI29" s="39">
        <f t="shared" si="18"/>
        <v>0</v>
      </c>
      <c r="AJ29" s="39"/>
      <c r="AK29" s="56"/>
      <c r="AL29" s="39">
        <f>C29*0.21612/100</f>
        <v>0</v>
      </c>
      <c r="AM29" s="39">
        <f t="shared" si="20"/>
        <v>0</v>
      </c>
      <c r="AN29" s="39">
        <f t="shared" si="21"/>
        <v>0</v>
      </c>
      <c r="AO29" s="39"/>
      <c r="AP29" s="56"/>
      <c r="AQ29" s="39">
        <f>C29*0.01906/100</f>
        <v>0</v>
      </c>
      <c r="AR29" s="39">
        <f t="shared" si="23"/>
        <v>0</v>
      </c>
      <c r="AS29" s="39">
        <f t="shared" si="24"/>
        <v>0</v>
      </c>
      <c r="AT29" s="39"/>
      <c r="AU29" s="56"/>
      <c r="AV29" s="39">
        <f>C29*0.01369/100</f>
        <v>0</v>
      </c>
      <c r="AW29" s="39">
        <f t="shared" si="26"/>
        <v>0</v>
      </c>
      <c r="AX29" s="39">
        <f t="shared" si="27"/>
        <v>0</v>
      </c>
      <c r="AY29" s="39"/>
      <c r="AZ29" s="56"/>
      <c r="BA29" s="39">
        <f>C29*0.23757/100</f>
        <v>0</v>
      </c>
      <c r="BB29" s="39">
        <f t="shared" si="29"/>
        <v>0</v>
      </c>
      <c r="BC29" s="39">
        <f t="shared" si="30"/>
        <v>0</v>
      </c>
      <c r="BD29" s="39"/>
      <c r="BE29" s="56"/>
      <c r="BF29" s="39">
        <f>C29*5.91225/100</f>
        <v>0</v>
      </c>
      <c r="BG29" s="39">
        <f t="shared" si="32"/>
        <v>0</v>
      </c>
      <c r="BH29" s="39">
        <f t="shared" si="33"/>
        <v>0</v>
      </c>
      <c r="BI29" s="39"/>
      <c r="BJ29" s="56"/>
      <c r="BK29" s="39">
        <f>C29*1.80534/100</f>
        <v>0</v>
      </c>
      <c r="BL29" s="39">
        <f t="shared" si="35"/>
        <v>0</v>
      </c>
      <c r="BM29" s="39">
        <f t="shared" si="36"/>
        <v>0</v>
      </c>
      <c r="BN29" s="39"/>
      <c r="BO29" s="56"/>
      <c r="BP29" s="39">
        <f>C29*5.15053/100</f>
        <v>0</v>
      </c>
      <c r="BQ29" s="39">
        <f t="shared" si="38"/>
        <v>0</v>
      </c>
      <c r="BR29" s="39">
        <f t="shared" si="39"/>
        <v>0</v>
      </c>
      <c r="BS29" s="39"/>
      <c r="BT29" s="56"/>
      <c r="BU29" s="39">
        <f>C29*14.16042/100</f>
        <v>0</v>
      </c>
      <c r="BV29" s="39">
        <f t="shared" si="41"/>
        <v>0</v>
      </c>
      <c r="BW29" s="39">
        <f t="shared" si="42"/>
        <v>0</v>
      </c>
      <c r="BX29" s="39"/>
      <c r="BY29" s="39"/>
      <c r="BZ29" s="39">
        <f>C29*6.15602/100</f>
        <v>0</v>
      </c>
      <c r="CA29" s="39">
        <f t="shared" si="44"/>
        <v>0</v>
      </c>
      <c r="CB29" s="39">
        <f t="shared" si="45"/>
        <v>0</v>
      </c>
      <c r="CC29" s="39"/>
      <c r="CD29" s="56"/>
      <c r="CE29" s="39">
        <f>C29*5.37414/100</f>
        <v>0</v>
      </c>
      <c r="CF29" s="39">
        <f t="shared" si="47"/>
        <v>0</v>
      </c>
      <c r="CG29" s="39">
        <f t="shared" si="48"/>
        <v>0</v>
      </c>
      <c r="CH29" s="39"/>
      <c r="CI29" s="56"/>
      <c r="CJ29" s="93">
        <f>C29*0.69717/100</f>
        <v>0</v>
      </c>
      <c r="CK29" s="93">
        <f t="shared" si="50"/>
        <v>0</v>
      </c>
      <c r="CL29" s="93">
        <f t="shared" si="51"/>
        <v>0</v>
      </c>
      <c r="CM29" s="93"/>
      <c r="CN29" s="56"/>
      <c r="CO29" s="39">
        <f>C29*0.02011/100</f>
        <v>0</v>
      </c>
      <c r="CP29" s="39">
        <f t="shared" si="53"/>
        <v>0</v>
      </c>
      <c r="CQ29" s="39">
        <f t="shared" si="54"/>
        <v>0</v>
      </c>
      <c r="CR29" s="39"/>
      <c r="CS29" s="56"/>
      <c r="CT29" s="39">
        <f>C29*4.70981/100</f>
        <v>0</v>
      </c>
      <c r="CU29" s="39">
        <f t="shared" si="56"/>
        <v>0</v>
      </c>
      <c r="CV29" s="39">
        <f t="shared" si="57"/>
        <v>0</v>
      </c>
      <c r="CW29" s="39"/>
      <c r="CX29" s="56"/>
      <c r="CY29" s="39">
        <f>C29*0.28727/100</f>
        <v>0</v>
      </c>
      <c r="CZ29" s="39">
        <f t="shared" si="59"/>
        <v>0</v>
      </c>
      <c r="DA29" s="39">
        <f t="shared" si="60"/>
        <v>0</v>
      </c>
      <c r="DB29" s="39"/>
      <c r="DC29" s="56"/>
      <c r="DD29" s="39">
        <f>C29*4.87421/100</f>
        <v>0</v>
      </c>
      <c r="DE29" s="39">
        <f t="shared" si="62"/>
        <v>0</v>
      </c>
      <c r="DF29" s="39">
        <f t="shared" si="63"/>
        <v>0</v>
      </c>
      <c r="DG29" s="39"/>
      <c r="DH29" s="56"/>
      <c r="DI29" s="39">
        <f>C29*0.60754/100</f>
        <v>0</v>
      </c>
      <c r="DJ29" s="39">
        <f t="shared" si="65"/>
        <v>0</v>
      </c>
      <c r="DK29" s="39">
        <f t="shared" si="66"/>
        <v>0</v>
      </c>
      <c r="DL29" s="39"/>
      <c r="DM29" s="56"/>
      <c r="DN29" s="39">
        <f>C29*0.26185/100</f>
        <v>0</v>
      </c>
      <c r="DO29" s="39">
        <f t="shared" si="68"/>
        <v>0</v>
      </c>
      <c r="DP29" s="39">
        <f t="shared" si="69"/>
        <v>0</v>
      </c>
      <c r="DQ29" s="39"/>
      <c r="DR29" s="56"/>
      <c r="DS29" s="39"/>
      <c r="DT29" s="39"/>
      <c r="DU29" s="39"/>
      <c r="DV29" s="39"/>
      <c r="DW29" s="56"/>
      <c r="DX29" s="56">
        <f t="shared" si="71"/>
        <v>0</v>
      </c>
      <c r="DY29" s="56">
        <f t="shared" si="72"/>
        <v>0</v>
      </c>
      <c r="DZ29" s="39">
        <f t="shared" si="73"/>
        <v>0</v>
      </c>
      <c r="EA29" s="39"/>
      <c r="EB29" s="56"/>
      <c r="EC29" s="39">
        <f t="shared" si="75"/>
        <v>0</v>
      </c>
      <c r="ED29" s="39">
        <f t="shared" si="76"/>
        <v>0</v>
      </c>
      <c r="EE29" s="39">
        <f t="shared" si="77"/>
        <v>0</v>
      </c>
      <c r="EF29" s="39"/>
      <c r="EG29" s="56"/>
      <c r="EH29" s="56"/>
      <c r="EI29" s="56"/>
      <c r="EJ29" s="56"/>
      <c r="EK29" s="56"/>
      <c r="EL29" s="56"/>
      <c r="EM29" s="56"/>
      <c r="EN29" s="56"/>
      <c r="EO29" s="56"/>
      <c r="EP29" s="56"/>
    </row>
    <row r="30" spans="3:146" ht="12">
      <c r="C30" s="48"/>
      <c r="D30" s="48"/>
      <c r="E30" s="48"/>
      <c r="F30" s="48"/>
      <c r="H30" s="48"/>
      <c r="I30" s="48"/>
      <c r="J30" s="48"/>
      <c r="K30" s="48"/>
      <c r="R30" s="56"/>
      <c r="S30" s="56"/>
      <c r="T30" s="56"/>
      <c r="U30" s="56"/>
      <c r="V30" s="39"/>
      <c r="W30" s="39"/>
      <c r="X30" s="39"/>
      <c r="Y30" s="39"/>
      <c r="Z30" s="39"/>
      <c r="AA30" s="39"/>
      <c r="AB30" s="56"/>
      <c r="AC30" s="56"/>
      <c r="AD30" s="56"/>
      <c r="AE30" s="56"/>
      <c r="AF30" s="39"/>
      <c r="AG30" s="56"/>
      <c r="AH30" s="56"/>
      <c r="AI30" s="56"/>
      <c r="AJ30" s="56"/>
      <c r="AK30" s="39"/>
      <c r="AL30" s="56"/>
      <c r="AM30" s="56"/>
      <c r="AN30" s="56"/>
      <c r="AO30" s="56"/>
      <c r="AP30" s="39"/>
      <c r="AQ30" s="56"/>
      <c r="AR30" s="56"/>
      <c r="AS30" s="56"/>
      <c r="AT30" s="56"/>
      <c r="AU30" s="39"/>
      <c r="AV30" s="56"/>
      <c r="AW30" s="56"/>
      <c r="AX30" s="56"/>
      <c r="AY30" s="56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56"/>
      <c r="CF30" s="56"/>
      <c r="CG30" s="56"/>
      <c r="CH30" s="56"/>
      <c r="CI30" s="56"/>
      <c r="CJ30" s="94"/>
      <c r="CK30" s="94"/>
      <c r="CL30" s="94"/>
      <c r="CM30" s="94"/>
      <c r="CN30" s="56"/>
      <c r="CO30" s="56"/>
      <c r="CP30" s="56"/>
      <c r="CQ30" s="56"/>
      <c r="CR30" s="56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56"/>
      <c r="DT30" s="56"/>
      <c r="DU30" s="56"/>
      <c r="DV30" s="56"/>
      <c r="DW30" s="39"/>
      <c r="DX30" s="56"/>
      <c r="DY30" s="56"/>
      <c r="DZ30" s="56"/>
      <c r="EA30" s="56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</row>
    <row r="31" spans="1:146" ht="12.75" thickBot="1">
      <c r="A31" s="37" t="s">
        <v>4</v>
      </c>
      <c r="C31" s="55">
        <f>SUM(C8:C29)</f>
        <v>7230000</v>
      </c>
      <c r="D31" s="55">
        <f>SUM(D8:D29)</f>
        <v>476940</v>
      </c>
      <c r="E31" s="55">
        <f>SUM(E8:E29)</f>
        <v>7706940</v>
      </c>
      <c r="F31" s="55">
        <f>SUM(F8:F29)</f>
        <v>35347</v>
      </c>
      <c r="H31" s="55">
        <f>SUM(H8:H29)</f>
        <v>20390.769</v>
      </c>
      <c r="I31" s="55">
        <f>SUM(I8:I29)</f>
        <v>1345.113882</v>
      </c>
      <c r="J31" s="55">
        <f>SUM(J8:J29)</f>
        <v>21735.882882</v>
      </c>
      <c r="K31" s="55">
        <f>SUM(K8:K29)</f>
        <v>99.6891441</v>
      </c>
      <c r="M31" s="55">
        <f>SUM(M8:M29)</f>
        <v>7209609.230999999</v>
      </c>
      <c r="N31" s="55">
        <f>SUM(N8:N29)</f>
        <v>475594.88611799997</v>
      </c>
      <c r="O31" s="55">
        <f>SUM(O8:O29)</f>
        <v>7685204.117117999</v>
      </c>
      <c r="P31" s="55">
        <f>SUM(P8:P29)</f>
        <v>35247.3108559</v>
      </c>
      <c r="R31" s="55">
        <f>SUM(R8:R29)</f>
        <v>1088119.338</v>
      </c>
      <c r="S31" s="55">
        <f>SUM(S8:S29)</f>
        <v>71779.75616399999</v>
      </c>
      <c r="T31" s="55">
        <f>SUM(T8:T29)</f>
        <v>1159899.094164</v>
      </c>
      <c r="U31" s="55">
        <f>SUM(U8:U29)</f>
        <v>5319.744708200001</v>
      </c>
      <c r="V31" s="39"/>
      <c r="W31" s="55">
        <f>SUM(W8:W29)</f>
        <v>1223738.232</v>
      </c>
      <c r="X31" s="55">
        <f>SUM(X8:X29)</f>
        <v>80726.101296</v>
      </c>
      <c r="Y31" s="55">
        <f>SUM(Y8:Y29)</f>
        <v>1304464.333296</v>
      </c>
      <c r="Z31" s="55">
        <f>SUM(Z8:Z29)</f>
        <v>5982.7766648</v>
      </c>
      <c r="AA31" s="39"/>
      <c r="AB31" s="55">
        <f>SUM(AB8:AB29)</f>
        <v>705478.818</v>
      </c>
      <c r="AC31" s="55">
        <f>SUM(AC8:AC29)</f>
        <v>46538.183604</v>
      </c>
      <c r="AD31" s="55">
        <f>SUM(AD8:AD29)</f>
        <v>752017.001604</v>
      </c>
      <c r="AE31" s="55">
        <f>SUM(AE8:AE29)</f>
        <v>3449.0400802000004</v>
      </c>
      <c r="AF31" s="39"/>
      <c r="AG31" s="55">
        <f>SUM(AG8:AG29)</f>
        <v>540898.713</v>
      </c>
      <c r="AH31" s="55">
        <f>SUM(AH8:AH29)</f>
        <v>35681.35991399999</v>
      </c>
      <c r="AI31" s="55">
        <f>SUM(AI8:AI29)</f>
        <v>576580.0729139999</v>
      </c>
      <c r="AJ31" s="55">
        <f>SUM(AJ8:AJ29)</f>
        <v>2644.4186456999996</v>
      </c>
      <c r="AK31" s="39"/>
      <c r="AL31" s="55">
        <f>SUM(AL8:AL29)</f>
        <v>15625.476</v>
      </c>
      <c r="AM31" s="55">
        <f>SUM(AM8:AM29)</f>
        <v>1030.7627280000002</v>
      </c>
      <c r="AN31" s="55">
        <f>SUM(AN8:AN29)</f>
        <v>16656.238728</v>
      </c>
      <c r="AO31" s="55">
        <f>SUM(AO8:AO29)</f>
        <v>76.39193639999999</v>
      </c>
      <c r="AP31" s="39"/>
      <c r="AQ31" s="55">
        <f>SUM(AQ8:AQ29)</f>
        <v>1378.038</v>
      </c>
      <c r="AR31" s="55">
        <f>SUM(AR8:AR29)</f>
        <v>90.904764</v>
      </c>
      <c r="AS31" s="55">
        <f>SUM(AS8:AS29)</f>
        <v>1468.942764</v>
      </c>
      <c r="AT31" s="55">
        <f>SUM(AT8:AT29)</f>
        <v>6.7371382</v>
      </c>
      <c r="AU31" s="39"/>
      <c r="AV31" s="55">
        <f>SUM(AV8:AV29)</f>
        <v>989.787</v>
      </c>
      <c r="AW31" s="55">
        <f>SUM(AW8:AW29)</f>
        <v>65.293086</v>
      </c>
      <c r="AX31" s="55">
        <f>SUM(AX8:AX29)</f>
        <v>1055.0800860000002</v>
      </c>
      <c r="AY31" s="55">
        <f>SUM(AY8:AY29)</f>
        <v>4.839004299999999</v>
      </c>
      <c r="AZ31" s="39"/>
      <c r="BA31" s="55">
        <f>SUM(BA8:BA29)</f>
        <v>17176.311</v>
      </c>
      <c r="BB31" s="55">
        <f>SUM(BB8:BB29)</f>
        <v>1133.066358</v>
      </c>
      <c r="BC31" s="55">
        <f>SUM(BC8:BC29)</f>
        <v>18309.377358</v>
      </c>
      <c r="BD31" s="55">
        <f>SUM(BD8:BD29)</f>
        <v>83.9738679</v>
      </c>
      <c r="BE31" s="39"/>
      <c r="BF31" s="55">
        <f>SUM(BF8:BF29)</f>
        <v>427455.675</v>
      </c>
      <c r="BG31" s="55">
        <f>SUM(BG8:BG29)</f>
        <v>28197.88515</v>
      </c>
      <c r="BH31" s="55">
        <f>SUM(BH8:BH29)</f>
        <v>455653.56015000003</v>
      </c>
      <c r="BI31" s="55">
        <f>SUM(BI8:BI29)</f>
        <v>2089.8030075</v>
      </c>
      <c r="BJ31" s="39"/>
      <c r="BK31" s="55">
        <f>SUM(BK8:BK29)</f>
        <v>130526.082</v>
      </c>
      <c r="BL31" s="55">
        <f>SUM(BL8:BL29)</f>
        <v>8610.388595999999</v>
      </c>
      <c r="BM31" s="55">
        <f>SUM(BM8:BM29)</f>
        <v>139136.470596</v>
      </c>
      <c r="BN31" s="55">
        <f>SUM(BN8:BN29)</f>
        <v>638.1335298</v>
      </c>
      <c r="BO31" s="39"/>
      <c r="BP31" s="55">
        <f>SUM(BP8:BP29)</f>
        <v>372383.319</v>
      </c>
      <c r="BQ31" s="55">
        <f>SUM(BQ8:BQ29)</f>
        <v>24564.937781999997</v>
      </c>
      <c r="BR31" s="55">
        <f>SUM(BR8:BR29)</f>
        <v>396948.25678199995</v>
      </c>
      <c r="BS31" s="55">
        <f>SUM(BS8:BS29)</f>
        <v>1820.5578391</v>
      </c>
      <c r="BT31" s="39"/>
      <c r="BU31" s="55">
        <f>SUM(BU8:BU29)</f>
        <v>1023798.366</v>
      </c>
      <c r="BV31" s="55">
        <f>SUM(BV8:BV29)</f>
        <v>67536.707148</v>
      </c>
      <c r="BW31" s="55">
        <f>SUM(BW8:BW29)</f>
        <v>1091335.073148</v>
      </c>
      <c r="BX31" s="55">
        <f>SUM(BX8:BX29)</f>
        <v>5005.2836574</v>
      </c>
      <c r="BY31" s="48"/>
      <c r="BZ31" s="55">
        <f>SUM(BZ8:BZ29)</f>
        <v>445080.24600000004</v>
      </c>
      <c r="CA31" s="55">
        <f>SUM(CA8:CA29)</f>
        <v>29360.521788</v>
      </c>
      <c r="CB31" s="55">
        <f>SUM(CB8:CB29)</f>
        <v>474440.76778800006</v>
      </c>
      <c r="CC31" s="55">
        <f>SUM(CC8:CC29)</f>
        <v>2175.9683894</v>
      </c>
      <c r="CD31" s="39"/>
      <c r="CE31" s="55">
        <f>SUM(CE8:CE29)</f>
        <v>388550.3219999999</v>
      </c>
      <c r="CF31" s="55">
        <f>SUM(CF8:CF29)</f>
        <v>25631.423316</v>
      </c>
      <c r="CG31" s="55">
        <f>SUM(CG8:CG29)</f>
        <v>414181.74531599996</v>
      </c>
      <c r="CH31" s="55">
        <f>SUM(CH8:CH29)</f>
        <v>1899.5972658</v>
      </c>
      <c r="CI31" s="48"/>
      <c r="CJ31" s="95">
        <f>SUM(CJ8:CJ29)</f>
        <v>50405.390999999996</v>
      </c>
      <c r="CK31" s="95">
        <f>SUM(CK8:CK29)</f>
        <v>3325.082598</v>
      </c>
      <c r="CL31" s="95">
        <f>SUM(CL8:CL29)</f>
        <v>53730.473598</v>
      </c>
      <c r="CM31" s="95">
        <f>SUM(CM8:CM29)</f>
        <v>246.4286799</v>
      </c>
      <c r="CN31" s="48"/>
      <c r="CO31" s="55">
        <f>SUM(CO8:CO29)</f>
        <v>1453.953</v>
      </c>
      <c r="CP31" s="55">
        <f>SUM(CP8:CP29)</f>
        <v>95.91263400000001</v>
      </c>
      <c r="CQ31" s="55">
        <f>SUM(CQ8:CQ29)</f>
        <v>1549.8656339999998</v>
      </c>
      <c r="CR31" s="55">
        <f>SUM(CR8:CR29)</f>
        <v>7.1082817</v>
      </c>
      <c r="CS31" s="39"/>
      <c r="CT31" s="55">
        <f>SUM(CT8:CT29)</f>
        <v>340519.263</v>
      </c>
      <c r="CU31" s="55">
        <f>SUM(CU8:CU29)</f>
        <v>22462.967814</v>
      </c>
      <c r="CV31" s="55">
        <f>SUM(CV8:CV29)</f>
        <v>362982.23081399995</v>
      </c>
      <c r="CW31" s="55">
        <f>SUM(CW8:CW29)</f>
        <v>1664.7765407</v>
      </c>
      <c r="CX31" s="39"/>
      <c r="CY31" s="55">
        <f>SUM(CY8:CY29)</f>
        <v>20769.621</v>
      </c>
      <c r="CZ31" s="55">
        <f>SUM(CZ8:CZ29)</f>
        <v>1370.105538</v>
      </c>
      <c r="DA31" s="55">
        <f>SUM(DA8:DA29)</f>
        <v>22139.726538000003</v>
      </c>
      <c r="DB31" s="55">
        <f>SUM(DB8:DB29)</f>
        <v>101.5413269</v>
      </c>
      <c r="DC31" s="39"/>
      <c r="DD31" s="55">
        <f>SUM(DD8:DD29)</f>
        <v>352405.383</v>
      </c>
      <c r="DE31" s="55">
        <f>SUM(DE8:DE29)</f>
        <v>23247.057173999998</v>
      </c>
      <c r="DF31" s="55">
        <f>SUM(DF8:DF29)</f>
        <v>375652.440174</v>
      </c>
      <c r="DG31" s="55">
        <f>SUM(DG8:DG29)</f>
        <v>1722.8870087</v>
      </c>
      <c r="DH31" s="39"/>
      <c r="DI31" s="55">
        <f>SUM(DI8:DI29)</f>
        <v>43925.14200000001</v>
      </c>
      <c r="DJ31" s="55">
        <f>SUM(DJ8:DJ29)</f>
        <v>2897.601276</v>
      </c>
      <c r="DK31" s="55">
        <f>SUM(DK8:DK29)</f>
        <v>46822.743275999994</v>
      </c>
      <c r="DL31" s="55">
        <f>SUM(DL8:DL29)</f>
        <v>214.74716379999998</v>
      </c>
      <c r="DM31" s="39"/>
      <c r="DN31" s="55">
        <f>SUM(DN8:DN29)</f>
        <v>18931.755000000005</v>
      </c>
      <c r="DO31" s="55">
        <f>SUM(DO8:DO29)</f>
        <v>1248.8673900000003</v>
      </c>
      <c r="DP31" s="55">
        <f>SUM(DP8:DP29)</f>
        <v>20180.622390000004</v>
      </c>
      <c r="DQ31" s="55">
        <f>SUM(DQ8:DQ29)</f>
        <v>92.55611950000001</v>
      </c>
      <c r="DR31" s="39"/>
      <c r="DS31" s="55">
        <f>SUM(DS8:DS29)</f>
        <v>0</v>
      </c>
      <c r="DT31" s="55">
        <f>SUM(DT8:DT29)</f>
        <v>0</v>
      </c>
      <c r="DU31" s="55">
        <f>SUM(DU8:DU29)</f>
        <v>0</v>
      </c>
      <c r="DV31" s="55">
        <f>SUM(DV8:DV29)</f>
        <v>0</v>
      </c>
      <c r="DW31" s="39"/>
      <c r="DX31" s="55">
        <f>SUM(DX8:DX30)</f>
        <v>6288.654</v>
      </c>
      <c r="DY31" s="55">
        <f>SUM(DY8:DY30)</f>
        <v>414.842412</v>
      </c>
      <c r="DZ31" s="55">
        <f>SUM(DZ8:DZ30)</f>
        <v>6703.496412</v>
      </c>
      <c r="EA31" s="55">
        <f>SUM(EA8:EA30)</f>
        <v>30.7448206</v>
      </c>
      <c r="EB31" s="39"/>
      <c r="EC31" s="55">
        <f>SUM(EC8:EC30)</f>
        <v>14102.115000000002</v>
      </c>
      <c r="ED31" s="55">
        <f>SUM(ED8:ED30)</f>
        <v>930.27147</v>
      </c>
      <c r="EE31" s="55">
        <f>SUM(EE8:EE30)</f>
        <v>15032.386470000001</v>
      </c>
      <c r="EF31" s="55">
        <f>SUM(EF8:EF30)</f>
        <v>68.9443235</v>
      </c>
      <c r="EG31" s="39"/>
      <c r="EH31" s="39"/>
      <c r="EI31" s="39"/>
      <c r="EJ31" s="39"/>
      <c r="EK31" s="39"/>
      <c r="EL31" s="39"/>
      <c r="EM31" s="39"/>
      <c r="EN31" s="39"/>
      <c r="EO31" s="39"/>
      <c r="EP31" s="39"/>
    </row>
    <row r="32" spans="88:91" ht="12.75" thickTop="1">
      <c r="CJ32" s="96"/>
      <c r="CK32" s="96"/>
      <c r="CL32" s="96"/>
      <c r="CM32" s="96"/>
    </row>
    <row r="34" ht="12">
      <c r="P34" s="39"/>
    </row>
    <row r="37" ht="12">
      <c r="C37" s="42">
        <v>16510000</v>
      </c>
    </row>
  </sheetData>
  <sheetProtection/>
  <printOptions/>
  <pageMargins left="0.75" right="0.75" top="1" bottom="1" header="0.5" footer="0.5"/>
  <pageSetup horizontalDpi="600" verticalDpi="600" orientation="landscape" scale="50"/>
  <colBreaks count="5" manualBreakCount="5">
    <brk id="17" max="34" man="1"/>
    <brk id="36" max="65535" man="1"/>
    <brk id="56" max="65535" man="1"/>
    <brk id="112" max="34" man="1"/>
    <brk id="12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34"/>
  <sheetViews>
    <sheetView showZeros="0" workbookViewId="0" topLeftCell="A1">
      <pane xSplit="2" ySplit="7" topLeftCell="C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W18" sqref="CW18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23" customWidth="1"/>
    <col min="109" max="109" width="15.7109375" style="23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39"/>
      <c r="DB1" s="51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49" t="s">
        <v>79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49" t="s">
        <v>79</v>
      </c>
      <c r="DB2" s="39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51" t="s">
        <v>83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39"/>
      <c r="DB3" s="51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3" t="s">
        <v>81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7" t="s">
        <v>94</v>
      </c>
      <c r="DB5" s="86"/>
      <c r="DC5" s="87"/>
      <c r="DD5" s="88"/>
      <c r="DE5" s="88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69" t="s">
        <v>82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9"/>
      <c r="DB6" s="90">
        <v>0.0069717</v>
      </c>
      <c r="DC6" s="91"/>
      <c r="DD6" s="88" t="s">
        <v>84</v>
      </c>
      <c r="DE6" s="88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2" t="s">
        <v>15</v>
      </c>
      <c r="DB7" s="92" t="s">
        <v>16</v>
      </c>
      <c r="DC7" s="92" t="s">
        <v>4</v>
      </c>
      <c r="DD7" s="88" t="s">
        <v>86</v>
      </c>
      <c r="DE7" s="88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40452</v>
      </c>
      <c r="C8" s="39"/>
      <c r="D8" s="39">
        <v>581075</v>
      </c>
      <c r="E8" s="42">
        <f aca="true" t="shared" si="0" ref="E8:E29">C8+D8</f>
        <v>581075</v>
      </c>
      <c r="F8" s="42">
        <f aca="true" t="shared" si="1" ref="F8:F29">L8+R8</f>
        <v>45991</v>
      </c>
      <c r="G8" s="42">
        <f aca="true" t="shared" si="2" ref="G8:G29">M8+S8</f>
        <v>44450</v>
      </c>
      <c r="I8" s="42">
        <f aca="true" t="shared" si="3" ref="I8:I29">EW8+FC8</f>
        <v>0</v>
      </c>
      <c r="J8" s="48">
        <f aca="true" t="shared" si="4" ref="J8:J29">EX8+FD8</f>
        <v>1638.8058225</v>
      </c>
      <c r="K8" s="42">
        <f aca="true" t="shared" si="5" ref="K8:K29">I8+J8</f>
        <v>1638.8058225</v>
      </c>
      <c r="L8" s="42">
        <f aca="true" t="shared" si="6" ref="L8:L29">EZ8+FF8</f>
        <v>130</v>
      </c>
      <c r="M8" s="42">
        <f aca="true" t="shared" si="7" ref="M8:M29">FA8+FG8</f>
        <v>126</v>
      </c>
      <c r="O8" s="39"/>
      <c r="P8" s="39">
        <f aca="true" t="shared" si="8" ref="P8:P29">V8+AB8+AH8+AN8+AT8+AZ8+BF8+BL8+BR8+BX8+CD8+CJ8+CP8+CV8+DB8+DH8+DN8+DT8+DZ8+EF8+ER8+EL8</f>
        <v>579436.1941775</v>
      </c>
      <c r="Q8" s="39">
        <f aca="true" t="shared" si="9" ref="Q8:Q29">O8+P8</f>
        <v>579436.1941775</v>
      </c>
      <c r="R8" s="39">
        <f aca="true" t="shared" si="10" ref="R8:R29">X8+AD8+AJ8+AP8+AV8+BB8+BH8+BN8+BT8+BZ8+CF8+CL8+CR8+CX8+DD8+DJ8+DP8+DV8+EB8+EH8+EN8+ET8</f>
        <v>45861</v>
      </c>
      <c r="S8" s="39">
        <f aca="true" t="shared" si="11" ref="S8:S29">Y8+AE8+AK8+AQ8+AW8+BC8+BI8+BO8+BU8+CA8+CG8+CM8+CS8+CY8+DE8+DK8+DQ8+DW8+EC8+EI8+EO8+EU8</f>
        <v>44324</v>
      </c>
      <c r="U8" s="56"/>
      <c r="V8" s="56">
        <f aca="true" t="shared" si="12" ref="V8:V29">D8*15.05006/100</f>
        <v>87452.136145</v>
      </c>
      <c r="W8" s="39">
        <f aca="true" t="shared" si="13" ref="W8:W29">U8+V8</f>
        <v>87452.136145</v>
      </c>
      <c r="X8" s="39">
        <v>6912</v>
      </c>
      <c r="Y8" s="39">
        <v>6680</v>
      </c>
      <c r="Z8" s="39"/>
      <c r="AA8" s="39"/>
      <c r="AB8" s="39">
        <f aca="true" t="shared" si="14" ref="AB8:AB29">D8*16.92584/100</f>
        <v>98351.82478</v>
      </c>
      <c r="AC8" s="39">
        <f aca="true" t="shared" si="15" ref="AC8:AC29">AA8+AB8</f>
        <v>98351.82478</v>
      </c>
      <c r="AD8" s="39">
        <v>7794</v>
      </c>
      <c r="AE8" s="39">
        <v>7533</v>
      </c>
      <c r="AF8" s="39"/>
      <c r="AG8" s="39"/>
      <c r="AH8" s="39">
        <f aca="true" t="shared" si="16" ref="AH8:AH29">D8*9.75766/100</f>
        <v>56699.322845</v>
      </c>
      <c r="AI8" s="39">
        <f aca="true" t="shared" si="17" ref="AI8:AI29">AG8+AH8</f>
        <v>56699.322845</v>
      </c>
      <c r="AJ8" s="39">
        <v>4488</v>
      </c>
      <c r="AK8" s="39">
        <v>4337</v>
      </c>
      <c r="AL8" s="39"/>
      <c r="AM8" s="39"/>
      <c r="AN8" s="39">
        <f aca="true" t="shared" si="18" ref="AN8:AN29">D8*7.48131/100</f>
        <v>43472.0220825</v>
      </c>
      <c r="AO8" s="39">
        <f aca="true" t="shared" si="19" ref="AO8:AO29">AM8+AN8</f>
        <v>43472.0220825</v>
      </c>
      <c r="AP8" s="39">
        <v>3441</v>
      </c>
      <c r="AQ8" s="39">
        <v>3325</v>
      </c>
      <c r="AR8" s="39"/>
      <c r="AS8" s="39"/>
      <c r="AT8" s="39">
        <f aca="true" t="shared" si="20" ref="AT8:AT29">D8*0.21612/100</f>
        <v>1255.8192900000001</v>
      </c>
      <c r="AU8" s="39">
        <f aca="true" t="shared" si="21" ref="AU8:AU29">AS8+AT8</f>
        <v>1255.8192900000001</v>
      </c>
      <c r="AV8" s="39">
        <v>99</v>
      </c>
      <c r="AW8" s="39">
        <v>96</v>
      </c>
      <c r="AX8" s="39"/>
      <c r="AY8" s="39"/>
      <c r="AZ8" s="39">
        <f aca="true" t="shared" si="22" ref="AZ8:AZ29">D8*0.01906/100</f>
        <v>110.75289500000001</v>
      </c>
      <c r="BA8" s="39">
        <f aca="true" t="shared" si="23" ref="BA8:BA29">AY8+AZ8</f>
        <v>110.75289500000001</v>
      </c>
      <c r="BB8" s="39">
        <v>9</v>
      </c>
      <c r="BC8" s="39">
        <v>8</v>
      </c>
      <c r="BD8" s="39"/>
      <c r="BE8" s="39"/>
      <c r="BF8" s="39">
        <f aca="true" t="shared" si="24" ref="BF8:BF29">D8*0.01369/100</f>
        <v>79.54916750000001</v>
      </c>
      <c r="BG8" s="39">
        <f aca="true" t="shared" si="25" ref="BG8:BG29">BE8+BF8</f>
        <v>79.54916750000001</v>
      </c>
      <c r="BH8" s="39">
        <v>6</v>
      </c>
      <c r="BI8" s="39">
        <v>6</v>
      </c>
      <c r="BJ8" s="39"/>
      <c r="BK8" s="39"/>
      <c r="BL8" s="39">
        <f aca="true" t="shared" si="26" ref="BL8:BL29">D8*0.23757/100</f>
        <v>1380.4598775</v>
      </c>
      <c r="BM8" s="39">
        <f aca="true" t="shared" si="27" ref="BM8:BM29">BK8+BL8</f>
        <v>1380.4598775</v>
      </c>
      <c r="BN8" s="39">
        <v>109</v>
      </c>
      <c r="BO8" s="39">
        <v>106</v>
      </c>
      <c r="BP8" s="39"/>
      <c r="BQ8" s="39"/>
      <c r="BR8" s="39">
        <f aca="true" t="shared" si="28" ref="BR8:BR29">D8*5.91225/100</f>
        <v>34354.6066875</v>
      </c>
      <c r="BS8" s="39">
        <f aca="true" t="shared" si="29" ref="BS8:BS29">BQ8+BR8</f>
        <v>34354.6066875</v>
      </c>
      <c r="BT8" s="39">
        <v>2719</v>
      </c>
      <c r="BU8" s="39">
        <v>2628</v>
      </c>
      <c r="BV8" s="39"/>
      <c r="BW8" s="39"/>
      <c r="BX8" s="39">
        <f aca="true" t="shared" si="30" ref="BX8:BX29">D8*1.80534/100</f>
        <v>10490.379405</v>
      </c>
      <c r="BY8" s="39">
        <f aca="true" t="shared" si="31" ref="BY8:BY29">BW8+BX8</f>
        <v>10490.379405</v>
      </c>
      <c r="BZ8" s="39">
        <v>830</v>
      </c>
      <c r="CA8" s="39">
        <v>803</v>
      </c>
      <c r="CB8" s="39"/>
      <c r="CC8" s="39"/>
      <c r="CD8" s="39">
        <f aca="true" t="shared" si="32" ref="CD8:CD29">D8*5.15053/100</f>
        <v>29928.442197499997</v>
      </c>
      <c r="CE8" s="39">
        <f aca="true" t="shared" si="33" ref="CE8:CE29">CC8+CD8</f>
        <v>29928.442197499997</v>
      </c>
      <c r="CF8" s="39">
        <v>2369</v>
      </c>
      <c r="CG8" s="39">
        <v>2289</v>
      </c>
      <c r="CH8" s="39"/>
      <c r="CI8" s="39"/>
      <c r="CJ8" s="39">
        <f aca="true" t="shared" si="34" ref="CJ8:CJ29">D8*14.16042/100</f>
        <v>82282.660515</v>
      </c>
      <c r="CK8" s="39">
        <f aca="true" t="shared" si="35" ref="CK8:CK29">CI8+CJ8</f>
        <v>82282.660515</v>
      </c>
      <c r="CL8" s="39">
        <v>6513</v>
      </c>
      <c r="CM8" s="39">
        <v>6294</v>
      </c>
      <c r="CN8" s="39"/>
      <c r="CO8" s="39"/>
      <c r="CP8" s="39">
        <f aca="true" t="shared" si="36" ref="CP8:CP29">D8*6.15602/100</f>
        <v>35771.093215</v>
      </c>
      <c r="CQ8" s="39">
        <f aca="true" t="shared" si="37" ref="CQ8:CQ29">CO8+CP8</f>
        <v>35771.093215</v>
      </c>
      <c r="CR8" s="39">
        <v>2831</v>
      </c>
      <c r="CS8" s="39">
        <v>2736</v>
      </c>
      <c r="CT8" s="39"/>
      <c r="CU8" s="39"/>
      <c r="CV8" s="39">
        <f aca="true" t="shared" si="38" ref="CV8:CV29">D8*5.37414/100</f>
        <v>31227.784005</v>
      </c>
      <c r="CW8" s="39">
        <f aca="true" t="shared" si="39" ref="CW8:CW29">CU8+CV8</f>
        <v>31227.784005</v>
      </c>
      <c r="CX8" s="39">
        <v>2472</v>
      </c>
      <c r="CY8" s="39">
        <v>2389</v>
      </c>
      <c r="CZ8" s="39"/>
      <c r="DA8" s="93"/>
      <c r="DB8" s="93">
        <f aca="true" t="shared" si="40" ref="DB8:DB29">D8*0.69717/100</f>
        <v>4051.0805775</v>
      </c>
      <c r="DC8" s="93">
        <f aca="true" t="shared" si="41" ref="DC8:DC29">DA8+DB8</f>
        <v>4051.0805775</v>
      </c>
      <c r="DD8" s="93">
        <v>321</v>
      </c>
      <c r="DE8" s="93">
        <v>310</v>
      </c>
      <c r="DF8" s="39"/>
      <c r="DG8" s="39"/>
      <c r="DH8" s="39">
        <f aca="true" t="shared" si="42" ref="DH8:DH29">D8*0.02011/100</f>
        <v>116.8541825</v>
      </c>
      <c r="DI8" s="39">
        <f aca="true" t="shared" si="43" ref="DI8:DI29">DG8+DH8</f>
        <v>116.8541825</v>
      </c>
      <c r="DJ8" s="39">
        <v>9</v>
      </c>
      <c r="DK8" s="39">
        <v>9</v>
      </c>
      <c r="DL8" s="39"/>
      <c r="DM8" s="39"/>
      <c r="DN8" s="39">
        <f aca="true" t="shared" si="44" ref="DN8:DN29">D8*4.70981/100</f>
        <v>27367.528457499997</v>
      </c>
      <c r="DO8" s="39">
        <f aca="true" t="shared" si="45" ref="DO8:DO29">DM8+DN8</f>
        <v>27367.528457499997</v>
      </c>
      <c r="DP8" s="39">
        <v>2166</v>
      </c>
      <c r="DQ8" s="39">
        <v>2094</v>
      </c>
      <c r="DR8" s="39"/>
      <c r="DS8" s="39"/>
      <c r="DT8" s="39">
        <f aca="true" t="shared" si="46" ref="DT8:DT29">D8*0.28727/100</f>
        <v>1669.2541525000001</v>
      </c>
      <c r="DU8" s="39">
        <f aca="true" t="shared" si="47" ref="DU8:DU29">DS8+DT8</f>
        <v>1669.2541525000001</v>
      </c>
      <c r="DV8" s="39">
        <v>132</v>
      </c>
      <c r="DW8" s="39">
        <v>128</v>
      </c>
      <c r="DX8" s="39"/>
      <c r="DY8" s="39"/>
      <c r="DZ8" s="39">
        <f aca="true" t="shared" si="48" ref="DZ8:DZ29">D8*4.87421/100</f>
        <v>28322.815757499997</v>
      </c>
      <c r="EA8" s="39">
        <f aca="true" t="shared" si="49" ref="EA8:EA29">DY8+DZ8</f>
        <v>28322.815757499997</v>
      </c>
      <c r="EB8" s="39">
        <v>2242</v>
      </c>
      <c r="EC8" s="39">
        <v>2167</v>
      </c>
      <c r="ED8" s="39"/>
      <c r="EE8" s="39"/>
      <c r="EF8" s="39">
        <f aca="true" t="shared" si="50" ref="EF8:EF29">D8*0.60754/100</f>
        <v>3530.2630549999994</v>
      </c>
      <c r="EG8" s="39">
        <f aca="true" t="shared" si="51" ref="EG8:EG29">EE8+EF8</f>
        <v>3530.2630549999994</v>
      </c>
      <c r="EH8" s="39">
        <v>279</v>
      </c>
      <c r="EI8" s="39">
        <v>270</v>
      </c>
      <c r="EJ8" s="39"/>
      <c r="EK8" s="39"/>
      <c r="EL8" s="39">
        <f aca="true" t="shared" si="52" ref="EL8:EL29">D8*0.26185/100</f>
        <v>1521.5448875000002</v>
      </c>
      <c r="EM8" s="39">
        <f aca="true" t="shared" si="53" ref="EM8:EM29">EK8+EL8</f>
        <v>1521.5448875000002</v>
      </c>
      <c r="EN8" s="39">
        <v>120</v>
      </c>
      <c r="EO8" s="39">
        <v>116</v>
      </c>
      <c r="EP8" s="39"/>
      <c r="EQ8" s="39"/>
      <c r="ER8" s="39"/>
      <c r="ES8" s="39"/>
      <c r="ET8" s="39"/>
      <c r="EU8" s="39"/>
      <c r="EV8" s="39"/>
      <c r="EW8" s="56">
        <f aca="true" t="shared" si="54" ref="EW8:EW29">C8*0.08698/100</f>
        <v>0</v>
      </c>
      <c r="EX8" s="56">
        <f aca="true" t="shared" si="55" ref="EX8:EX29">D8*0.08698/100</f>
        <v>505.419035</v>
      </c>
      <c r="EY8" s="39">
        <f aca="true" t="shared" si="56" ref="EY8:EY29">EW8+EX8</f>
        <v>505.419035</v>
      </c>
      <c r="EZ8" s="39">
        <v>40</v>
      </c>
      <c r="FA8" s="39">
        <v>39</v>
      </c>
      <c r="FB8" s="39"/>
      <c r="FC8" s="39">
        <f aca="true" t="shared" si="57" ref="FC8:FC29">C8*0.19505/100</f>
        <v>0</v>
      </c>
      <c r="FD8" s="39">
        <f aca="true" t="shared" si="58" ref="FD8:FD29">D8*0.19505/100</f>
        <v>1133.3867875</v>
      </c>
      <c r="FE8" s="39">
        <f aca="true" t="shared" si="59" ref="FE8:FE29">FC8+FD8</f>
        <v>1133.3867875</v>
      </c>
      <c r="FF8" s="39">
        <v>90</v>
      </c>
      <c r="FG8" s="39">
        <v>87</v>
      </c>
      <c r="FH8" s="39"/>
      <c r="FI8" s="39"/>
      <c r="FJ8" s="39"/>
      <c r="FK8" s="39"/>
      <c r="FL8" s="39"/>
      <c r="FM8" s="39"/>
      <c r="FN8" s="39"/>
      <c r="FO8" s="39"/>
      <c r="FP8" s="39"/>
      <c r="FQ8" s="39"/>
    </row>
    <row r="9" spans="1:173" ht="12">
      <c r="A9" s="22">
        <v>40634</v>
      </c>
      <c r="C9" s="39"/>
      <c r="D9" s="39">
        <v>581075</v>
      </c>
      <c r="E9" s="42">
        <f t="shared" si="0"/>
        <v>581075</v>
      </c>
      <c r="F9" s="42">
        <f t="shared" si="1"/>
        <v>45991</v>
      </c>
      <c r="G9" s="42">
        <f t="shared" si="2"/>
        <v>44450</v>
      </c>
      <c r="I9" s="42">
        <f t="shared" si="3"/>
        <v>0</v>
      </c>
      <c r="J9" s="48">
        <f t="shared" si="4"/>
        <v>1638.8058225</v>
      </c>
      <c r="K9" s="42">
        <f t="shared" si="5"/>
        <v>1638.8058225</v>
      </c>
      <c r="L9" s="42">
        <f t="shared" si="6"/>
        <v>130</v>
      </c>
      <c r="M9" s="42">
        <f t="shared" si="7"/>
        <v>126</v>
      </c>
      <c r="O9" s="39">
        <f aca="true" t="shared" si="60" ref="O9:O29">U9+AA9+AG9+AM9+AS9+AY9+BE9+BK9+BQ9+BW9+CC9+CI9+CO9+CU9+DA9+DG9+DM9+DS9+DY9+EE9+EQ9+EK9</f>
        <v>0</v>
      </c>
      <c r="P9" s="39">
        <f t="shared" si="8"/>
        <v>579436.1941775</v>
      </c>
      <c r="Q9" s="39">
        <f t="shared" si="9"/>
        <v>579436.1941775</v>
      </c>
      <c r="R9" s="39">
        <f t="shared" si="10"/>
        <v>45861</v>
      </c>
      <c r="S9" s="39">
        <f t="shared" si="11"/>
        <v>44324</v>
      </c>
      <c r="U9" s="56">
        <f>C9*15.05006/100</f>
        <v>0</v>
      </c>
      <c r="V9" s="56">
        <f t="shared" si="12"/>
        <v>87452.136145</v>
      </c>
      <c r="W9" s="39">
        <f t="shared" si="13"/>
        <v>87452.136145</v>
      </c>
      <c r="X9" s="39">
        <v>6912</v>
      </c>
      <c r="Y9" s="39">
        <v>6680</v>
      </c>
      <c r="Z9" s="39"/>
      <c r="AA9" s="39">
        <f>C9*16.92584/100</f>
        <v>0</v>
      </c>
      <c r="AB9" s="39">
        <f t="shared" si="14"/>
        <v>98351.82478</v>
      </c>
      <c r="AC9" s="39">
        <f t="shared" si="15"/>
        <v>98351.82478</v>
      </c>
      <c r="AD9" s="39">
        <v>7794</v>
      </c>
      <c r="AE9" s="39">
        <v>7533</v>
      </c>
      <c r="AF9" s="39"/>
      <c r="AG9" s="39">
        <f>C9*9.75766/100</f>
        <v>0</v>
      </c>
      <c r="AH9" s="39">
        <f t="shared" si="16"/>
        <v>56699.322845</v>
      </c>
      <c r="AI9" s="39">
        <f t="shared" si="17"/>
        <v>56699.322845</v>
      </c>
      <c r="AJ9" s="39">
        <v>4488</v>
      </c>
      <c r="AK9" s="39">
        <v>4337</v>
      </c>
      <c r="AL9" s="39"/>
      <c r="AM9" s="39">
        <f>C9*7.48131/100</f>
        <v>0</v>
      </c>
      <c r="AN9" s="39">
        <f t="shared" si="18"/>
        <v>43472.0220825</v>
      </c>
      <c r="AO9" s="39">
        <f t="shared" si="19"/>
        <v>43472.0220825</v>
      </c>
      <c r="AP9" s="39">
        <v>3441</v>
      </c>
      <c r="AQ9" s="39">
        <v>3325</v>
      </c>
      <c r="AR9" s="39"/>
      <c r="AS9" s="39">
        <f>C9*0.21612/100</f>
        <v>0</v>
      </c>
      <c r="AT9" s="39">
        <f t="shared" si="20"/>
        <v>1255.8192900000001</v>
      </c>
      <c r="AU9" s="39">
        <f t="shared" si="21"/>
        <v>1255.8192900000001</v>
      </c>
      <c r="AV9" s="39">
        <v>99</v>
      </c>
      <c r="AW9" s="39">
        <v>96</v>
      </c>
      <c r="AX9" s="39"/>
      <c r="AY9" s="39">
        <f>C9*0.01906/100</f>
        <v>0</v>
      </c>
      <c r="AZ9" s="39">
        <f t="shared" si="22"/>
        <v>110.75289500000001</v>
      </c>
      <c r="BA9" s="39">
        <f t="shared" si="23"/>
        <v>110.75289500000001</v>
      </c>
      <c r="BB9" s="39">
        <v>9</v>
      </c>
      <c r="BC9" s="39">
        <v>8</v>
      </c>
      <c r="BD9" s="39"/>
      <c r="BE9" s="39">
        <f>C9*0.01369/100</f>
        <v>0</v>
      </c>
      <c r="BF9" s="39">
        <f t="shared" si="24"/>
        <v>79.54916750000001</v>
      </c>
      <c r="BG9" s="39">
        <f t="shared" si="25"/>
        <v>79.54916750000001</v>
      </c>
      <c r="BH9" s="39">
        <v>6</v>
      </c>
      <c r="BI9" s="39">
        <v>6</v>
      </c>
      <c r="BJ9" s="39"/>
      <c r="BK9" s="39">
        <f>C9*0.23757/100</f>
        <v>0</v>
      </c>
      <c r="BL9" s="39">
        <f t="shared" si="26"/>
        <v>1380.4598775</v>
      </c>
      <c r="BM9" s="39">
        <f t="shared" si="27"/>
        <v>1380.4598775</v>
      </c>
      <c r="BN9" s="39">
        <v>109</v>
      </c>
      <c r="BO9" s="39">
        <v>106</v>
      </c>
      <c r="BP9" s="39"/>
      <c r="BQ9" s="39">
        <f>C9*5.91225/100</f>
        <v>0</v>
      </c>
      <c r="BR9" s="39">
        <f t="shared" si="28"/>
        <v>34354.6066875</v>
      </c>
      <c r="BS9" s="39">
        <f t="shared" si="29"/>
        <v>34354.6066875</v>
      </c>
      <c r="BT9" s="39">
        <v>2719</v>
      </c>
      <c r="BU9" s="39">
        <v>2628</v>
      </c>
      <c r="BV9" s="39"/>
      <c r="BW9" s="39">
        <f>C9*1.80534/100</f>
        <v>0</v>
      </c>
      <c r="BX9" s="39">
        <f t="shared" si="30"/>
        <v>10490.379405</v>
      </c>
      <c r="BY9" s="39">
        <f t="shared" si="31"/>
        <v>10490.379405</v>
      </c>
      <c r="BZ9" s="39">
        <v>830</v>
      </c>
      <c r="CA9" s="39">
        <v>803</v>
      </c>
      <c r="CB9" s="39"/>
      <c r="CC9" s="39">
        <f>C9*5.15053/100</f>
        <v>0</v>
      </c>
      <c r="CD9" s="39">
        <f t="shared" si="32"/>
        <v>29928.442197499997</v>
      </c>
      <c r="CE9" s="39">
        <f t="shared" si="33"/>
        <v>29928.442197499997</v>
      </c>
      <c r="CF9" s="39">
        <v>2369</v>
      </c>
      <c r="CG9" s="39">
        <v>2289</v>
      </c>
      <c r="CH9" s="39"/>
      <c r="CI9" s="39">
        <f>C9*14.16042/100</f>
        <v>0</v>
      </c>
      <c r="CJ9" s="39">
        <f t="shared" si="34"/>
        <v>82282.660515</v>
      </c>
      <c r="CK9" s="39">
        <f t="shared" si="35"/>
        <v>82282.660515</v>
      </c>
      <c r="CL9" s="39">
        <v>6513</v>
      </c>
      <c r="CM9" s="39">
        <v>6294</v>
      </c>
      <c r="CN9" s="39"/>
      <c r="CO9" s="39">
        <f>C9*6.15602/100</f>
        <v>0</v>
      </c>
      <c r="CP9" s="39">
        <f t="shared" si="36"/>
        <v>35771.093215</v>
      </c>
      <c r="CQ9" s="39">
        <f t="shared" si="37"/>
        <v>35771.093215</v>
      </c>
      <c r="CR9" s="39">
        <v>2831</v>
      </c>
      <c r="CS9" s="39">
        <v>2736</v>
      </c>
      <c r="CT9" s="39"/>
      <c r="CU9" s="39">
        <f>C9*5.37414/100</f>
        <v>0</v>
      </c>
      <c r="CV9" s="39">
        <f t="shared" si="38"/>
        <v>31227.784005</v>
      </c>
      <c r="CW9" s="39">
        <f t="shared" si="39"/>
        <v>31227.784005</v>
      </c>
      <c r="CX9" s="39">
        <v>2472</v>
      </c>
      <c r="CY9" s="39">
        <v>2389</v>
      </c>
      <c r="CZ9" s="39"/>
      <c r="DA9" s="93">
        <f>C9*0.69717/100</f>
        <v>0</v>
      </c>
      <c r="DB9" s="93">
        <f t="shared" si="40"/>
        <v>4051.0805775</v>
      </c>
      <c r="DC9" s="93">
        <f t="shared" si="41"/>
        <v>4051.0805775</v>
      </c>
      <c r="DD9" s="93">
        <v>321</v>
      </c>
      <c r="DE9" s="93">
        <v>310</v>
      </c>
      <c r="DF9" s="39"/>
      <c r="DG9" s="39">
        <f>C9*0.02011/100</f>
        <v>0</v>
      </c>
      <c r="DH9" s="39">
        <f t="shared" si="42"/>
        <v>116.8541825</v>
      </c>
      <c r="DI9" s="39">
        <f t="shared" si="43"/>
        <v>116.8541825</v>
      </c>
      <c r="DJ9" s="39">
        <v>9</v>
      </c>
      <c r="DK9" s="39">
        <v>9</v>
      </c>
      <c r="DL9" s="39"/>
      <c r="DM9" s="39">
        <f>C9*4.70981/100</f>
        <v>0</v>
      </c>
      <c r="DN9" s="39">
        <f t="shared" si="44"/>
        <v>27367.528457499997</v>
      </c>
      <c r="DO9" s="39">
        <f t="shared" si="45"/>
        <v>27367.528457499997</v>
      </c>
      <c r="DP9" s="39">
        <v>2166</v>
      </c>
      <c r="DQ9" s="39">
        <v>2094</v>
      </c>
      <c r="DR9" s="39"/>
      <c r="DS9" s="39">
        <f>C9*0.28727/100</f>
        <v>0</v>
      </c>
      <c r="DT9" s="39">
        <f t="shared" si="46"/>
        <v>1669.2541525000001</v>
      </c>
      <c r="DU9" s="39">
        <f t="shared" si="47"/>
        <v>1669.2541525000001</v>
      </c>
      <c r="DV9" s="39">
        <v>132</v>
      </c>
      <c r="DW9" s="39">
        <v>128</v>
      </c>
      <c r="DX9" s="39"/>
      <c r="DY9" s="39">
        <f>C9*4.87421/100</f>
        <v>0</v>
      </c>
      <c r="DZ9" s="39">
        <f t="shared" si="48"/>
        <v>28322.815757499997</v>
      </c>
      <c r="EA9" s="39">
        <f t="shared" si="49"/>
        <v>28322.815757499997</v>
      </c>
      <c r="EB9" s="39">
        <v>2242</v>
      </c>
      <c r="EC9" s="39">
        <v>2167</v>
      </c>
      <c r="ED9" s="39"/>
      <c r="EE9" s="39">
        <f>C9*0.60754/100</f>
        <v>0</v>
      </c>
      <c r="EF9" s="39">
        <f t="shared" si="50"/>
        <v>3530.2630549999994</v>
      </c>
      <c r="EG9" s="39">
        <f t="shared" si="51"/>
        <v>3530.2630549999994</v>
      </c>
      <c r="EH9" s="39">
        <v>279</v>
      </c>
      <c r="EI9" s="39">
        <v>270</v>
      </c>
      <c r="EJ9" s="39"/>
      <c r="EK9" s="39">
        <f>C9*0.26185/100</f>
        <v>0</v>
      </c>
      <c r="EL9" s="39">
        <f t="shared" si="52"/>
        <v>1521.5448875000002</v>
      </c>
      <c r="EM9" s="39">
        <f t="shared" si="53"/>
        <v>1521.5448875000002</v>
      </c>
      <c r="EN9" s="39">
        <v>120</v>
      </c>
      <c r="EO9" s="39">
        <v>116</v>
      </c>
      <c r="EP9" s="39"/>
      <c r="EQ9" s="39"/>
      <c r="ER9" s="39"/>
      <c r="ES9" s="39"/>
      <c r="ET9" s="39"/>
      <c r="EU9" s="39"/>
      <c r="EV9" s="39"/>
      <c r="EW9" s="56">
        <f t="shared" si="54"/>
        <v>0</v>
      </c>
      <c r="EX9" s="56">
        <f t="shared" si="55"/>
        <v>505.419035</v>
      </c>
      <c r="EY9" s="39">
        <f t="shared" si="56"/>
        <v>505.419035</v>
      </c>
      <c r="EZ9" s="39">
        <v>40</v>
      </c>
      <c r="FA9" s="39">
        <v>39</v>
      </c>
      <c r="FB9" s="39"/>
      <c r="FC9" s="39">
        <f t="shared" si="57"/>
        <v>0</v>
      </c>
      <c r="FD9" s="39">
        <f t="shared" si="58"/>
        <v>1133.3867875</v>
      </c>
      <c r="FE9" s="39">
        <f t="shared" si="59"/>
        <v>1133.3867875</v>
      </c>
      <c r="FF9" s="39">
        <v>90</v>
      </c>
      <c r="FG9" s="39">
        <v>87</v>
      </c>
      <c r="FH9" s="39"/>
      <c r="FI9" s="39"/>
      <c r="FJ9" s="39"/>
      <c r="FK9" s="39"/>
      <c r="FL9" s="39"/>
      <c r="FM9" s="39"/>
      <c r="FN9" s="39"/>
      <c r="FO9" s="39"/>
      <c r="FP9" s="39"/>
      <c r="FQ9" s="39"/>
    </row>
    <row r="10" spans="1:173" ht="12">
      <c r="A10" s="22">
        <v>40817</v>
      </c>
      <c r="C10" s="39"/>
      <c r="D10" s="39">
        <v>581075</v>
      </c>
      <c r="E10" s="42">
        <f t="shared" si="0"/>
        <v>581075</v>
      </c>
      <c r="F10" s="42">
        <f t="shared" si="1"/>
        <v>45991</v>
      </c>
      <c r="G10" s="42">
        <f t="shared" si="2"/>
        <v>44450</v>
      </c>
      <c r="I10" s="42">
        <f t="shared" si="3"/>
        <v>0</v>
      </c>
      <c r="J10" s="48">
        <f t="shared" si="4"/>
        <v>1638.8058225</v>
      </c>
      <c r="K10" s="42">
        <f t="shared" si="5"/>
        <v>1638.8058225</v>
      </c>
      <c r="L10" s="42">
        <f t="shared" si="6"/>
        <v>130</v>
      </c>
      <c r="M10" s="42">
        <f t="shared" si="7"/>
        <v>126</v>
      </c>
      <c r="O10" s="39"/>
      <c r="P10" s="39">
        <f t="shared" si="8"/>
        <v>579436.1941775</v>
      </c>
      <c r="Q10" s="39">
        <f t="shared" si="9"/>
        <v>579436.1941775</v>
      </c>
      <c r="R10" s="39">
        <f t="shared" si="10"/>
        <v>45861</v>
      </c>
      <c r="S10" s="39">
        <f t="shared" si="11"/>
        <v>44324</v>
      </c>
      <c r="U10" s="56"/>
      <c r="V10" s="56">
        <f t="shared" si="12"/>
        <v>87452.136145</v>
      </c>
      <c r="W10" s="39">
        <f t="shared" si="13"/>
        <v>87452.136145</v>
      </c>
      <c r="X10" s="39">
        <v>6912</v>
      </c>
      <c r="Y10" s="39">
        <v>6680</v>
      </c>
      <c r="Z10" s="39"/>
      <c r="AA10" s="39"/>
      <c r="AB10" s="39">
        <f t="shared" si="14"/>
        <v>98351.82478</v>
      </c>
      <c r="AC10" s="39">
        <f t="shared" si="15"/>
        <v>98351.82478</v>
      </c>
      <c r="AD10" s="39">
        <v>7794</v>
      </c>
      <c r="AE10" s="39">
        <v>7533</v>
      </c>
      <c r="AF10" s="39"/>
      <c r="AG10" s="39"/>
      <c r="AH10" s="39">
        <f t="shared" si="16"/>
        <v>56699.322845</v>
      </c>
      <c r="AI10" s="39">
        <f t="shared" si="17"/>
        <v>56699.322845</v>
      </c>
      <c r="AJ10" s="39">
        <v>4488</v>
      </c>
      <c r="AK10" s="39">
        <v>4337</v>
      </c>
      <c r="AL10" s="39"/>
      <c r="AM10" s="39"/>
      <c r="AN10" s="39">
        <f t="shared" si="18"/>
        <v>43472.0220825</v>
      </c>
      <c r="AO10" s="39">
        <f t="shared" si="19"/>
        <v>43472.0220825</v>
      </c>
      <c r="AP10" s="39">
        <v>3441</v>
      </c>
      <c r="AQ10" s="39">
        <v>3325</v>
      </c>
      <c r="AR10" s="39"/>
      <c r="AS10" s="39"/>
      <c r="AT10" s="39">
        <f t="shared" si="20"/>
        <v>1255.8192900000001</v>
      </c>
      <c r="AU10" s="39">
        <f t="shared" si="21"/>
        <v>1255.8192900000001</v>
      </c>
      <c r="AV10" s="39">
        <v>99</v>
      </c>
      <c r="AW10" s="39">
        <v>96</v>
      </c>
      <c r="AX10" s="39"/>
      <c r="AY10" s="39"/>
      <c r="AZ10" s="39">
        <f t="shared" si="22"/>
        <v>110.75289500000001</v>
      </c>
      <c r="BA10" s="39">
        <f t="shared" si="23"/>
        <v>110.75289500000001</v>
      </c>
      <c r="BB10" s="39">
        <v>9</v>
      </c>
      <c r="BC10" s="39">
        <v>8</v>
      </c>
      <c r="BD10" s="39"/>
      <c r="BE10" s="39"/>
      <c r="BF10" s="39">
        <f t="shared" si="24"/>
        <v>79.54916750000001</v>
      </c>
      <c r="BG10" s="39">
        <f t="shared" si="25"/>
        <v>79.54916750000001</v>
      </c>
      <c r="BH10" s="39">
        <v>6</v>
      </c>
      <c r="BI10" s="39">
        <v>6</v>
      </c>
      <c r="BJ10" s="39"/>
      <c r="BK10" s="39"/>
      <c r="BL10" s="39">
        <f t="shared" si="26"/>
        <v>1380.4598775</v>
      </c>
      <c r="BM10" s="39">
        <f t="shared" si="27"/>
        <v>1380.4598775</v>
      </c>
      <c r="BN10" s="39">
        <v>109</v>
      </c>
      <c r="BO10" s="39">
        <v>106</v>
      </c>
      <c r="BP10" s="39"/>
      <c r="BQ10" s="39"/>
      <c r="BR10" s="39">
        <f t="shared" si="28"/>
        <v>34354.6066875</v>
      </c>
      <c r="BS10" s="39">
        <f t="shared" si="29"/>
        <v>34354.6066875</v>
      </c>
      <c r="BT10" s="39">
        <v>2719</v>
      </c>
      <c r="BU10" s="39">
        <v>2628</v>
      </c>
      <c r="BV10" s="39"/>
      <c r="BW10" s="39"/>
      <c r="BX10" s="39">
        <f t="shared" si="30"/>
        <v>10490.379405</v>
      </c>
      <c r="BY10" s="39">
        <f t="shared" si="31"/>
        <v>10490.379405</v>
      </c>
      <c r="BZ10" s="39">
        <v>830</v>
      </c>
      <c r="CA10" s="39">
        <v>803</v>
      </c>
      <c r="CB10" s="39"/>
      <c r="CC10" s="39"/>
      <c r="CD10" s="39">
        <f t="shared" si="32"/>
        <v>29928.442197499997</v>
      </c>
      <c r="CE10" s="39">
        <f t="shared" si="33"/>
        <v>29928.442197499997</v>
      </c>
      <c r="CF10" s="39">
        <v>2369</v>
      </c>
      <c r="CG10" s="39">
        <v>2289</v>
      </c>
      <c r="CH10" s="39"/>
      <c r="CI10" s="39"/>
      <c r="CJ10" s="39">
        <f t="shared" si="34"/>
        <v>82282.660515</v>
      </c>
      <c r="CK10" s="39">
        <f t="shared" si="35"/>
        <v>82282.660515</v>
      </c>
      <c r="CL10" s="39">
        <v>6513</v>
      </c>
      <c r="CM10" s="39">
        <v>6294</v>
      </c>
      <c r="CN10" s="39"/>
      <c r="CO10" s="39"/>
      <c r="CP10" s="39">
        <f t="shared" si="36"/>
        <v>35771.093215</v>
      </c>
      <c r="CQ10" s="39">
        <f t="shared" si="37"/>
        <v>35771.093215</v>
      </c>
      <c r="CR10" s="39">
        <v>2831</v>
      </c>
      <c r="CS10" s="39">
        <v>2736</v>
      </c>
      <c r="CT10" s="39"/>
      <c r="CU10" s="39"/>
      <c r="CV10" s="39">
        <f t="shared" si="38"/>
        <v>31227.784005</v>
      </c>
      <c r="CW10" s="39">
        <f t="shared" si="39"/>
        <v>31227.784005</v>
      </c>
      <c r="CX10" s="39">
        <v>2472</v>
      </c>
      <c r="CY10" s="39">
        <v>2389</v>
      </c>
      <c r="CZ10" s="39"/>
      <c r="DA10" s="93"/>
      <c r="DB10" s="93">
        <f t="shared" si="40"/>
        <v>4051.0805775</v>
      </c>
      <c r="DC10" s="93">
        <f t="shared" si="41"/>
        <v>4051.0805775</v>
      </c>
      <c r="DD10" s="93">
        <v>321</v>
      </c>
      <c r="DE10" s="93">
        <v>310</v>
      </c>
      <c r="DF10" s="39"/>
      <c r="DG10" s="39"/>
      <c r="DH10" s="39">
        <f t="shared" si="42"/>
        <v>116.8541825</v>
      </c>
      <c r="DI10" s="39">
        <f t="shared" si="43"/>
        <v>116.8541825</v>
      </c>
      <c r="DJ10" s="39">
        <v>9</v>
      </c>
      <c r="DK10" s="39">
        <v>9</v>
      </c>
      <c r="DL10" s="39"/>
      <c r="DM10" s="39"/>
      <c r="DN10" s="39">
        <f t="shared" si="44"/>
        <v>27367.528457499997</v>
      </c>
      <c r="DO10" s="39">
        <f t="shared" si="45"/>
        <v>27367.528457499997</v>
      </c>
      <c r="DP10" s="39">
        <v>2166</v>
      </c>
      <c r="DQ10" s="39">
        <v>2094</v>
      </c>
      <c r="DR10" s="39"/>
      <c r="DS10" s="39"/>
      <c r="DT10" s="39">
        <f t="shared" si="46"/>
        <v>1669.2541525000001</v>
      </c>
      <c r="DU10" s="39">
        <f t="shared" si="47"/>
        <v>1669.2541525000001</v>
      </c>
      <c r="DV10" s="39">
        <v>132</v>
      </c>
      <c r="DW10" s="39">
        <v>128</v>
      </c>
      <c r="DX10" s="39"/>
      <c r="DY10" s="39"/>
      <c r="DZ10" s="39">
        <f t="shared" si="48"/>
        <v>28322.815757499997</v>
      </c>
      <c r="EA10" s="39">
        <f t="shared" si="49"/>
        <v>28322.815757499997</v>
      </c>
      <c r="EB10" s="39">
        <v>2242</v>
      </c>
      <c r="EC10" s="39">
        <v>2167</v>
      </c>
      <c r="ED10" s="39"/>
      <c r="EE10" s="39"/>
      <c r="EF10" s="39">
        <f t="shared" si="50"/>
        <v>3530.2630549999994</v>
      </c>
      <c r="EG10" s="39">
        <f t="shared" si="51"/>
        <v>3530.2630549999994</v>
      </c>
      <c r="EH10" s="39">
        <v>279</v>
      </c>
      <c r="EI10" s="39">
        <v>270</v>
      </c>
      <c r="EJ10" s="39"/>
      <c r="EK10" s="39"/>
      <c r="EL10" s="39">
        <f t="shared" si="52"/>
        <v>1521.5448875000002</v>
      </c>
      <c r="EM10" s="39">
        <f t="shared" si="53"/>
        <v>1521.5448875000002</v>
      </c>
      <c r="EN10" s="39">
        <v>120</v>
      </c>
      <c r="EO10" s="39">
        <v>116</v>
      </c>
      <c r="EP10" s="39"/>
      <c r="EQ10" s="39"/>
      <c r="ER10" s="39"/>
      <c r="ES10" s="39"/>
      <c r="ET10" s="39"/>
      <c r="EU10" s="39"/>
      <c r="EV10" s="39"/>
      <c r="EW10" s="56">
        <f t="shared" si="54"/>
        <v>0</v>
      </c>
      <c r="EX10" s="56">
        <f t="shared" si="55"/>
        <v>505.419035</v>
      </c>
      <c r="EY10" s="39">
        <f t="shared" si="56"/>
        <v>505.419035</v>
      </c>
      <c r="EZ10" s="39">
        <v>40</v>
      </c>
      <c r="FA10" s="39">
        <v>39</v>
      </c>
      <c r="FB10" s="39"/>
      <c r="FC10" s="39">
        <f t="shared" si="57"/>
        <v>0</v>
      </c>
      <c r="FD10" s="39">
        <f t="shared" si="58"/>
        <v>1133.3867875</v>
      </c>
      <c r="FE10" s="39">
        <f t="shared" si="59"/>
        <v>1133.3867875</v>
      </c>
      <c r="FF10" s="39">
        <v>90</v>
      </c>
      <c r="FG10" s="39">
        <v>87</v>
      </c>
      <c r="FH10" s="39"/>
      <c r="FI10" s="39"/>
      <c r="FJ10" s="39"/>
      <c r="FK10" s="39"/>
      <c r="FL10" s="39"/>
      <c r="FM10" s="39"/>
      <c r="FN10" s="39"/>
      <c r="FO10" s="39"/>
      <c r="FP10" s="39"/>
      <c r="FQ10" s="39"/>
    </row>
    <row r="11" spans="1:173" ht="12">
      <c r="A11" s="22">
        <v>41000</v>
      </c>
      <c r="C11" s="39"/>
      <c r="D11" s="39">
        <v>581075</v>
      </c>
      <c r="E11" s="42">
        <f t="shared" si="0"/>
        <v>581075</v>
      </c>
      <c r="F11" s="42">
        <f t="shared" si="1"/>
        <v>45991</v>
      </c>
      <c r="G11" s="42">
        <f t="shared" si="2"/>
        <v>44450</v>
      </c>
      <c r="I11" s="42">
        <f t="shared" si="3"/>
        <v>0</v>
      </c>
      <c r="J11" s="48">
        <f t="shared" si="4"/>
        <v>1638.8058225</v>
      </c>
      <c r="K11" s="42">
        <f t="shared" si="5"/>
        <v>1638.8058225</v>
      </c>
      <c r="L11" s="42">
        <f t="shared" si="6"/>
        <v>130</v>
      </c>
      <c r="M11" s="42">
        <f t="shared" si="7"/>
        <v>126</v>
      </c>
      <c r="O11" s="39">
        <f t="shared" si="60"/>
        <v>0</v>
      </c>
      <c r="P11" s="39">
        <f t="shared" si="8"/>
        <v>579436.1941775</v>
      </c>
      <c r="Q11" s="39">
        <f t="shared" si="9"/>
        <v>579436.1941775</v>
      </c>
      <c r="R11" s="39">
        <f t="shared" si="10"/>
        <v>45861</v>
      </c>
      <c r="S11" s="39">
        <f t="shared" si="11"/>
        <v>44324</v>
      </c>
      <c r="U11" s="56">
        <f>C11*15.05006/100</f>
        <v>0</v>
      </c>
      <c r="V11" s="56">
        <f t="shared" si="12"/>
        <v>87452.136145</v>
      </c>
      <c r="W11" s="39">
        <f t="shared" si="13"/>
        <v>87452.136145</v>
      </c>
      <c r="X11" s="39">
        <v>6912</v>
      </c>
      <c r="Y11" s="39">
        <v>6680</v>
      </c>
      <c r="Z11" s="39"/>
      <c r="AA11" s="39">
        <f>C11*16.92584/100</f>
        <v>0</v>
      </c>
      <c r="AB11" s="39">
        <f t="shared" si="14"/>
        <v>98351.82478</v>
      </c>
      <c r="AC11" s="39">
        <f t="shared" si="15"/>
        <v>98351.82478</v>
      </c>
      <c r="AD11" s="39">
        <v>7794</v>
      </c>
      <c r="AE11" s="39">
        <v>7533</v>
      </c>
      <c r="AF11" s="39"/>
      <c r="AG11" s="39">
        <f>C11*9.75766/100</f>
        <v>0</v>
      </c>
      <c r="AH11" s="39">
        <f t="shared" si="16"/>
        <v>56699.322845</v>
      </c>
      <c r="AI11" s="39">
        <f t="shared" si="17"/>
        <v>56699.322845</v>
      </c>
      <c r="AJ11" s="39">
        <v>4488</v>
      </c>
      <c r="AK11" s="39">
        <v>4337</v>
      </c>
      <c r="AL11" s="39"/>
      <c r="AM11" s="39">
        <f>C11*7.48131/100</f>
        <v>0</v>
      </c>
      <c r="AN11" s="39">
        <f t="shared" si="18"/>
        <v>43472.0220825</v>
      </c>
      <c r="AO11" s="39">
        <f t="shared" si="19"/>
        <v>43472.0220825</v>
      </c>
      <c r="AP11" s="39">
        <v>3441</v>
      </c>
      <c r="AQ11" s="39">
        <v>3325</v>
      </c>
      <c r="AR11" s="39"/>
      <c r="AS11" s="39">
        <f>C11*0.21612/100</f>
        <v>0</v>
      </c>
      <c r="AT11" s="39">
        <f t="shared" si="20"/>
        <v>1255.8192900000001</v>
      </c>
      <c r="AU11" s="39">
        <f t="shared" si="21"/>
        <v>1255.8192900000001</v>
      </c>
      <c r="AV11" s="39">
        <v>99</v>
      </c>
      <c r="AW11" s="39">
        <v>96</v>
      </c>
      <c r="AX11" s="39"/>
      <c r="AY11" s="39">
        <f>C11*0.01906/100</f>
        <v>0</v>
      </c>
      <c r="AZ11" s="39">
        <f t="shared" si="22"/>
        <v>110.75289500000001</v>
      </c>
      <c r="BA11" s="39">
        <f t="shared" si="23"/>
        <v>110.75289500000001</v>
      </c>
      <c r="BB11" s="39">
        <v>9</v>
      </c>
      <c r="BC11" s="39">
        <v>8</v>
      </c>
      <c r="BD11" s="39"/>
      <c r="BE11" s="39">
        <f>C11*0.01369/100</f>
        <v>0</v>
      </c>
      <c r="BF11" s="39">
        <f t="shared" si="24"/>
        <v>79.54916750000001</v>
      </c>
      <c r="BG11" s="39">
        <f t="shared" si="25"/>
        <v>79.54916750000001</v>
      </c>
      <c r="BH11" s="39">
        <v>6</v>
      </c>
      <c r="BI11" s="39">
        <v>6</v>
      </c>
      <c r="BJ11" s="39"/>
      <c r="BK11" s="39">
        <f>C11*0.23757/100</f>
        <v>0</v>
      </c>
      <c r="BL11" s="39">
        <f t="shared" si="26"/>
        <v>1380.4598775</v>
      </c>
      <c r="BM11" s="39">
        <f t="shared" si="27"/>
        <v>1380.4598775</v>
      </c>
      <c r="BN11" s="39">
        <v>109</v>
      </c>
      <c r="BO11" s="39">
        <v>106</v>
      </c>
      <c r="BP11" s="39"/>
      <c r="BQ11" s="39">
        <f>C11*5.91225/100</f>
        <v>0</v>
      </c>
      <c r="BR11" s="39">
        <f t="shared" si="28"/>
        <v>34354.6066875</v>
      </c>
      <c r="BS11" s="39">
        <f t="shared" si="29"/>
        <v>34354.6066875</v>
      </c>
      <c r="BT11" s="39">
        <v>2719</v>
      </c>
      <c r="BU11" s="39">
        <v>2628</v>
      </c>
      <c r="BV11" s="39"/>
      <c r="BW11" s="39">
        <f>C11*1.80534/100</f>
        <v>0</v>
      </c>
      <c r="BX11" s="39">
        <f t="shared" si="30"/>
        <v>10490.379405</v>
      </c>
      <c r="BY11" s="39">
        <f t="shared" si="31"/>
        <v>10490.379405</v>
      </c>
      <c r="BZ11" s="39">
        <v>830</v>
      </c>
      <c r="CA11" s="39">
        <v>803</v>
      </c>
      <c r="CB11" s="39"/>
      <c r="CC11" s="39">
        <f>C11*5.15053/100</f>
        <v>0</v>
      </c>
      <c r="CD11" s="39">
        <f t="shared" si="32"/>
        <v>29928.442197499997</v>
      </c>
      <c r="CE11" s="39">
        <f t="shared" si="33"/>
        <v>29928.442197499997</v>
      </c>
      <c r="CF11" s="39">
        <v>2369</v>
      </c>
      <c r="CG11" s="39">
        <v>2289</v>
      </c>
      <c r="CH11" s="39"/>
      <c r="CI11" s="39">
        <f>C11*14.16042/100</f>
        <v>0</v>
      </c>
      <c r="CJ11" s="39">
        <f t="shared" si="34"/>
        <v>82282.660515</v>
      </c>
      <c r="CK11" s="39">
        <f t="shared" si="35"/>
        <v>82282.660515</v>
      </c>
      <c r="CL11" s="39">
        <v>6513</v>
      </c>
      <c r="CM11" s="39">
        <v>6294</v>
      </c>
      <c r="CN11" s="39"/>
      <c r="CO11" s="39">
        <f>C11*6.15602/100</f>
        <v>0</v>
      </c>
      <c r="CP11" s="39">
        <f t="shared" si="36"/>
        <v>35771.093215</v>
      </c>
      <c r="CQ11" s="39">
        <f t="shared" si="37"/>
        <v>35771.093215</v>
      </c>
      <c r="CR11" s="39">
        <v>2831</v>
      </c>
      <c r="CS11" s="39">
        <v>2736</v>
      </c>
      <c r="CT11" s="39"/>
      <c r="CU11" s="39">
        <f>C11*5.37414/100</f>
        <v>0</v>
      </c>
      <c r="CV11" s="39">
        <f t="shared" si="38"/>
        <v>31227.784005</v>
      </c>
      <c r="CW11" s="39">
        <f t="shared" si="39"/>
        <v>31227.784005</v>
      </c>
      <c r="CX11" s="39">
        <v>2472</v>
      </c>
      <c r="CY11" s="39">
        <v>2389</v>
      </c>
      <c r="CZ11" s="39"/>
      <c r="DA11" s="93">
        <f>C11*0.69717/100</f>
        <v>0</v>
      </c>
      <c r="DB11" s="93">
        <f t="shared" si="40"/>
        <v>4051.0805775</v>
      </c>
      <c r="DC11" s="93">
        <f t="shared" si="41"/>
        <v>4051.0805775</v>
      </c>
      <c r="DD11" s="93">
        <v>321</v>
      </c>
      <c r="DE11" s="93">
        <v>310</v>
      </c>
      <c r="DF11" s="39"/>
      <c r="DG11" s="39">
        <f>C11*0.02011/100</f>
        <v>0</v>
      </c>
      <c r="DH11" s="39">
        <f t="shared" si="42"/>
        <v>116.8541825</v>
      </c>
      <c r="DI11" s="39">
        <f t="shared" si="43"/>
        <v>116.8541825</v>
      </c>
      <c r="DJ11" s="39">
        <v>9</v>
      </c>
      <c r="DK11" s="39">
        <v>9</v>
      </c>
      <c r="DL11" s="39"/>
      <c r="DM11" s="39">
        <f>C11*4.70981/100</f>
        <v>0</v>
      </c>
      <c r="DN11" s="39">
        <f t="shared" si="44"/>
        <v>27367.528457499997</v>
      </c>
      <c r="DO11" s="39">
        <f t="shared" si="45"/>
        <v>27367.528457499997</v>
      </c>
      <c r="DP11" s="39">
        <v>2166</v>
      </c>
      <c r="DQ11" s="39">
        <v>2094</v>
      </c>
      <c r="DR11" s="39"/>
      <c r="DS11" s="39">
        <f>C11*0.28727/100</f>
        <v>0</v>
      </c>
      <c r="DT11" s="39">
        <f t="shared" si="46"/>
        <v>1669.2541525000001</v>
      </c>
      <c r="DU11" s="39">
        <f t="shared" si="47"/>
        <v>1669.2541525000001</v>
      </c>
      <c r="DV11" s="39">
        <v>132</v>
      </c>
      <c r="DW11" s="39">
        <v>128</v>
      </c>
      <c r="DX11" s="39"/>
      <c r="DY11" s="39">
        <f>C11*4.87421/100</f>
        <v>0</v>
      </c>
      <c r="DZ11" s="39">
        <f t="shared" si="48"/>
        <v>28322.815757499997</v>
      </c>
      <c r="EA11" s="39">
        <f t="shared" si="49"/>
        <v>28322.815757499997</v>
      </c>
      <c r="EB11" s="39">
        <v>2242</v>
      </c>
      <c r="EC11" s="39">
        <v>2167</v>
      </c>
      <c r="ED11" s="39"/>
      <c r="EE11" s="39">
        <f>C11*0.60754/100</f>
        <v>0</v>
      </c>
      <c r="EF11" s="39">
        <f t="shared" si="50"/>
        <v>3530.2630549999994</v>
      </c>
      <c r="EG11" s="39">
        <f t="shared" si="51"/>
        <v>3530.2630549999994</v>
      </c>
      <c r="EH11" s="39">
        <v>279</v>
      </c>
      <c r="EI11" s="39">
        <v>270</v>
      </c>
      <c r="EJ11" s="39"/>
      <c r="EK11" s="39">
        <f>C11*0.26185/100</f>
        <v>0</v>
      </c>
      <c r="EL11" s="39">
        <f t="shared" si="52"/>
        <v>1521.5448875000002</v>
      </c>
      <c r="EM11" s="39">
        <f t="shared" si="53"/>
        <v>1521.5448875000002</v>
      </c>
      <c r="EN11" s="39">
        <v>120</v>
      </c>
      <c r="EO11" s="39">
        <v>116</v>
      </c>
      <c r="EP11" s="39"/>
      <c r="EQ11" s="39"/>
      <c r="ER11" s="39"/>
      <c r="ES11" s="39"/>
      <c r="ET11" s="39"/>
      <c r="EU11" s="39"/>
      <c r="EV11" s="39"/>
      <c r="EW11" s="56">
        <f t="shared" si="54"/>
        <v>0</v>
      </c>
      <c r="EX11" s="56">
        <f t="shared" si="55"/>
        <v>505.419035</v>
      </c>
      <c r="EY11" s="39">
        <f t="shared" si="56"/>
        <v>505.419035</v>
      </c>
      <c r="EZ11" s="39">
        <v>40</v>
      </c>
      <c r="FA11" s="39">
        <v>39</v>
      </c>
      <c r="FB11" s="39"/>
      <c r="FC11" s="39">
        <f t="shared" si="57"/>
        <v>0</v>
      </c>
      <c r="FD11" s="39">
        <f t="shared" si="58"/>
        <v>1133.3867875</v>
      </c>
      <c r="FE11" s="39">
        <f t="shared" si="59"/>
        <v>1133.3867875</v>
      </c>
      <c r="FF11" s="39">
        <v>90</v>
      </c>
      <c r="FG11" s="39">
        <v>87</v>
      </c>
      <c r="FH11" s="39"/>
      <c r="FI11" s="39"/>
      <c r="FJ11" s="39"/>
      <c r="FK11" s="39"/>
      <c r="FL11" s="39"/>
      <c r="FM11" s="39"/>
      <c r="FN11" s="39"/>
      <c r="FO11" s="39"/>
      <c r="FP11" s="39"/>
      <c r="FQ11" s="39"/>
    </row>
    <row r="12" spans="1:173" ht="12">
      <c r="A12" s="22">
        <v>41183</v>
      </c>
      <c r="C12" s="39"/>
      <c r="D12" s="39">
        <v>581075</v>
      </c>
      <c r="E12" s="42">
        <f t="shared" si="0"/>
        <v>581075</v>
      </c>
      <c r="F12" s="42">
        <f t="shared" si="1"/>
        <v>45991</v>
      </c>
      <c r="G12" s="42">
        <f t="shared" si="2"/>
        <v>44450</v>
      </c>
      <c r="I12" s="42">
        <f t="shared" si="3"/>
        <v>0</v>
      </c>
      <c r="J12" s="48">
        <f t="shared" si="4"/>
        <v>1638.8058225</v>
      </c>
      <c r="K12" s="42">
        <f t="shared" si="5"/>
        <v>1638.8058225</v>
      </c>
      <c r="L12" s="42">
        <f t="shared" si="6"/>
        <v>130</v>
      </c>
      <c r="M12" s="42">
        <f t="shared" si="7"/>
        <v>126</v>
      </c>
      <c r="O12" s="39"/>
      <c r="P12" s="39">
        <f t="shared" si="8"/>
        <v>579436.1941775</v>
      </c>
      <c r="Q12" s="39">
        <f t="shared" si="9"/>
        <v>579436.1941775</v>
      </c>
      <c r="R12" s="39">
        <f t="shared" si="10"/>
        <v>45861</v>
      </c>
      <c r="S12" s="39">
        <f t="shared" si="11"/>
        <v>44324</v>
      </c>
      <c r="U12" s="56"/>
      <c r="V12" s="56">
        <f t="shared" si="12"/>
        <v>87452.136145</v>
      </c>
      <c r="W12" s="39">
        <f t="shared" si="13"/>
        <v>87452.136145</v>
      </c>
      <c r="X12" s="39">
        <v>6912</v>
      </c>
      <c r="Y12" s="39">
        <v>6680</v>
      </c>
      <c r="Z12" s="39"/>
      <c r="AA12" s="39"/>
      <c r="AB12" s="39">
        <f t="shared" si="14"/>
        <v>98351.82478</v>
      </c>
      <c r="AC12" s="39">
        <f t="shared" si="15"/>
        <v>98351.82478</v>
      </c>
      <c r="AD12" s="39">
        <v>7794</v>
      </c>
      <c r="AE12" s="39">
        <v>7533</v>
      </c>
      <c r="AF12" s="39"/>
      <c r="AG12" s="39"/>
      <c r="AH12" s="39">
        <f t="shared" si="16"/>
        <v>56699.322845</v>
      </c>
      <c r="AI12" s="39">
        <f t="shared" si="17"/>
        <v>56699.322845</v>
      </c>
      <c r="AJ12" s="39">
        <v>4488</v>
      </c>
      <c r="AK12" s="39">
        <v>4337</v>
      </c>
      <c r="AL12" s="39"/>
      <c r="AM12" s="39"/>
      <c r="AN12" s="39">
        <f t="shared" si="18"/>
        <v>43472.0220825</v>
      </c>
      <c r="AO12" s="39">
        <f t="shared" si="19"/>
        <v>43472.0220825</v>
      </c>
      <c r="AP12" s="39">
        <v>3441</v>
      </c>
      <c r="AQ12" s="39">
        <v>3325</v>
      </c>
      <c r="AR12" s="39"/>
      <c r="AS12" s="39"/>
      <c r="AT12" s="39">
        <f t="shared" si="20"/>
        <v>1255.8192900000001</v>
      </c>
      <c r="AU12" s="39">
        <f t="shared" si="21"/>
        <v>1255.8192900000001</v>
      </c>
      <c r="AV12" s="39">
        <v>99</v>
      </c>
      <c r="AW12" s="39">
        <v>96</v>
      </c>
      <c r="AX12" s="39"/>
      <c r="AY12" s="39"/>
      <c r="AZ12" s="39">
        <f t="shared" si="22"/>
        <v>110.75289500000001</v>
      </c>
      <c r="BA12" s="39">
        <f t="shared" si="23"/>
        <v>110.75289500000001</v>
      </c>
      <c r="BB12" s="39">
        <v>9</v>
      </c>
      <c r="BC12" s="39">
        <v>8</v>
      </c>
      <c r="BD12" s="39"/>
      <c r="BE12" s="39"/>
      <c r="BF12" s="39">
        <f t="shared" si="24"/>
        <v>79.54916750000001</v>
      </c>
      <c r="BG12" s="39">
        <f t="shared" si="25"/>
        <v>79.54916750000001</v>
      </c>
      <c r="BH12" s="39">
        <v>6</v>
      </c>
      <c r="BI12" s="39">
        <v>6</v>
      </c>
      <c r="BJ12" s="39"/>
      <c r="BK12" s="39"/>
      <c r="BL12" s="39">
        <f t="shared" si="26"/>
        <v>1380.4598775</v>
      </c>
      <c r="BM12" s="39">
        <f t="shared" si="27"/>
        <v>1380.4598775</v>
      </c>
      <c r="BN12" s="39">
        <v>109</v>
      </c>
      <c r="BO12" s="39">
        <v>106</v>
      </c>
      <c r="BP12" s="39"/>
      <c r="BQ12" s="39"/>
      <c r="BR12" s="39">
        <f t="shared" si="28"/>
        <v>34354.6066875</v>
      </c>
      <c r="BS12" s="39">
        <f t="shared" si="29"/>
        <v>34354.6066875</v>
      </c>
      <c r="BT12" s="39">
        <v>2719</v>
      </c>
      <c r="BU12" s="39">
        <v>2628</v>
      </c>
      <c r="BV12" s="39"/>
      <c r="BW12" s="39"/>
      <c r="BX12" s="39">
        <f t="shared" si="30"/>
        <v>10490.379405</v>
      </c>
      <c r="BY12" s="39">
        <f t="shared" si="31"/>
        <v>10490.379405</v>
      </c>
      <c r="BZ12" s="39">
        <v>830</v>
      </c>
      <c r="CA12" s="39">
        <v>803</v>
      </c>
      <c r="CB12" s="39"/>
      <c r="CC12" s="39"/>
      <c r="CD12" s="39">
        <f t="shared" si="32"/>
        <v>29928.442197499997</v>
      </c>
      <c r="CE12" s="39">
        <f t="shared" si="33"/>
        <v>29928.442197499997</v>
      </c>
      <c r="CF12" s="39">
        <v>2369</v>
      </c>
      <c r="CG12" s="39">
        <v>2289</v>
      </c>
      <c r="CH12" s="39"/>
      <c r="CI12" s="39"/>
      <c r="CJ12" s="39">
        <f t="shared" si="34"/>
        <v>82282.660515</v>
      </c>
      <c r="CK12" s="39">
        <f t="shared" si="35"/>
        <v>82282.660515</v>
      </c>
      <c r="CL12" s="39">
        <v>6513</v>
      </c>
      <c r="CM12" s="39">
        <v>6294</v>
      </c>
      <c r="CN12" s="39"/>
      <c r="CO12" s="39"/>
      <c r="CP12" s="39">
        <f t="shared" si="36"/>
        <v>35771.093215</v>
      </c>
      <c r="CQ12" s="39">
        <f t="shared" si="37"/>
        <v>35771.093215</v>
      </c>
      <c r="CR12" s="39">
        <v>2831</v>
      </c>
      <c r="CS12" s="39">
        <v>2736</v>
      </c>
      <c r="CT12" s="39"/>
      <c r="CU12" s="39"/>
      <c r="CV12" s="39">
        <f t="shared" si="38"/>
        <v>31227.784005</v>
      </c>
      <c r="CW12" s="39">
        <f t="shared" si="39"/>
        <v>31227.784005</v>
      </c>
      <c r="CX12" s="39">
        <v>2472</v>
      </c>
      <c r="CY12" s="39">
        <v>2389</v>
      </c>
      <c r="CZ12" s="39"/>
      <c r="DA12" s="93"/>
      <c r="DB12" s="93">
        <f t="shared" si="40"/>
        <v>4051.0805775</v>
      </c>
      <c r="DC12" s="93">
        <f t="shared" si="41"/>
        <v>4051.0805775</v>
      </c>
      <c r="DD12" s="93">
        <v>321</v>
      </c>
      <c r="DE12" s="93">
        <v>310</v>
      </c>
      <c r="DF12" s="39"/>
      <c r="DG12" s="39"/>
      <c r="DH12" s="39">
        <f t="shared" si="42"/>
        <v>116.8541825</v>
      </c>
      <c r="DI12" s="39">
        <f t="shared" si="43"/>
        <v>116.8541825</v>
      </c>
      <c r="DJ12" s="39">
        <v>9</v>
      </c>
      <c r="DK12" s="39">
        <v>9</v>
      </c>
      <c r="DL12" s="39"/>
      <c r="DM12" s="39"/>
      <c r="DN12" s="39">
        <f t="shared" si="44"/>
        <v>27367.528457499997</v>
      </c>
      <c r="DO12" s="39">
        <f t="shared" si="45"/>
        <v>27367.528457499997</v>
      </c>
      <c r="DP12" s="39">
        <v>2166</v>
      </c>
      <c r="DQ12" s="39">
        <v>2094</v>
      </c>
      <c r="DR12" s="39"/>
      <c r="DS12" s="39"/>
      <c r="DT12" s="39">
        <f t="shared" si="46"/>
        <v>1669.2541525000001</v>
      </c>
      <c r="DU12" s="39">
        <f t="shared" si="47"/>
        <v>1669.2541525000001</v>
      </c>
      <c r="DV12" s="39">
        <v>132</v>
      </c>
      <c r="DW12" s="39">
        <v>128</v>
      </c>
      <c r="DX12" s="39"/>
      <c r="DY12" s="39"/>
      <c r="DZ12" s="39">
        <f t="shared" si="48"/>
        <v>28322.815757499997</v>
      </c>
      <c r="EA12" s="39">
        <f t="shared" si="49"/>
        <v>28322.815757499997</v>
      </c>
      <c r="EB12" s="39">
        <v>2242</v>
      </c>
      <c r="EC12" s="39">
        <v>2167</v>
      </c>
      <c r="ED12" s="39"/>
      <c r="EE12" s="39"/>
      <c r="EF12" s="39">
        <f t="shared" si="50"/>
        <v>3530.2630549999994</v>
      </c>
      <c r="EG12" s="39">
        <f t="shared" si="51"/>
        <v>3530.2630549999994</v>
      </c>
      <c r="EH12" s="39">
        <v>279</v>
      </c>
      <c r="EI12" s="39">
        <v>270</v>
      </c>
      <c r="EJ12" s="39"/>
      <c r="EK12" s="39"/>
      <c r="EL12" s="39">
        <f t="shared" si="52"/>
        <v>1521.5448875000002</v>
      </c>
      <c r="EM12" s="39">
        <f t="shared" si="53"/>
        <v>1521.5448875000002</v>
      </c>
      <c r="EN12" s="39">
        <v>120</v>
      </c>
      <c r="EO12" s="39">
        <v>116</v>
      </c>
      <c r="EP12" s="39"/>
      <c r="EQ12" s="39"/>
      <c r="ER12" s="39"/>
      <c r="ES12" s="39"/>
      <c r="ET12" s="39"/>
      <c r="EU12" s="39"/>
      <c r="EV12" s="39"/>
      <c r="EW12" s="56">
        <f t="shared" si="54"/>
        <v>0</v>
      </c>
      <c r="EX12" s="56">
        <f t="shared" si="55"/>
        <v>505.419035</v>
      </c>
      <c r="EY12" s="39">
        <f t="shared" si="56"/>
        <v>505.419035</v>
      </c>
      <c r="EZ12" s="39">
        <v>40</v>
      </c>
      <c r="FA12" s="39">
        <v>39</v>
      </c>
      <c r="FB12" s="39"/>
      <c r="FC12" s="39">
        <f t="shared" si="57"/>
        <v>0</v>
      </c>
      <c r="FD12" s="39">
        <f t="shared" si="58"/>
        <v>1133.3867875</v>
      </c>
      <c r="FE12" s="39">
        <f t="shared" si="59"/>
        <v>1133.3867875</v>
      </c>
      <c r="FF12" s="39">
        <v>90</v>
      </c>
      <c r="FG12" s="39">
        <v>87</v>
      </c>
      <c r="FH12" s="39"/>
      <c r="FI12" s="39"/>
      <c r="FJ12" s="39"/>
      <c r="FK12" s="39"/>
      <c r="FL12" s="39"/>
      <c r="FM12" s="39"/>
      <c r="FN12" s="39"/>
      <c r="FO12" s="39"/>
      <c r="FP12" s="39"/>
      <c r="FQ12" s="39"/>
    </row>
    <row r="13" spans="1:173" ht="12">
      <c r="A13" s="22">
        <v>41365</v>
      </c>
      <c r="C13" s="39"/>
      <c r="D13" s="39">
        <v>581075</v>
      </c>
      <c r="E13" s="42">
        <f t="shared" si="0"/>
        <v>581075</v>
      </c>
      <c r="F13" s="42">
        <f t="shared" si="1"/>
        <v>45991</v>
      </c>
      <c r="G13" s="42">
        <f t="shared" si="2"/>
        <v>44450</v>
      </c>
      <c r="I13" s="42">
        <f t="shared" si="3"/>
        <v>0</v>
      </c>
      <c r="J13" s="48">
        <f t="shared" si="4"/>
        <v>1638.8058225</v>
      </c>
      <c r="K13" s="42">
        <f t="shared" si="5"/>
        <v>1638.8058225</v>
      </c>
      <c r="L13" s="42">
        <f t="shared" si="6"/>
        <v>130</v>
      </c>
      <c r="M13" s="42">
        <f t="shared" si="7"/>
        <v>126</v>
      </c>
      <c r="O13" s="39">
        <f t="shared" si="60"/>
        <v>0</v>
      </c>
      <c r="P13" s="39">
        <f t="shared" si="8"/>
        <v>579436.1941775</v>
      </c>
      <c r="Q13" s="39">
        <f t="shared" si="9"/>
        <v>579436.1941775</v>
      </c>
      <c r="R13" s="39">
        <f t="shared" si="10"/>
        <v>45861</v>
      </c>
      <c r="S13" s="39">
        <f t="shared" si="11"/>
        <v>44324</v>
      </c>
      <c r="U13" s="56">
        <f>C13*15.05006/100</f>
        <v>0</v>
      </c>
      <c r="V13" s="56">
        <f t="shared" si="12"/>
        <v>87452.136145</v>
      </c>
      <c r="W13" s="39">
        <f t="shared" si="13"/>
        <v>87452.136145</v>
      </c>
      <c r="X13" s="39">
        <v>6912</v>
      </c>
      <c r="Y13" s="39">
        <v>6680</v>
      </c>
      <c r="Z13" s="39"/>
      <c r="AA13" s="39">
        <f>C13*16.92584/100</f>
        <v>0</v>
      </c>
      <c r="AB13" s="39">
        <f t="shared" si="14"/>
        <v>98351.82478</v>
      </c>
      <c r="AC13" s="39">
        <f t="shared" si="15"/>
        <v>98351.82478</v>
      </c>
      <c r="AD13" s="39">
        <v>7794</v>
      </c>
      <c r="AE13" s="39">
        <v>7533</v>
      </c>
      <c r="AF13" s="39"/>
      <c r="AG13" s="39">
        <f>C13*9.75766/100</f>
        <v>0</v>
      </c>
      <c r="AH13" s="39">
        <f t="shared" si="16"/>
        <v>56699.322845</v>
      </c>
      <c r="AI13" s="39">
        <f t="shared" si="17"/>
        <v>56699.322845</v>
      </c>
      <c r="AJ13" s="39">
        <v>4488</v>
      </c>
      <c r="AK13" s="39">
        <v>4337</v>
      </c>
      <c r="AL13" s="39"/>
      <c r="AM13" s="39">
        <f>C13*7.48131/100</f>
        <v>0</v>
      </c>
      <c r="AN13" s="39">
        <f t="shared" si="18"/>
        <v>43472.0220825</v>
      </c>
      <c r="AO13" s="39">
        <f t="shared" si="19"/>
        <v>43472.0220825</v>
      </c>
      <c r="AP13" s="39">
        <v>3441</v>
      </c>
      <c r="AQ13" s="39">
        <v>3325</v>
      </c>
      <c r="AR13" s="39"/>
      <c r="AS13" s="39">
        <f>C13*0.21612/100</f>
        <v>0</v>
      </c>
      <c r="AT13" s="39">
        <f t="shared" si="20"/>
        <v>1255.8192900000001</v>
      </c>
      <c r="AU13" s="39">
        <f t="shared" si="21"/>
        <v>1255.8192900000001</v>
      </c>
      <c r="AV13" s="39">
        <v>99</v>
      </c>
      <c r="AW13" s="39">
        <v>96</v>
      </c>
      <c r="AX13" s="39"/>
      <c r="AY13" s="39">
        <f>C13*0.01906/100</f>
        <v>0</v>
      </c>
      <c r="AZ13" s="39">
        <f t="shared" si="22"/>
        <v>110.75289500000001</v>
      </c>
      <c r="BA13" s="39">
        <f t="shared" si="23"/>
        <v>110.75289500000001</v>
      </c>
      <c r="BB13" s="39">
        <v>9</v>
      </c>
      <c r="BC13" s="39">
        <v>8</v>
      </c>
      <c r="BD13" s="39"/>
      <c r="BE13" s="39">
        <f>C13*0.01369/100</f>
        <v>0</v>
      </c>
      <c r="BF13" s="39">
        <f t="shared" si="24"/>
        <v>79.54916750000001</v>
      </c>
      <c r="BG13" s="39">
        <f t="shared" si="25"/>
        <v>79.54916750000001</v>
      </c>
      <c r="BH13" s="39">
        <v>6</v>
      </c>
      <c r="BI13" s="39">
        <v>6</v>
      </c>
      <c r="BJ13" s="39"/>
      <c r="BK13" s="39">
        <f>C13*0.23757/100</f>
        <v>0</v>
      </c>
      <c r="BL13" s="39">
        <f t="shared" si="26"/>
        <v>1380.4598775</v>
      </c>
      <c r="BM13" s="39">
        <f t="shared" si="27"/>
        <v>1380.4598775</v>
      </c>
      <c r="BN13" s="39">
        <v>109</v>
      </c>
      <c r="BO13" s="39">
        <v>106</v>
      </c>
      <c r="BP13" s="39"/>
      <c r="BQ13" s="39">
        <f>C13*5.91225/100</f>
        <v>0</v>
      </c>
      <c r="BR13" s="39">
        <f t="shared" si="28"/>
        <v>34354.6066875</v>
      </c>
      <c r="BS13" s="39">
        <f t="shared" si="29"/>
        <v>34354.6066875</v>
      </c>
      <c r="BT13" s="39">
        <v>2719</v>
      </c>
      <c r="BU13" s="39">
        <v>2628</v>
      </c>
      <c r="BV13" s="39"/>
      <c r="BW13" s="39">
        <f>C13*1.80534/100</f>
        <v>0</v>
      </c>
      <c r="BX13" s="39">
        <f t="shared" si="30"/>
        <v>10490.379405</v>
      </c>
      <c r="BY13" s="39">
        <f t="shared" si="31"/>
        <v>10490.379405</v>
      </c>
      <c r="BZ13" s="39">
        <v>830</v>
      </c>
      <c r="CA13" s="39">
        <v>803</v>
      </c>
      <c r="CB13" s="39"/>
      <c r="CC13" s="39">
        <f>C13*5.15053/100</f>
        <v>0</v>
      </c>
      <c r="CD13" s="39">
        <f t="shared" si="32"/>
        <v>29928.442197499997</v>
      </c>
      <c r="CE13" s="39">
        <f t="shared" si="33"/>
        <v>29928.442197499997</v>
      </c>
      <c r="CF13" s="39">
        <v>2369</v>
      </c>
      <c r="CG13" s="39">
        <v>2289</v>
      </c>
      <c r="CH13" s="39"/>
      <c r="CI13" s="39">
        <f>C13*14.16042/100</f>
        <v>0</v>
      </c>
      <c r="CJ13" s="39">
        <f t="shared" si="34"/>
        <v>82282.660515</v>
      </c>
      <c r="CK13" s="39">
        <f t="shared" si="35"/>
        <v>82282.660515</v>
      </c>
      <c r="CL13" s="39">
        <v>6513</v>
      </c>
      <c r="CM13" s="39">
        <v>6294</v>
      </c>
      <c r="CN13" s="39"/>
      <c r="CO13" s="39">
        <f>C13*6.15602/100</f>
        <v>0</v>
      </c>
      <c r="CP13" s="39">
        <f t="shared" si="36"/>
        <v>35771.093215</v>
      </c>
      <c r="CQ13" s="39">
        <f t="shared" si="37"/>
        <v>35771.093215</v>
      </c>
      <c r="CR13" s="39">
        <v>2831</v>
      </c>
      <c r="CS13" s="39">
        <v>2736</v>
      </c>
      <c r="CT13" s="39"/>
      <c r="CU13" s="39">
        <f>C13*5.37414/100</f>
        <v>0</v>
      </c>
      <c r="CV13" s="39">
        <f t="shared" si="38"/>
        <v>31227.784005</v>
      </c>
      <c r="CW13" s="39">
        <f t="shared" si="39"/>
        <v>31227.784005</v>
      </c>
      <c r="CX13" s="39">
        <v>2472</v>
      </c>
      <c r="CY13" s="39">
        <v>2389</v>
      </c>
      <c r="CZ13" s="39"/>
      <c r="DA13" s="93">
        <f>C13*0.69717/100</f>
        <v>0</v>
      </c>
      <c r="DB13" s="93">
        <f t="shared" si="40"/>
        <v>4051.0805775</v>
      </c>
      <c r="DC13" s="93">
        <f t="shared" si="41"/>
        <v>4051.0805775</v>
      </c>
      <c r="DD13" s="93">
        <v>321</v>
      </c>
      <c r="DE13" s="93">
        <v>310</v>
      </c>
      <c r="DF13" s="39"/>
      <c r="DG13" s="39">
        <f>C13*0.02011/100</f>
        <v>0</v>
      </c>
      <c r="DH13" s="39">
        <f t="shared" si="42"/>
        <v>116.8541825</v>
      </c>
      <c r="DI13" s="39">
        <f t="shared" si="43"/>
        <v>116.8541825</v>
      </c>
      <c r="DJ13" s="39">
        <v>9</v>
      </c>
      <c r="DK13" s="39">
        <v>9</v>
      </c>
      <c r="DL13" s="39"/>
      <c r="DM13" s="39">
        <f>C13*4.70981/100</f>
        <v>0</v>
      </c>
      <c r="DN13" s="39">
        <f t="shared" si="44"/>
        <v>27367.528457499997</v>
      </c>
      <c r="DO13" s="39">
        <f t="shared" si="45"/>
        <v>27367.528457499997</v>
      </c>
      <c r="DP13" s="39">
        <v>2166</v>
      </c>
      <c r="DQ13" s="39">
        <v>2094</v>
      </c>
      <c r="DR13" s="39"/>
      <c r="DS13" s="39">
        <f>C13*0.28727/100</f>
        <v>0</v>
      </c>
      <c r="DT13" s="39">
        <f t="shared" si="46"/>
        <v>1669.2541525000001</v>
      </c>
      <c r="DU13" s="39">
        <f t="shared" si="47"/>
        <v>1669.2541525000001</v>
      </c>
      <c r="DV13" s="39">
        <v>132</v>
      </c>
      <c r="DW13" s="39">
        <v>128</v>
      </c>
      <c r="DX13" s="39"/>
      <c r="DY13" s="39">
        <f>C13*4.87421/100</f>
        <v>0</v>
      </c>
      <c r="DZ13" s="39">
        <f t="shared" si="48"/>
        <v>28322.815757499997</v>
      </c>
      <c r="EA13" s="39">
        <f t="shared" si="49"/>
        <v>28322.815757499997</v>
      </c>
      <c r="EB13" s="39">
        <v>2242</v>
      </c>
      <c r="EC13" s="39">
        <v>2167</v>
      </c>
      <c r="ED13" s="39"/>
      <c r="EE13" s="39">
        <f>C13*0.60754/100</f>
        <v>0</v>
      </c>
      <c r="EF13" s="39">
        <f t="shared" si="50"/>
        <v>3530.2630549999994</v>
      </c>
      <c r="EG13" s="39">
        <f t="shared" si="51"/>
        <v>3530.2630549999994</v>
      </c>
      <c r="EH13" s="39">
        <v>279</v>
      </c>
      <c r="EI13" s="39">
        <v>270</v>
      </c>
      <c r="EJ13" s="39"/>
      <c r="EK13" s="39">
        <f>C13*0.26185/100</f>
        <v>0</v>
      </c>
      <c r="EL13" s="39">
        <f t="shared" si="52"/>
        <v>1521.5448875000002</v>
      </c>
      <c r="EM13" s="39">
        <f t="shared" si="53"/>
        <v>1521.5448875000002</v>
      </c>
      <c r="EN13" s="39">
        <v>120</v>
      </c>
      <c r="EO13" s="39">
        <v>116</v>
      </c>
      <c r="EP13" s="39"/>
      <c r="EQ13" s="39"/>
      <c r="ER13" s="39"/>
      <c r="ES13" s="39"/>
      <c r="ET13" s="39"/>
      <c r="EU13" s="39"/>
      <c r="EV13" s="39"/>
      <c r="EW13" s="56">
        <f t="shared" si="54"/>
        <v>0</v>
      </c>
      <c r="EX13" s="56">
        <f t="shared" si="55"/>
        <v>505.419035</v>
      </c>
      <c r="EY13" s="39">
        <f t="shared" si="56"/>
        <v>505.419035</v>
      </c>
      <c r="EZ13" s="39">
        <v>40</v>
      </c>
      <c r="FA13" s="39">
        <v>39</v>
      </c>
      <c r="FB13" s="39"/>
      <c r="FC13" s="39">
        <f t="shared" si="57"/>
        <v>0</v>
      </c>
      <c r="FD13" s="39">
        <f t="shared" si="58"/>
        <v>1133.3867875</v>
      </c>
      <c r="FE13" s="39">
        <f t="shared" si="59"/>
        <v>1133.3867875</v>
      </c>
      <c r="FF13" s="39">
        <v>90</v>
      </c>
      <c r="FG13" s="39">
        <v>87</v>
      </c>
      <c r="FH13" s="39"/>
      <c r="FI13" s="39"/>
      <c r="FJ13" s="39"/>
      <c r="FK13" s="39"/>
      <c r="FL13" s="39"/>
      <c r="FM13" s="39"/>
      <c r="FN13" s="39"/>
      <c r="FO13" s="39"/>
      <c r="FP13" s="39"/>
      <c r="FQ13" s="39"/>
    </row>
    <row r="14" spans="1:173" ht="12">
      <c r="A14" s="22">
        <v>41548</v>
      </c>
      <c r="C14" s="39"/>
      <c r="D14" s="39">
        <v>581075</v>
      </c>
      <c r="E14" s="42">
        <f t="shared" si="0"/>
        <v>581075</v>
      </c>
      <c r="F14" s="42">
        <f t="shared" si="1"/>
        <v>45991</v>
      </c>
      <c r="G14" s="42">
        <f t="shared" si="2"/>
        <v>44450</v>
      </c>
      <c r="I14" s="42">
        <f t="shared" si="3"/>
        <v>0</v>
      </c>
      <c r="J14" s="48">
        <f t="shared" si="4"/>
        <v>1638.8058225</v>
      </c>
      <c r="K14" s="42">
        <f t="shared" si="5"/>
        <v>1638.8058225</v>
      </c>
      <c r="L14" s="42">
        <f t="shared" si="6"/>
        <v>130</v>
      </c>
      <c r="M14" s="42">
        <f t="shared" si="7"/>
        <v>126</v>
      </c>
      <c r="O14" s="39"/>
      <c r="P14" s="39">
        <f t="shared" si="8"/>
        <v>579436.1941775</v>
      </c>
      <c r="Q14" s="39">
        <f t="shared" si="9"/>
        <v>579436.1941775</v>
      </c>
      <c r="R14" s="39">
        <f t="shared" si="10"/>
        <v>45861</v>
      </c>
      <c r="S14" s="39">
        <f t="shared" si="11"/>
        <v>44324</v>
      </c>
      <c r="U14" s="56"/>
      <c r="V14" s="56">
        <f t="shared" si="12"/>
        <v>87452.136145</v>
      </c>
      <c r="W14" s="39">
        <f t="shared" si="13"/>
        <v>87452.136145</v>
      </c>
      <c r="X14" s="39">
        <v>6912</v>
      </c>
      <c r="Y14" s="39">
        <v>6680</v>
      </c>
      <c r="Z14" s="39"/>
      <c r="AA14" s="39"/>
      <c r="AB14" s="39">
        <f t="shared" si="14"/>
        <v>98351.82478</v>
      </c>
      <c r="AC14" s="39">
        <f t="shared" si="15"/>
        <v>98351.82478</v>
      </c>
      <c r="AD14" s="39">
        <v>7794</v>
      </c>
      <c r="AE14" s="39">
        <v>7533</v>
      </c>
      <c r="AF14" s="39"/>
      <c r="AG14" s="39"/>
      <c r="AH14" s="39">
        <f t="shared" si="16"/>
        <v>56699.322845</v>
      </c>
      <c r="AI14" s="39">
        <f t="shared" si="17"/>
        <v>56699.322845</v>
      </c>
      <c r="AJ14" s="39">
        <v>4488</v>
      </c>
      <c r="AK14" s="39">
        <v>4337</v>
      </c>
      <c r="AL14" s="39"/>
      <c r="AM14" s="39"/>
      <c r="AN14" s="39">
        <f t="shared" si="18"/>
        <v>43472.0220825</v>
      </c>
      <c r="AO14" s="39">
        <f t="shared" si="19"/>
        <v>43472.0220825</v>
      </c>
      <c r="AP14" s="39">
        <v>3441</v>
      </c>
      <c r="AQ14" s="39">
        <v>3325</v>
      </c>
      <c r="AR14" s="39"/>
      <c r="AS14" s="39"/>
      <c r="AT14" s="39">
        <f t="shared" si="20"/>
        <v>1255.8192900000001</v>
      </c>
      <c r="AU14" s="39">
        <f t="shared" si="21"/>
        <v>1255.8192900000001</v>
      </c>
      <c r="AV14" s="39">
        <v>99</v>
      </c>
      <c r="AW14" s="39">
        <v>96</v>
      </c>
      <c r="AX14" s="39"/>
      <c r="AY14" s="39"/>
      <c r="AZ14" s="39">
        <f t="shared" si="22"/>
        <v>110.75289500000001</v>
      </c>
      <c r="BA14" s="39">
        <f t="shared" si="23"/>
        <v>110.75289500000001</v>
      </c>
      <c r="BB14" s="39">
        <v>9</v>
      </c>
      <c r="BC14" s="39">
        <v>8</v>
      </c>
      <c r="BD14" s="39"/>
      <c r="BE14" s="39"/>
      <c r="BF14" s="39">
        <f t="shared" si="24"/>
        <v>79.54916750000001</v>
      </c>
      <c r="BG14" s="39">
        <f t="shared" si="25"/>
        <v>79.54916750000001</v>
      </c>
      <c r="BH14" s="39">
        <v>6</v>
      </c>
      <c r="BI14" s="39">
        <v>6</v>
      </c>
      <c r="BJ14" s="39"/>
      <c r="BK14" s="39"/>
      <c r="BL14" s="39">
        <f t="shared" si="26"/>
        <v>1380.4598775</v>
      </c>
      <c r="BM14" s="39">
        <f t="shared" si="27"/>
        <v>1380.4598775</v>
      </c>
      <c r="BN14" s="39">
        <v>109</v>
      </c>
      <c r="BO14" s="39">
        <v>106</v>
      </c>
      <c r="BP14" s="39"/>
      <c r="BQ14" s="39"/>
      <c r="BR14" s="39">
        <f t="shared" si="28"/>
        <v>34354.6066875</v>
      </c>
      <c r="BS14" s="39">
        <f t="shared" si="29"/>
        <v>34354.6066875</v>
      </c>
      <c r="BT14" s="39">
        <v>2719</v>
      </c>
      <c r="BU14" s="39">
        <v>2628</v>
      </c>
      <c r="BV14" s="39"/>
      <c r="BW14" s="39"/>
      <c r="BX14" s="39">
        <f t="shared" si="30"/>
        <v>10490.379405</v>
      </c>
      <c r="BY14" s="39">
        <f t="shared" si="31"/>
        <v>10490.379405</v>
      </c>
      <c r="BZ14" s="39">
        <v>830</v>
      </c>
      <c r="CA14" s="39">
        <v>803</v>
      </c>
      <c r="CB14" s="39"/>
      <c r="CC14" s="39"/>
      <c r="CD14" s="39">
        <f t="shared" si="32"/>
        <v>29928.442197499997</v>
      </c>
      <c r="CE14" s="39">
        <f t="shared" si="33"/>
        <v>29928.442197499997</v>
      </c>
      <c r="CF14" s="39">
        <v>2369</v>
      </c>
      <c r="CG14" s="39">
        <v>2289</v>
      </c>
      <c r="CH14" s="39"/>
      <c r="CI14" s="39"/>
      <c r="CJ14" s="39">
        <f t="shared" si="34"/>
        <v>82282.660515</v>
      </c>
      <c r="CK14" s="39">
        <f t="shared" si="35"/>
        <v>82282.660515</v>
      </c>
      <c r="CL14" s="39">
        <v>6513</v>
      </c>
      <c r="CM14" s="39">
        <v>6294</v>
      </c>
      <c r="CN14" s="39"/>
      <c r="CO14" s="39"/>
      <c r="CP14" s="39">
        <f t="shared" si="36"/>
        <v>35771.093215</v>
      </c>
      <c r="CQ14" s="39">
        <f t="shared" si="37"/>
        <v>35771.093215</v>
      </c>
      <c r="CR14" s="39">
        <v>2831</v>
      </c>
      <c r="CS14" s="39">
        <v>2736</v>
      </c>
      <c r="CT14" s="39"/>
      <c r="CU14" s="39"/>
      <c r="CV14" s="39">
        <f t="shared" si="38"/>
        <v>31227.784005</v>
      </c>
      <c r="CW14" s="39">
        <f t="shared" si="39"/>
        <v>31227.784005</v>
      </c>
      <c r="CX14" s="39">
        <v>2472</v>
      </c>
      <c r="CY14" s="39">
        <v>2389</v>
      </c>
      <c r="CZ14" s="39"/>
      <c r="DA14" s="93"/>
      <c r="DB14" s="93">
        <f t="shared" si="40"/>
        <v>4051.0805775</v>
      </c>
      <c r="DC14" s="93">
        <f t="shared" si="41"/>
        <v>4051.0805775</v>
      </c>
      <c r="DD14" s="93">
        <v>321</v>
      </c>
      <c r="DE14" s="93">
        <v>310</v>
      </c>
      <c r="DF14" s="39"/>
      <c r="DG14" s="39"/>
      <c r="DH14" s="39">
        <f t="shared" si="42"/>
        <v>116.8541825</v>
      </c>
      <c r="DI14" s="39">
        <f t="shared" si="43"/>
        <v>116.8541825</v>
      </c>
      <c r="DJ14" s="39">
        <v>9</v>
      </c>
      <c r="DK14" s="39">
        <v>9</v>
      </c>
      <c r="DL14" s="39"/>
      <c r="DM14" s="39"/>
      <c r="DN14" s="39">
        <f t="shared" si="44"/>
        <v>27367.528457499997</v>
      </c>
      <c r="DO14" s="39">
        <f t="shared" si="45"/>
        <v>27367.528457499997</v>
      </c>
      <c r="DP14" s="39">
        <v>2166</v>
      </c>
      <c r="DQ14" s="39">
        <v>2094</v>
      </c>
      <c r="DR14" s="39"/>
      <c r="DS14" s="39"/>
      <c r="DT14" s="39">
        <f t="shared" si="46"/>
        <v>1669.2541525000001</v>
      </c>
      <c r="DU14" s="39">
        <f t="shared" si="47"/>
        <v>1669.2541525000001</v>
      </c>
      <c r="DV14" s="39">
        <v>132</v>
      </c>
      <c r="DW14" s="39">
        <v>128</v>
      </c>
      <c r="DX14" s="39"/>
      <c r="DY14" s="39"/>
      <c r="DZ14" s="39">
        <f t="shared" si="48"/>
        <v>28322.815757499997</v>
      </c>
      <c r="EA14" s="39">
        <f t="shared" si="49"/>
        <v>28322.815757499997</v>
      </c>
      <c r="EB14" s="39">
        <v>2242</v>
      </c>
      <c r="EC14" s="39">
        <v>2167</v>
      </c>
      <c r="ED14" s="39"/>
      <c r="EE14" s="39"/>
      <c r="EF14" s="39">
        <f t="shared" si="50"/>
        <v>3530.2630549999994</v>
      </c>
      <c r="EG14" s="39">
        <f t="shared" si="51"/>
        <v>3530.2630549999994</v>
      </c>
      <c r="EH14" s="39">
        <v>279</v>
      </c>
      <c r="EI14" s="39">
        <v>270</v>
      </c>
      <c r="EJ14" s="39"/>
      <c r="EK14" s="39"/>
      <c r="EL14" s="39">
        <f t="shared" si="52"/>
        <v>1521.5448875000002</v>
      </c>
      <c r="EM14" s="39">
        <f t="shared" si="53"/>
        <v>1521.5448875000002</v>
      </c>
      <c r="EN14" s="39">
        <v>120</v>
      </c>
      <c r="EO14" s="39">
        <v>116</v>
      </c>
      <c r="EP14" s="39"/>
      <c r="EQ14" s="39"/>
      <c r="ER14" s="39"/>
      <c r="ES14" s="39"/>
      <c r="ET14" s="39"/>
      <c r="EU14" s="39"/>
      <c r="EV14" s="39"/>
      <c r="EW14" s="56">
        <f t="shared" si="54"/>
        <v>0</v>
      </c>
      <c r="EX14" s="56">
        <f t="shared" si="55"/>
        <v>505.419035</v>
      </c>
      <c r="EY14" s="39">
        <f t="shared" si="56"/>
        <v>505.419035</v>
      </c>
      <c r="EZ14" s="39">
        <v>40</v>
      </c>
      <c r="FA14" s="39">
        <v>39</v>
      </c>
      <c r="FB14" s="39"/>
      <c r="FC14" s="39">
        <f t="shared" si="57"/>
        <v>0</v>
      </c>
      <c r="FD14" s="39">
        <f t="shared" si="58"/>
        <v>1133.3867875</v>
      </c>
      <c r="FE14" s="39">
        <f t="shared" si="59"/>
        <v>1133.3867875</v>
      </c>
      <c r="FF14" s="39">
        <v>90</v>
      </c>
      <c r="FG14" s="39">
        <v>87</v>
      </c>
      <c r="FH14" s="39"/>
      <c r="FI14" s="39"/>
      <c r="FJ14" s="39"/>
      <c r="FK14" s="39"/>
      <c r="FL14" s="39"/>
      <c r="FM14" s="39"/>
      <c r="FN14" s="39"/>
      <c r="FO14" s="39"/>
      <c r="FP14" s="39"/>
      <c r="FQ14" s="39"/>
    </row>
    <row r="15" spans="1:173" ht="12">
      <c r="A15" s="22">
        <v>41730</v>
      </c>
      <c r="C15" s="39"/>
      <c r="D15" s="39">
        <v>581075</v>
      </c>
      <c r="E15" s="42">
        <f t="shared" si="0"/>
        <v>581075</v>
      </c>
      <c r="F15" s="42">
        <f t="shared" si="1"/>
        <v>45991</v>
      </c>
      <c r="G15" s="42">
        <f t="shared" si="2"/>
        <v>44450</v>
      </c>
      <c r="I15" s="42">
        <f t="shared" si="3"/>
        <v>0</v>
      </c>
      <c r="J15" s="48">
        <f t="shared" si="4"/>
        <v>1638.8058225</v>
      </c>
      <c r="K15" s="42">
        <f t="shared" si="5"/>
        <v>1638.8058225</v>
      </c>
      <c r="L15" s="42">
        <f t="shared" si="6"/>
        <v>130</v>
      </c>
      <c r="M15" s="42">
        <f t="shared" si="7"/>
        <v>126</v>
      </c>
      <c r="O15" s="39">
        <f t="shared" si="60"/>
        <v>0</v>
      </c>
      <c r="P15" s="39">
        <f t="shared" si="8"/>
        <v>579436.1941775</v>
      </c>
      <c r="Q15" s="39">
        <f t="shared" si="9"/>
        <v>579436.1941775</v>
      </c>
      <c r="R15" s="39">
        <f t="shared" si="10"/>
        <v>45861</v>
      </c>
      <c r="S15" s="39">
        <f t="shared" si="11"/>
        <v>44324</v>
      </c>
      <c r="U15" s="56">
        <f>C15*15.05006/100</f>
        <v>0</v>
      </c>
      <c r="V15" s="56">
        <f t="shared" si="12"/>
        <v>87452.136145</v>
      </c>
      <c r="W15" s="39">
        <f t="shared" si="13"/>
        <v>87452.136145</v>
      </c>
      <c r="X15" s="39">
        <v>6912</v>
      </c>
      <c r="Y15" s="39">
        <v>6680</v>
      </c>
      <c r="Z15" s="39"/>
      <c r="AA15" s="39">
        <f>C15*16.92584/100</f>
        <v>0</v>
      </c>
      <c r="AB15" s="39">
        <f t="shared" si="14"/>
        <v>98351.82478</v>
      </c>
      <c r="AC15" s="39">
        <f t="shared" si="15"/>
        <v>98351.82478</v>
      </c>
      <c r="AD15" s="39">
        <v>7794</v>
      </c>
      <c r="AE15" s="39">
        <v>7533</v>
      </c>
      <c r="AF15" s="39"/>
      <c r="AG15" s="39">
        <f>C15*9.75766/100</f>
        <v>0</v>
      </c>
      <c r="AH15" s="39">
        <f t="shared" si="16"/>
        <v>56699.322845</v>
      </c>
      <c r="AI15" s="39">
        <f t="shared" si="17"/>
        <v>56699.322845</v>
      </c>
      <c r="AJ15" s="39">
        <v>4488</v>
      </c>
      <c r="AK15" s="39">
        <v>4337</v>
      </c>
      <c r="AL15" s="39"/>
      <c r="AM15" s="39">
        <f>C15*7.48131/100</f>
        <v>0</v>
      </c>
      <c r="AN15" s="39">
        <f t="shared" si="18"/>
        <v>43472.0220825</v>
      </c>
      <c r="AO15" s="39">
        <f t="shared" si="19"/>
        <v>43472.0220825</v>
      </c>
      <c r="AP15" s="39">
        <v>3441</v>
      </c>
      <c r="AQ15" s="39">
        <v>3325</v>
      </c>
      <c r="AR15" s="39"/>
      <c r="AS15" s="39">
        <f>C15*0.21612/100</f>
        <v>0</v>
      </c>
      <c r="AT15" s="39">
        <f t="shared" si="20"/>
        <v>1255.8192900000001</v>
      </c>
      <c r="AU15" s="39">
        <f t="shared" si="21"/>
        <v>1255.8192900000001</v>
      </c>
      <c r="AV15" s="39">
        <v>99</v>
      </c>
      <c r="AW15" s="39">
        <v>96</v>
      </c>
      <c r="AX15" s="39"/>
      <c r="AY15" s="39">
        <f>C15*0.01906/100</f>
        <v>0</v>
      </c>
      <c r="AZ15" s="39">
        <f t="shared" si="22"/>
        <v>110.75289500000001</v>
      </c>
      <c r="BA15" s="39">
        <f t="shared" si="23"/>
        <v>110.75289500000001</v>
      </c>
      <c r="BB15" s="39">
        <v>9</v>
      </c>
      <c r="BC15" s="39">
        <v>8</v>
      </c>
      <c r="BD15" s="39"/>
      <c r="BE15" s="39">
        <f>C15*0.01369/100</f>
        <v>0</v>
      </c>
      <c r="BF15" s="39">
        <f t="shared" si="24"/>
        <v>79.54916750000001</v>
      </c>
      <c r="BG15" s="39">
        <f t="shared" si="25"/>
        <v>79.54916750000001</v>
      </c>
      <c r="BH15" s="39">
        <v>6</v>
      </c>
      <c r="BI15" s="39">
        <v>6</v>
      </c>
      <c r="BJ15" s="39"/>
      <c r="BK15" s="39">
        <f>C15*0.23757/100</f>
        <v>0</v>
      </c>
      <c r="BL15" s="39">
        <f t="shared" si="26"/>
        <v>1380.4598775</v>
      </c>
      <c r="BM15" s="39">
        <f t="shared" si="27"/>
        <v>1380.4598775</v>
      </c>
      <c r="BN15" s="39">
        <v>109</v>
      </c>
      <c r="BO15" s="39">
        <v>106</v>
      </c>
      <c r="BP15" s="39"/>
      <c r="BQ15" s="39">
        <f>C15*5.91225/100</f>
        <v>0</v>
      </c>
      <c r="BR15" s="39">
        <f t="shared" si="28"/>
        <v>34354.6066875</v>
      </c>
      <c r="BS15" s="39">
        <f t="shared" si="29"/>
        <v>34354.6066875</v>
      </c>
      <c r="BT15" s="39">
        <v>2719</v>
      </c>
      <c r="BU15" s="39">
        <v>2628</v>
      </c>
      <c r="BV15" s="39"/>
      <c r="BW15" s="39">
        <f>C15*1.80534/100</f>
        <v>0</v>
      </c>
      <c r="BX15" s="39">
        <f t="shared" si="30"/>
        <v>10490.379405</v>
      </c>
      <c r="BY15" s="39">
        <f t="shared" si="31"/>
        <v>10490.379405</v>
      </c>
      <c r="BZ15" s="39">
        <v>830</v>
      </c>
      <c r="CA15" s="39">
        <v>803</v>
      </c>
      <c r="CB15" s="39"/>
      <c r="CC15" s="39">
        <f>C15*5.15053/100</f>
        <v>0</v>
      </c>
      <c r="CD15" s="39">
        <f t="shared" si="32"/>
        <v>29928.442197499997</v>
      </c>
      <c r="CE15" s="39">
        <f t="shared" si="33"/>
        <v>29928.442197499997</v>
      </c>
      <c r="CF15" s="39">
        <v>2369</v>
      </c>
      <c r="CG15" s="39">
        <v>2289</v>
      </c>
      <c r="CH15" s="39"/>
      <c r="CI15" s="39">
        <f>C15*14.16042/100</f>
        <v>0</v>
      </c>
      <c r="CJ15" s="39">
        <f t="shared" si="34"/>
        <v>82282.660515</v>
      </c>
      <c r="CK15" s="39">
        <f t="shared" si="35"/>
        <v>82282.660515</v>
      </c>
      <c r="CL15" s="39">
        <v>6513</v>
      </c>
      <c r="CM15" s="39">
        <v>6294</v>
      </c>
      <c r="CN15" s="39"/>
      <c r="CO15" s="39">
        <f>C15*6.15602/100</f>
        <v>0</v>
      </c>
      <c r="CP15" s="39">
        <f t="shared" si="36"/>
        <v>35771.093215</v>
      </c>
      <c r="CQ15" s="39">
        <f t="shared" si="37"/>
        <v>35771.093215</v>
      </c>
      <c r="CR15" s="39">
        <v>2831</v>
      </c>
      <c r="CS15" s="39">
        <v>2736</v>
      </c>
      <c r="CT15" s="39"/>
      <c r="CU15" s="39">
        <f>C15*5.37414/100</f>
        <v>0</v>
      </c>
      <c r="CV15" s="39">
        <f t="shared" si="38"/>
        <v>31227.784005</v>
      </c>
      <c r="CW15" s="39">
        <f t="shared" si="39"/>
        <v>31227.784005</v>
      </c>
      <c r="CX15" s="39">
        <v>2472</v>
      </c>
      <c r="CY15" s="39">
        <v>2389</v>
      </c>
      <c r="CZ15" s="39"/>
      <c r="DA15" s="93">
        <f>C15*0.69717/100</f>
        <v>0</v>
      </c>
      <c r="DB15" s="93">
        <f t="shared" si="40"/>
        <v>4051.0805775</v>
      </c>
      <c r="DC15" s="93">
        <f t="shared" si="41"/>
        <v>4051.0805775</v>
      </c>
      <c r="DD15" s="93">
        <v>321</v>
      </c>
      <c r="DE15" s="93">
        <v>310</v>
      </c>
      <c r="DF15" s="39"/>
      <c r="DG15" s="39">
        <f>C15*0.02011/100</f>
        <v>0</v>
      </c>
      <c r="DH15" s="39">
        <f t="shared" si="42"/>
        <v>116.8541825</v>
      </c>
      <c r="DI15" s="39">
        <f t="shared" si="43"/>
        <v>116.8541825</v>
      </c>
      <c r="DJ15" s="39">
        <v>9</v>
      </c>
      <c r="DK15" s="39">
        <v>9</v>
      </c>
      <c r="DL15" s="39"/>
      <c r="DM15" s="39">
        <f>C15*4.70981/100</f>
        <v>0</v>
      </c>
      <c r="DN15" s="39">
        <f t="shared" si="44"/>
        <v>27367.528457499997</v>
      </c>
      <c r="DO15" s="39">
        <f t="shared" si="45"/>
        <v>27367.528457499997</v>
      </c>
      <c r="DP15" s="39">
        <v>2166</v>
      </c>
      <c r="DQ15" s="39">
        <v>2094</v>
      </c>
      <c r="DR15" s="39"/>
      <c r="DS15" s="39">
        <f>C15*0.28727/100</f>
        <v>0</v>
      </c>
      <c r="DT15" s="39">
        <f t="shared" si="46"/>
        <v>1669.2541525000001</v>
      </c>
      <c r="DU15" s="39">
        <f t="shared" si="47"/>
        <v>1669.2541525000001</v>
      </c>
      <c r="DV15" s="39">
        <v>132</v>
      </c>
      <c r="DW15" s="39">
        <v>128</v>
      </c>
      <c r="DX15" s="39"/>
      <c r="DY15" s="39">
        <f>C15*4.87421/100</f>
        <v>0</v>
      </c>
      <c r="DZ15" s="39">
        <f t="shared" si="48"/>
        <v>28322.815757499997</v>
      </c>
      <c r="EA15" s="39">
        <f t="shared" si="49"/>
        <v>28322.815757499997</v>
      </c>
      <c r="EB15" s="39">
        <v>2242</v>
      </c>
      <c r="EC15" s="39">
        <v>2167</v>
      </c>
      <c r="ED15" s="39"/>
      <c r="EE15" s="39">
        <f>C15*0.60754/100</f>
        <v>0</v>
      </c>
      <c r="EF15" s="39">
        <f t="shared" si="50"/>
        <v>3530.2630549999994</v>
      </c>
      <c r="EG15" s="39">
        <f t="shared" si="51"/>
        <v>3530.2630549999994</v>
      </c>
      <c r="EH15" s="39">
        <v>279</v>
      </c>
      <c r="EI15" s="39">
        <v>270</v>
      </c>
      <c r="EJ15" s="39"/>
      <c r="EK15" s="39">
        <f>C15*0.26185/100</f>
        <v>0</v>
      </c>
      <c r="EL15" s="39">
        <f t="shared" si="52"/>
        <v>1521.5448875000002</v>
      </c>
      <c r="EM15" s="39">
        <f t="shared" si="53"/>
        <v>1521.5448875000002</v>
      </c>
      <c r="EN15" s="39">
        <v>120</v>
      </c>
      <c r="EO15" s="39">
        <v>116</v>
      </c>
      <c r="EP15" s="39"/>
      <c r="EQ15" s="39"/>
      <c r="ER15" s="39"/>
      <c r="ES15" s="39"/>
      <c r="ET15" s="39"/>
      <c r="EU15" s="39"/>
      <c r="EV15" s="39"/>
      <c r="EW15" s="56">
        <f t="shared" si="54"/>
        <v>0</v>
      </c>
      <c r="EX15" s="56">
        <f t="shared" si="55"/>
        <v>505.419035</v>
      </c>
      <c r="EY15" s="39">
        <f t="shared" si="56"/>
        <v>505.419035</v>
      </c>
      <c r="EZ15" s="39">
        <v>40</v>
      </c>
      <c r="FA15" s="39">
        <v>39</v>
      </c>
      <c r="FB15" s="39"/>
      <c r="FC15" s="39">
        <f t="shared" si="57"/>
        <v>0</v>
      </c>
      <c r="FD15" s="39">
        <f t="shared" si="58"/>
        <v>1133.3867875</v>
      </c>
      <c r="FE15" s="39">
        <f t="shared" si="59"/>
        <v>1133.3867875</v>
      </c>
      <c r="FF15" s="39">
        <v>90</v>
      </c>
      <c r="FG15" s="39">
        <v>87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39"/>
    </row>
    <row r="16" spans="1:173" ht="12">
      <c r="A16" s="22">
        <v>41913</v>
      </c>
      <c r="B16" s="31"/>
      <c r="C16" s="39"/>
      <c r="D16" s="39">
        <v>581075</v>
      </c>
      <c r="E16" s="42">
        <f t="shared" si="0"/>
        <v>581075</v>
      </c>
      <c r="F16" s="42">
        <f t="shared" si="1"/>
        <v>45991</v>
      </c>
      <c r="G16" s="42">
        <f t="shared" si="2"/>
        <v>44450</v>
      </c>
      <c r="I16" s="42">
        <f t="shared" si="3"/>
        <v>0</v>
      </c>
      <c r="J16" s="48">
        <f t="shared" si="4"/>
        <v>1638.8058225</v>
      </c>
      <c r="K16" s="42">
        <f t="shared" si="5"/>
        <v>1638.8058225</v>
      </c>
      <c r="L16" s="42">
        <f t="shared" si="6"/>
        <v>130</v>
      </c>
      <c r="M16" s="42">
        <f t="shared" si="7"/>
        <v>126</v>
      </c>
      <c r="N16" s="31"/>
      <c r="O16" s="39"/>
      <c r="P16" s="39">
        <f t="shared" si="8"/>
        <v>579436.1941775</v>
      </c>
      <c r="Q16" s="39">
        <f t="shared" si="9"/>
        <v>579436.1941775</v>
      </c>
      <c r="R16" s="39">
        <f t="shared" si="10"/>
        <v>45861</v>
      </c>
      <c r="S16" s="39">
        <f t="shared" si="11"/>
        <v>44324</v>
      </c>
      <c r="T16" s="31"/>
      <c r="U16" s="56"/>
      <c r="V16" s="56">
        <f t="shared" si="12"/>
        <v>87452.136145</v>
      </c>
      <c r="W16" s="39">
        <f t="shared" si="13"/>
        <v>87452.136145</v>
      </c>
      <c r="X16" s="39">
        <v>6912</v>
      </c>
      <c r="Y16" s="39">
        <v>6680</v>
      </c>
      <c r="Z16" s="39"/>
      <c r="AA16" s="39"/>
      <c r="AB16" s="39">
        <f t="shared" si="14"/>
        <v>98351.82478</v>
      </c>
      <c r="AC16" s="39">
        <f t="shared" si="15"/>
        <v>98351.82478</v>
      </c>
      <c r="AD16" s="39">
        <v>7794</v>
      </c>
      <c r="AE16" s="39">
        <v>7533</v>
      </c>
      <c r="AF16" s="39"/>
      <c r="AG16" s="39"/>
      <c r="AH16" s="39">
        <f t="shared" si="16"/>
        <v>56699.322845</v>
      </c>
      <c r="AI16" s="39">
        <f t="shared" si="17"/>
        <v>56699.322845</v>
      </c>
      <c r="AJ16" s="39">
        <v>4488</v>
      </c>
      <c r="AK16" s="39">
        <v>4337</v>
      </c>
      <c r="AL16" s="39"/>
      <c r="AM16" s="39"/>
      <c r="AN16" s="39">
        <f t="shared" si="18"/>
        <v>43472.0220825</v>
      </c>
      <c r="AO16" s="39">
        <f t="shared" si="19"/>
        <v>43472.0220825</v>
      </c>
      <c r="AP16" s="39">
        <v>3441</v>
      </c>
      <c r="AQ16" s="39">
        <v>3325</v>
      </c>
      <c r="AR16" s="39"/>
      <c r="AS16" s="39"/>
      <c r="AT16" s="39">
        <f t="shared" si="20"/>
        <v>1255.8192900000001</v>
      </c>
      <c r="AU16" s="39">
        <f t="shared" si="21"/>
        <v>1255.8192900000001</v>
      </c>
      <c r="AV16" s="39">
        <v>99</v>
      </c>
      <c r="AW16" s="39">
        <v>96</v>
      </c>
      <c r="AX16" s="39"/>
      <c r="AY16" s="39"/>
      <c r="AZ16" s="39">
        <f t="shared" si="22"/>
        <v>110.75289500000001</v>
      </c>
      <c r="BA16" s="39">
        <f t="shared" si="23"/>
        <v>110.75289500000001</v>
      </c>
      <c r="BB16" s="39">
        <v>9</v>
      </c>
      <c r="BC16" s="39">
        <v>8</v>
      </c>
      <c r="BD16" s="39"/>
      <c r="BE16" s="39"/>
      <c r="BF16" s="39">
        <f t="shared" si="24"/>
        <v>79.54916750000001</v>
      </c>
      <c r="BG16" s="39">
        <f t="shared" si="25"/>
        <v>79.54916750000001</v>
      </c>
      <c r="BH16" s="39">
        <v>6</v>
      </c>
      <c r="BI16" s="39">
        <v>6</v>
      </c>
      <c r="BJ16" s="39"/>
      <c r="BK16" s="39"/>
      <c r="BL16" s="39">
        <f t="shared" si="26"/>
        <v>1380.4598775</v>
      </c>
      <c r="BM16" s="39">
        <f t="shared" si="27"/>
        <v>1380.4598775</v>
      </c>
      <c r="BN16" s="39">
        <v>109</v>
      </c>
      <c r="BO16" s="39">
        <v>106</v>
      </c>
      <c r="BP16" s="39"/>
      <c r="BQ16" s="39"/>
      <c r="BR16" s="39">
        <f t="shared" si="28"/>
        <v>34354.6066875</v>
      </c>
      <c r="BS16" s="39">
        <f t="shared" si="29"/>
        <v>34354.6066875</v>
      </c>
      <c r="BT16" s="39">
        <v>2719</v>
      </c>
      <c r="BU16" s="39">
        <v>2628</v>
      </c>
      <c r="BV16" s="39"/>
      <c r="BW16" s="39"/>
      <c r="BX16" s="39">
        <f t="shared" si="30"/>
        <v>10490.379405</v>
      </c>
      <c r="BY16" s="39">
        <f t="shared" si="31"/>
        <v>10490.379405</v>
      </c>
      <c r="BZ16" s="39">
        <v>830</v>
      </c>
      <c r="CA16" s="39">
        <v>803</v>
      </c>
      <c r="CB16" s="39"/>
      <c r="CC16" s="39"/>
      <c r="CD16" s="39">
        <f t="shared" si="32"/>
        <v>29928.442197499997</v>
      </c>
      <c r="CE16" s="39">
        <f t="shared" si="33"/>
        <v>29928.442197499997</v>
      </c>
      <c r="CF16" s="39">
        <v>2369</v>
      </c>
      <c r="CG16" s="39">
        <v>2289</v>
      </c>
      <c r="CH16" s="39"/>
      <c r="CI16" s="39"/>
      <c r="CJ16" s="39">
        <f t="shared" si="34"/>
        <v>82282.660515</v>
      </c>
      <c r="CK16" s="39">
        <f t="shared" si="35"/>
        <v>82282.660515</v>
      </c>
      <c r="CL16" s="39">
        <v>6513</v>
      </c>
      <c r="CM16" s="39">
        <v>6294</v>
      </c>
      <c r="CN16" s="39"/>
      <c r="CO16" s="39"/>
      <c r="CP16" s="39">
        <f t="shared" si="36"/>
        <v>35771.093215</v>
      </c>
      <c r="CQ16" s="39">
        <f t="shared" si="37"/>
        <v>35771.093215</v>
      </c>
      <c r="CR16" s="39">
        <v>2831</v>
      </c>
      <c r="CS16" s="39">
        <v>2736</v>
      </c>
      <c r="CT16" s="39"/>
      <c r="CU16" s="39"/>
      <c r="CV16" s="39">
        <f t="shared" si="38"/>
        <v>31227.784005</v>
      </c>
      <c r="CW16" s="39">
        <f t="shared" si="39"/>
        <v>31227.784005</v>
      </c>
      <c r="CX16" s="39">
        <v>2472</v>
      </c>
      <c r="CY16" s="39">
        <v>2389</v>
      </c>
      <c r="CZ16" s="39"/>
      <c r="DA16" s="93"/>
      <c r="DB16" s="93">
        <f t="shared" si="40"/>
        <v>4051.0805775</v>
      </c>
      <c r="DC16" s="93">
        <f t="shared" si="41"/>
        <v>4051.0805775</v>
      </c>
      <c r="DD16" s="93">
        <v>321</v>
      </c>
      <c r="DE16" s="93">
        <v>310</v>
      </c>
      <c r="DF16" s="39"/>
      <c r="DG16" s="39"/>
      <c r="DH16" s="39">
        <f t="shared" si="42"/>
        <v>116.8541825</v>
      </c>
      <c r="DI16" s="39">
        <f t="shared" si="43"/>
        <v>116.8541825</v>
      </c>
      <c r="DJ16" s="39">
        <v>9</v>
      </c>
      <c r="DK16" s="39">
        <v>9</v>
      </c>
      <c r="DL16" s="39"/>
      <c r="DM16" s="39"/>
      <c r="DN16" s="39">
        <f t="shared" si="44"/>
        <v>27367.528457499997</v>
      </c>
      <c r="DO16" s="39">
        <f t="shared" si="45"/>
        <v>27367.528457499997</v>
      </c>
      <c r="DP16" s="39">
        <v>2166</v>
      </c>
      <c r="DQ16" s="39">
        <v>2094</v>
      </c>
      <c r="DR16" s="39"/>
      <c r="DS16" s="39"/>
      <c r="DT16" s="39">
        <f t="shared" si="46"/>
        <v>1669.2541525000001</v>
      </c>
      <c r="DU16" s="39">
        <f t="shared" si="47"/>
        <v>1669.2541525000001</v>
      </c>
      <c r="DV16" s="39">
        <v>132</v>
      </c>
      <c r="DW16" s="39">
        <v>128</v>
      </c>
      <c r="DX16" s="39"/>
      <c r="DY16" s="39"/>
      <c r="DZ16" s="39">
        <f t="shared" si="48"/>
        <v>28322.815757499997</v>
      </c>
      <c r="EA16" s="39">
        <f t="shared" si="49"/>
        <v>28322.815757499997</v>
      </c>
      <c r="EB16" s="39">
        <v>2242</v>
      </c>
      <c r="EC16" s="39">
        <v>2167</v>
      </c>
      <c r="ED16" s="39"/>
      <c r="EE16" s="39"/>
      <c r="EF16" s="39">
        <f t="shared" si="50"/>
        <v>3530.2630549999994</v>
      </c>
      <c r="EG16" s="39">
        <f t="shared" si="51"/>
        <v>3530.2630549999994</v>
      </c>
      <c r="EH16" s="39">
        <v>279</v>
      </c>
      <c r="EI16" s="39">
        <v>270</v>
      </c>
      <c r="EJ16" s="39"/>
      <c r="EK16" s="39"/>
      <c r="EL16" s="39">
        <f t="shared" si="52"/>
        <v>1521.5448875000002</v>
      </c>
      <c r="EM16" s="39">
        <f t="shared" si="53"/>
        <v>1521.5448875000002</v>
      </c>
      <c r="EN16" s="39">
        <v>120</v>
      </c>
      <c r="EO16" s="39">
        <v>116</v>
      </c>
      <c r="EP16" s="39"/>
      <c r="EQ16" s="39"/>
      <c r="ER16" s="39"/>
      <c r="ES16" s="39"/>
      <c r="ET16" s="39"/>
      <c r="EU16" s="39"/>
      <c r="EV16" s="39"/>
      <c r="EW16" s="56">
        <f t="shared" si="54"/>
        <v>0</v>
      </c>
      <c r="EX16" s="56">
        <f t="shared" si="55"/>
        <v>505.419035</v>
      </c>
      <c r="EY16" s="39">
        <f t="shared" si="56"/>
        <v>505.419035</v>
      </c>
      <c r="EZ16" s="39">
        <v>40</v>
      </c>
      <c r="FA16" s="39">
        <v>39</v>
      </c>
      <c r="FB16" s="39"/>
      <c r="FC16" s="39">
        <f t="shared" si="57"/>
        <v>0</v>
      </c>
      <c r="FD16" s="39">
        <f t="shared" si="58"/>
        <v>1133.3867875</v>
      </c>
      <c r="FE16" s="39">
        <f t="shared" si="59"/>
        <v>1133.3867875</v>
      </c>
      <c r="FF16" s="39">
        <v>90</v>
      </c>
      <c r="FG16" s="39">
        <v>87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39"/>
    </row>
    <row r="17" spans="1:173" ht="12">
      <c r="A17" s="22">
        <v>42095</v>
      </c>
      <c r="C17" s="39"/>
      <c r="D17" s="39">
        <v>581075</v>
      </c>
      <c r="E17" s="42">
        <f t="shared" si="0"/>
        <v>581075</v>
      </c>
      <c r="F17" s="42">
        <f t="shared" si="1"/>
        <v>45991</v>
      </c>
      <c r="G17" s="42">
        <f t="shared" si="2"/>
        <v>44450</v>
      </c>
      <c r="I17" s="42">
        <f t="shared" si="3"/>
        <v>0</v>
      </c>
      <c r="J17" s="48">
        <f t="shared" si="4"/>
        <v>1638.8058225</v>
      </c>
      <c r="K17" s="42">
        <f t="shared" si="5"/>
        <v>1638.8058225</v>
      </c>
      <c r="L17" s="42">
        <f t="shared" si="6"/>
        <v>130</v>
      </c>
      <c r="M17" s="42">
        <f t="shared" si="7"/>
        <v>126</v>
      </c>
      <c r="O17" s="39">
        <f t="shared" si="60"/>
        <v>0</v>
      </c>
      <c r="P17" s="39">
        <f t="shared" si="8"/>
        <v>579436.1941775</v>
      </c>
      <c r="Q17" s="39">
        <f t="shared" si="9"/>
        <v>579436.1941775</v>
      </c>
      <c r="R17" s="39">
        <f t="shared" si="10"/>
        <v>45861</v>
      </c>
      <c r="S17" s="39">
        <f t="shared" si="11"/>
        <v>44324</v>
      </c>
      <c r="U17" s="56">
        <f>C17*15.05006/100</f>
        <v>0</v>
      </c>
      <c r="V17" s="56">
        <f t="shared" si="12"/>
        <v>87452.136145</v>
      </c>
      <c r="W17" s="39">
        <f t="shared" si="13"/>
        <v>87452.136145</v>
      </c>
      <c r="X17" s="39">
        <v>6912</v>
      </c>
      <c r="Y17" s="39">
        <v>6680</v>
      </c>
      <c r="Z17" s="39"/>
      <c r="AA17" s="39">
        <f>C17*16.92584/100</f>
        <v>0</v>
      </c>
      <c r="AB17" s="39">
        <f t="shared" si="14"/>
        <v>98351.82478</v>
      </c>
      <c r="AC17" s="39">
        <f t="shared" si="15"/>
        <v>98351.82478</v>
      </c>
      <c r="AD17" s="39">
        <v>7794</v>
      </c>
      <c r="AE17" s="39">
        <v>7533</v>
      </c>
      <c r="AF17" s="39"/>
      <c r="AG17" s="39">
        <f>C17*9.75766/100</f>
        <v>0</v>
      </c>
      <c r="AH17" s="39">
        <f t="shared" si="16"/>
        <v>56699.322845</v>
      </c>
      <c r="AI17" s="39">
        <f t="shared" si="17"/>
        <v>56699.322845</v>
      </c>
      <c r="AJ17" s="39">
        <v>4488</v>
      </c>
      <c r="AK17" s="39">
        <v>4337</v>
      </c>
      <c r="AL17" s="39"/>
      <c r="AM17" s="39">
        <f>C17*7.48131/100</f>
        <v>0</v>
      </c>
      <c r="AN17" s="39">
        <f t="shared" si="18"/>
        <v>43472.0220825</v>
      </c>
      <c r="AO17" s="39">
        <f t="shared" si="19"/>
        <v>43472.0220825</v>
      </c>
      <c r="AP17" s="39">
        <v>3441</v>
      </c>
      <c r="AQ17" s="39">
        <v>3325</v>
      </c>
      <c r="AR17" s="39"/>
      <c r="AS17" s="39">
        <f>C17*0.21612/100</f>
        <v>0</v>
      </c>
      <c r="AT17" s="39">
        <f t="shared" si="20"/>
        <v>1255.8192900000001</v>
      </c>
      <c r="AU17" s="39">
        <f t="shared" si="21"/>
        <v>1255.8192900000001</v>
      </c>
      <c r="AV17" s="39">
        <v>99</v>
      </c>
      <c r="AW17" s="39">
        <v>96</v>
      </c>
      <c r="AX17" s="39"/>
      <c r="AY17" s="39">
        <f>C17*0.01906/100</f>
        <v>0</v>
      </c>
      <c r="AZ17" s="39">
        <f t="shared" si="22"/>
        <v>110.75289500000001</v>
      </c>
      <c r="BA17" s="39">
        <f t="shared" si="23"/>
        <v>110.75289500000001</v>
      </c>
      <c r="BB17" s="39">
        <v>9</v>
      </c>
      <c r="BC17" s="39">
        <v>8</v>
      </c>
      <c r="BD17" s="39"/>
      <c r="BE17" s="39">
        <f>C17*0.01369/100</f>
        <v>0</v>
      </c>
      <c r="BF17" s="39">
        <f t="shared" si="24"/>
        <v>79.54916750000001</v>
      </c>
      <c r="BG17" s="39">
        <f t="shared" si="25"/>
        <v>79.54916750000001</v>
      </c>
      <c r="BH17" s="39">
        <v>6</v>
      </c>
      <c r="BI17" s="39">
        <v>6</v>
      </c>
      <c r="BJ17" s="39"/>
      <c r="BK17" s="39">
        <f>C17*0.23757/100</f>
        <v>0</v>
      </c>
      <c r="BL17" s="39">
        <f t="shared" si="26"/>
        <v>1380.4598775</v>
      </c>
      <c r="BM17" s="39">
        <f t="shared" si="27"/>
        <v>1380.4598775</v>
      </c>
      <c r="BN17" s="39">
        <v>109</v>
      </c>
      <c r="BO17" s="39">
        <v>106</v>
      </c>
      <c r="BP17" s="39"/>
      <c r="BQ17" s="39">
        <f>C17*5.91225/100</f>
        <v>0</v>
      </c>
      <c r="BR17" s="39">
        <f t="shared" si="28"/>
        <v>34354.6066875</v>
      </c>
      <c r="BS17" s="39">
        <f t="shared" si="29"/>
        <v>34354.6066875</v>
      </c>
      <c r="BT17" s="39">
        <v>2719</v>
      </c>
      <c r="BU17" s="39">
        <v>2628</v>
      </c>
      <c r="BV17" s="39"/>
      <c r="BW17" s="39">
        <f>C17*1.80534/100</f>
        <v>0</v>
      </c>
      <c r="BX17" s="39">
        <f t="shared" si="30"/>
        <v>10490.379405</v>
      </c>
      <c r="BY17" s="39">
        <f t="shared" si="31"/>
        <v>10490.379405</v>
      </c>
      <c r="BZ17" s="39">
        <v>830</v>
      </c>
      <c r="CA17" s="39">
        <v>803</v>
      </c>
      <c r="CB17" s="39"/>
      <c r="CC17" s="39">
        <f>C17*5.15053/100</f>
        <v>0</v>
      </c>
      <c r="CD17" s="39">
        <f t="shared" si="32"/>
        <v>29928.442197499997</v>
      </c>
      <c r="CE17" s="39">
        <f t="shared" si="33"/>
        <v>29928.442197499997</v>
      </c>
      <c r="CF17" s="39">
        <v>2369</v>
      </c>
      <c r="CG17" s="39">
        <v>2289</v>
      </c>
      <c r="CH17" s="39"/>
      <c r="CI17" s="39">
        <f>C17*14.16042/100</f>
        <v>0</v>
      </c>
      <c r="CJ17" s="39">
        <f t="shared" si="34"/>
        <v>82282.660515</v>
      </c>
      <c r="CK17" s="39">
        <f t="shared" si="35"/>
        <v>82282.660515</v>
      </c>
      <c r="CL17" s="39">
        <v>6513</v>
      </c>
      <c r="CM17" s="39">
        <v>6294</v>
      </c>
      <c r="CN17" s="39"/>
      <c r="CO17" s="39">
        <f>C17*6.15602/100</f>
        <v>0</v>
      </c>
      <c r="CP17" s="39">
        <f t="shared" si="36"/>
        <v>35771.093215</v>
      </c>
      <c r="CQ17" s="39">
        <f t="shared" si="37"/>
        <v>35771.093215</v>
      </c>
      <c r="CR17" s="39">
        <v>2831</v>
      </c>
      <c r="CS17" s="39">
        <v>2736</v>
      </c>
      <c r="CT17" s="39"/>
      <c r="CU17" s="39">
        <f>C17*5.37414/100</f>
        <v>0</v>
      </c>
      <c r="CV17" s="39">
        <f t="shared" si="38"/>
        <v>31227.784005</v>
      </c>
      <c r="CW17" s="39">
        <f t="shared" si="39"/>
        <v>31227.784005</v>
      </c>
      <c r="CX17" s="39">
        <v>2472</v>
      </c>
      <c r="CY17" s="39">
        <v>2389</v>
      </c>
      <c r="CZ17" s="39"/>
      <c r="DA17" s="93">
        <f>C17*0.69717/100</f>
        <v>0</v>
      </c>
      <c r="DB17" s="93">
        <f t="shared" si="40"/>
        <v>4051.0805775</v>
      </c>
      <c r="DC17" s="93">
        <f t="shared" si="41"/>
        <v>4051.0805775</v>
      </c>
      <c r="DD17" s="93">
        <v>321</v>
      </c>
      <c r="DE17" s="93">
        <v>310</v>
      </c>
      <c r="DF17" s="39"/>
      <c r="DG17" s="39">
        <f>C17*0.02011/100</f>
        <v>0</v>
      </c>
      <c r="DH17" s="39">
        <f t="shared" si="42"/>
        <v>116.8541825</v>
      </c>
      <c r="DI17" s="39">
        <f t="shared" si="43"/>
        <v>116.8541825</v>
      </c>
      <c r="DJ17" s="39">
        <v>9</v>
      </c>
      <c r="DK17" s="39">
        <v>9</v>
      </c>
      <c r="DL17" s="39"/>
      <c r="DM17" s="39">
        <f>C17*4.70981/100</f>
        <v>0</v>
      </c>
      <c r="DN17" s="39">
        <f t="shared" si="44"/>
        <v>27367.528457499997</v>
      </c>
      <c r="DO17" s="39">
        <f t="shared" si="45"/>
        <v>27367.528457499997</v>
      </c>
      <c r="DP17" s="39">
        <v>2166</v>
      </c>
      <c r="DQ17" s="39">
        <v>2094</v>
      </c>
      <c r="DR17" s="39"/>
      <c r="DS17" s="39">
        <f>C17*0.28727/100</f>
        <v>0</v>
      </c>
      <c r="DT17" s="39">
        <f t="shared" si="46"/>
        <v>1669.2541525000001</v>
      </c>
      <c r="DU17" s="39">
        <f t="shared" si="47"/>
        <v>1669.2541525000001</v>
      </c>
      <c r="DV17" s="39">
        <v>132</v>
      </c>
      <c r="DW17" s="39">
        <v>128</v>
      </c>
      <c r="DX17" s="39"/>
      <c r="DY17" s="39">
        <f>C17*4.87421/100</f>
        <v>0</v>
      </c>
      <c r="DZ17" s="39">
        <f t="shared" si="48"/>
        <v>28322.815757499997</v>
      </c>
      <c r="EA17" s="39">
        <f t="shared" si="49"/>
        <v>28322.815757499997</v>
      </c>
      <c r="EB17" s="39">
        <v>2242</v>
      </c>
      <c r="EC17" s="39">
        <v>2167</v>
      </c>
      <c r="ED17" s="39"/>
      <c r="EE17" s="39">
        <f>C17*0.60754/100</f>
        <v>0</v>
      </c>
      <c r="EF17" s="39">
        <f t="shared" si="50"/>
        <v>3530.2630549999994</v>
      </c>
      <c r="EG17" s="39">
        <f t="shared" si="51"/>
        <v>3530.2630549999994</v>
      </c>
      <c r="EH17" s="39">
        <v>279</v>
      </c>
      <c r="EI17" s="39">
        <v>270</v>
      </c>
      <c r="EJ17" s="39"/>
      <c r="EK17" s="39">
        <f>C17*0.26185/100</f>
        <v>0</v>
      </c>
      <c r="EL17" s="39">
        <f t="shared" si="52"/>
        <v>1521.5448875000002</v>
      </c>
      <c r="EM17" s="39">
        <f t="shared" si="53"/>
        <v>1521.5448875000002</v>
      </c>
      <c r="EN17" s="39">
        <v>120</v>
      </c>
      <c r="EO17" s="39">
        <v>116</v>
      </c>
      <c r="EP17" s="39"/>
      <c r="EQ17" s="39"/>
      <c r="ER17" s="39"/>
      <c r="ES17" s="39"/>
      <c r="ET17" s="39"/>
      <c r="EU17" s="39"/>
      <c r="EV17" s="39"/>
      <c r="EW17" s="56">
        <f t="shared" si="54"/>
        <v>0</v>
      </c>
      <c r="EX17" s="56">
        <f t="shared" si="55"/>
        <v>505.419035</v>
      </c>
      <c r="EY17" s="39">
        <f t="shared" si="56"/>
        <v>505.419035</v>
      </c>
      <c r="EZ17" s="39">
        <v>40</v>
      </c>
      <c r="FA17" s="39">
        <v>39</v>
      </c>
      <c r="FB17" s="39"/>
      <c r="FC17" s="39">
        <f t="shared" si="57"/>
        <v>0</v>
      </c>
      <c r="FD17" s="39">
        <f t="shared" si="58"/>
        <v>1133.3867875</v>
      </c>
      <c r="FE17" s="39">
        <f t="shared" si="59"/>
        <v>1133.3867875</v>
      </c>
      <c r="FF17" s="39">
        <v>90</v>
      </c>
      <c r="FG17" s="39">
        <v>87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39"/>
    </row>
    <row r="18" spans="1:173" ht="12">
      <c r="A18" s="22">
        <v>42278</v>
      </c>
      <c r="C18" s="39"/>
      <c r="D18" s="39">
        <v>581075</v>
      </c>
      <c r="E18" s="42">
        <f t="shared" si="0"/>
        <v>581075</v>
      </c>
      <c r="F18" s="42">
        <f t="shared" si="1"/>
        <v>45991</v>
      </c>
      <c r="G18" s="42">
        <f t="shared" si="2"/>
        <v>44450</v>
      </c>
      <c r="I18" s="42">
        <f t="shared" si="3"/>
        <v>0</v>
      </c>
      <c r="J18" s="48">
        <f t="shared" si="4"/>
        <v>1638.8058225</v>
      </c>
      <c r="K18" s="42">
        <f t="shared" si="5"/>
        <v>1638.8058225</v>
      </c>
      <c r="L18" s="42">
        <f t="shared" si="6"/>
        <v>130</v>
      </c>
      <c r="M18" s="42">
        <f t="shared" si="7"/>
        <v>126</v>
      </c>
      <c r="O18" s="39"/>
      <c r="P18" s="39">
        <f t="shared" si="8"/>
        <v>579436.1941775</v>
      </c>
      <c r="Q18" s="39">
        <f t="shared" si="9"/>
        <v>579436.1941775</v>
      </c>
      <c r="R18" s="39">
        <f t="shared" si="10"/>
        <v>45861</v>
      </c>
      <c r="S18" s="39">
        <f t="shared" si="11"/>
        <v>44324</v>
      </c>
      <c r="U18" s="56"/>
      <c r="V18" s="56">
        <f t="shared" si="12"/>
        <v>87452.136145</v>
      </c>
      <c r="W18" s="39">
        <f t="shared" si="13"/>
        <v>87452.136145</v>
      </c>
      <c r="X18" s="39">
        <v>6912</v>
      </c>
      <c r="Y18" s="39">
        <v>6680</v>
      </c>
      <c r="Z18" s="39"/>
      <c r="AA18" s="39"/>
      <c r="AB18" s="39">
        <f t="shared" si="14"/>
        <v>98351.82478</v>
      </c>
      <c r="AC18" s="39">
        <f t="shared" si="15"/>
        <v>98351.82478</v>
      </c>
      <c r="AD18" s="39">
        <v>7794</v>
      </c>
      <c r="AE18" s="39">
        <v>7533</v>
      </c>
      <c r="AF18" s="39"/>
      <c r="AG18" s="39"/>
      <c r="AH18" s="39">
        <f t="shared" si="16"/>
        <v>56699.322845</v>
      </c>
      <c r="AI18" s="39">
        <f t="shared" si="17"/>
        <v>56699.322845</v>
      </c>
      <c r="AJ18" s="39">
        <v>4488</v>
      </c>
      <c r="AK18" s="39">
        <v>4337</v>
      </c>
      <c r="AL18" s="39"/>
      <c r="AM18" s="39"/>
      <c r="AN18" s="39">
        <f t="shared" si="18"/>
        <v>43472.0220825</v>
      </c>
      <c r="AO18" s="39">
        <f t="shared" si="19"/>
        <v>43472.0220825</v>
      </c>
      <c r="AP18" s="39">
        <v>3441</v>
      </c>
      <c r="AQ18" s="39">
        <v>3325</v>
      </c>
      <c r="AR18" s="39"/>
      <c r="AS18" s="39"/>
      <c r="AT18" s="39">
        <f t="shared" si="20"/>
        <v>1255.8192900000001</v>
      </c>
      <c r="AU18" s="39">
        <f t="shared" si="21"/>
        <v>1255.8192900000001</v>
      </c>
      <c r="AV18" s="39">
        <v>99</v>
      </c>
      <c r="AW18" s="39">
        <v>96</v>
      </c>
      <c r="AX18" s="39"/>
      <c r="AY18" s="39"/>
      <c r="AZ18" s="39">
        <f t="shared" si="22"/>
        <v>110.75289500000001</v>
      </c>
      <c r="BA18" s="39">
        <f t="shared" si="23"/>
        <v>110.75289500000001</v>
      </c>
      <c r="BB18" s="39">
        <v>9</v>
      </c>
      <c r="BC18" s="39">
        <v>8</v>
      </c>
      <c r="BD18" s="39"/>
      <c r="BE18" s="39"/>
      <c r="BF18" s="39">
        <f t="shared" si="24"/>
        <v>79.54916750000001</v>
      </c>
      <c r="BG18" s="39">
        <f t="shared" si="25"/>
        <v>79.54916750000001</v>
      </c>
      <c r="BH18" s="39">
        <v>6</v>
      </c>
      <c r="BI18" s="39">
        <v>6</v>
      </c>
      <c r="BJ18" s="39"/>
      <c r="BK18" s="39"/>
      <c r="BL18" s="39">
        <f t="shared" si="26"/>
        <v>1380.4598775</v>
      </c>
      <c r="BM18" s="39">
        <f t="shared" si="27"/>
        <v>1380.4598775</v>
      </c>
      <c r="BN18" s="39">
        <v>109</v>
      </c>
      <c r="BO18" s="39">
        <v>106</v>
      </c>
      <c r="BP18" s="39"/>
      <c r="BQ18" s="39"/>
      <c r="BR18" s="39">
        <f t="shared" si="28"/>
        <v>34354.6066875</v>
      </c>
      <c r="BS18" s="39">
        <f t="shared" si="29"/>
        <v>34354.6066875</v>
      </c>
      <c r="BT18" s="39">
        <v>2719</v>
      </c>
      <c r="BU18" s="39">
        <v>2628</v>
      </c>
      <c r="BV18" s="39"/>
      <c r="BW18" s="39"/>
      <c r="BX18" s="39">
        <f t="shared" si="30"/>
        <v>10490.379405</v>
      </c>
      <c r="BY18" s="39">
        <f t="shared" si="31"/>
        <v>10490.379405</v>
      </c>
      <c r="BZ18" s="39">
        <v>830</v>
      </c>
      <c r="CA18" s="39">
        <v>803</v>
      </c>
      <c r="CB18" s="39"/>
      <c r="CC18" s="39"/>
      <c r="CD18" s="39">
        <f t="shared" si="32"/>
        <v>29928.442197499997</v>
      </c>
      <c r="CE18" s="39">
        <f t="shared" si="33"/>
        <v>29928.442197499997</v>
      </c>
      <c r="CF18" s="39">
        <v>2369</v>
      </c>
      <c r="CG18" s="39">
        <v>2289</v>
      </c>
      <c r="CH18" s="39"/>
      <c r="CI18" s="39"/>
      <c r="CJ18" s="39">
        <f t="shared" si="34"/>
        <v>82282.660515</v>
      </c>
      <c r="CK18" s="39">
        <f t="shared" si="35"/>
        <v>82282.660515</v>
      </c>
      <c r="CL18" s="39">
        <v>6513</v>
      </c>
      <c r="CM18" s="39">
        <v>6294</v>
      </c>
      <c r="CN18" s="39"/>
      <c r="CO18" s="39"/>
      <c r="CP18" s="39">
        <f t="shared" si="36"/>
        <v>35771.093215</v>
      </c>
      <c r="CQ18" s="39">
        <f t="shared" si="37"/>
        <v>35771.093215</v>
      </c>
      <c r="CR18" s="39">
        <v>2831</v>
      </c>
      <c r="CS18" s="39">
        <v>2736</v>
      </c>
      <c r="CT18" s="39"/>
      <c r="CU18" s="39"/>
      <c r="CV18" s="39">
        <f t="shared" si="38"/>
        <v>31227.784005</v>
      </c>
      <c r="CW18" s="39">
        <f t="shared" si="39"/>
        <v>31227.784005</v>
      </c>
      <c r="CX18" s="39">
        <v>2472</v>
      </c>
      <c r="CY18" s="39">
        <v>2389</v>
      </c>
      <c r="CZ18" s="39"/>
      <c r="DA18" s="93"/>
      <c r="DB18" s="93">
        <f t="shared" si="40"/>
        <v>4051.0805775</v>
      </c>
      <c r="DC18" s="93">
        <f t="shared" si="41"/>
        <v>4051.0805775</v>
      </c>
      <c r="DD18" s="93">
        <v>321</v>
      </c>
      <c r="DE18" s="93">
        <v>310</v>
      </c>
      <c r="DF18" s="39"/>
      <c r="DG18" s="39"/>
      <c r="DH18" s="39">
        <f t="shared" si="42"/>
        <v>116.8541825</v>
      </c>
      <c r="DI18" s="39">
        <f t="shared" si="43"/>
        <v>116.8541825</v>
      </c>
      <c r="DJ18" s="39">
        <v>9</v>
      </c>
      <c r="DK18" s="39">
        <v>9</v>
      </c>
      <c r="DL18" s="39"/>
      <c r="DM18" s="39"/>
      <c r="DN18" s="39">
        <f t="shared" si="44"/>
        <v>27367.528457499997</v>
      </c>
      <c r="DO18" s="39">
        <f t="shared" si="45"/>
        <v>27367.528457499997</v>
      </c>
      <c r="DP18" s="39">
        <v>2166</v>
      </c>
      <c r="DQ18" s="39">
        <v>2094</v>
      </c>
      <c r="DR18" s="39"/>
      <c r="DS18" s="39"/>
      <c r="DT18" s="39">
        <f t="shared" si="46"/>
        <v>1669.2541525000001</v>
      </c>
      <c r="DU18" s="39">
        <f t="shared" si="47"/>
        <v>1669.2541525000001</v>
      </c>
      <c r="DV18" s="39">
        <v>132</v>
      </c>
      <c r="DW18" s="39">
        <v>128</v>
      </c>
      <c r="DX18" s="39"/>
      <c r="DY18" s="39"/>
      <c r="DZ18" s="39">
        <f t="shared" si="48"/>
        <v>28322.815757499997</v>
      </c>
      <c r="EA18" s="39">
        <f t="shared" si="49"/>
        <v>28322.815757499997</v>
      </c>
      <c r="EB18" s="39">
        <v>2242</v>
      </c>
      <c r="EC18" s="39">
        <v>2167</v>
      </c>
      <c r="ED18" s="39"/>
      <c r="EE18" s="39"/>
      <c r="EF18" s="39">
        <f t="shared" si="50"/>
        <v>3530.2630549999994</v>
      </c>
      <c r="EG18" s="39">
        <f t="shared" si="51"/>
        <v>3530.2630549999994</v>
      </c>
      <c r="EH18" s="39">
        <v>279</v>
      </c>
      <c r="EI18" s="39">
        <v>270</v>
      </c>
      <c r="EJ18" s="39"/>
      <c r="EK18" s="39"/>
      <c r="EL18" s="39">
        <f t="shared" si="52"/>
        <v>1521.5448875000002</v>
      </c>
      <c r="EM18" s="39">
        <f t="shared" si="53"/>
        <v>1521.5448875000002</v>
      </c>
      <c r="EN18" s="39">
        <v>120</v>
      </c>
      <c r="EO18" s="39">
        <v>116</v>
      </c>
      <c r="EP18" s="39"/>
      <c r="EQ18" s="39"/>
      <c r="ER18" s="39"/>
      <c r="ES18" s="39"/>
      <c r="ET18" s="39"/>
      <c r="EU18" s="39"/>
      <c r="EV18" s="39"/>
      <c r="EW18" s="56">
        <f t="shared" si="54"/>
        <v>0</v>
      </c>
      <c r="EX18" s="56">
        <f t="shared" si="55"/>
        <v>505.419035</v>
      </c>
      <c r="EY18" s="39">
        <f t="shared" si="56"/>
        <v>505.419035</v>
      </c>
      <c r="EZ18" s="39">
        <v>40</v>
      </c>
      <c r="FA18" s="39">
        <v>39</v>
      </c>
      <c r="FB18" s="39"/>
      <c r="FC18" s="39">
        <f t="shared" si="57"/>
        <v>0</v>
      </c>
      <c r="FD18" s="39">
        <f t="shared" si="58"/>
        <v>1133.3867875</v>
      </c>
      <c r="FE18" s="39">
        <f t="shared" si="59"/>
        <v>1133.3867875</v>
      </c>
      <c r="FF18" s="39">
        <v>90</v>
      </c>
      <c r="FG18" s="39">
        <v>87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39"/>
    </row>
    <row r="19" spans="1:173" ht="12">
      <c r="A19" s="22">
        <v>42461</v>
      </c>
      <c r="C19" s="39"/>
      <c r="D19" s="39">
        <v>581075</v>
      </c>
      <c r="E19" s="42">
        <f t="shared" si="0"/>
        <v>581075</v>
      </c>
      <c r="F19" s="42">
        <f t="shared" si="1"/>
        <v>45991</v>
      </c>
      <c r="G19" s="42">
        <f t="shared" si="2"/>
        <v>44450</v>
      </c>
      <c r="I19" s="42">
        <f t="shared" si="3"/>
        <v>0</v>
      </c>
      <c r="J19" s="48">
        <f t="shared" si="4"/>
        <v>1638.8058225</v>
      </c>
      <c r="K19" s="42">
        <f t="shared" si="5"/>
        <v>1638.8058225</v>
      </c>
      <c r="L19" s="42">
        <f t="shared" si="6"/>
        <v>130</v>
      </c>
      <c r="M19" s="42">
        <f t="shared" si="7"/>
        <v>126</v>
      </c>
      <c r="O19" s="39">
        <f t="shared" si="60"/>
        <v>0</v>
      </c>
      <c r="P19" s="39">
        <f t="shared" si="8"/>
        <v>579436.1941775</v>
      </c>
      <c r="Q19" s="39">
        <f t="shared" si="9"/>
        <v>579436.1941775</v>
      </c>
      <c r="R19" s="39">
        <f t="shared" si="10"/>
        <v>45861</v>
      </c>
      <c r="S19" s="39">
        <f t="shared" si="11"/>
        <v>44324</v>
      </c>
      <c r="U19" s="56">
        <f>C19*15.05006/100</f>
        <v>0</v>
      </c>
      <c r="V19" s="56">
        <f t="shared" si="12"/>
        <v>87452.136145</v>
      </c>
      <c r="W19" s="39">
        <f t="shared" si="13"/>
        <v>87452.136145</v>
      </c>
      <c r="X19" s="39">
        <v>6912</v>
      </c>
      <c r="Y19" s="39">
        <v>6680</v>
      </c>
      <c r="Z19" s="39"/>
      <c r="AA19" s="39">
        <f>C19*16.92584/100</f>
        <v>0</v>
      </c>
      <c r="AB19" s="39">
        <f t="shared" si="14"/>
        <v>98351.82478</v>
      </c>
      <c r="AC19" s="39">
        <f t="shared" si="15"/>
        <v>98351.82478</v>
      </c>
      <c r="AD19" s="39">
        <v>7794</v>
      </c>
      <c r="AE19" s="39">
        <v>7533</v>
      </c>
      <c r="AF19" s="39"/>
      <c r="AG19" s="39">
        <f>C19*9.75766/100</f>
        <v>0</v>
      </c>
      <c r="AH19" s="39">
        <f t="shared" si="16"/>
        <v>56699.322845</v>
      </c>
      <c r="AI19" s="39">
        <f t="shared" si="17"/>
        <v>56699.322845</v>
      </c>
      <c r="AJ19" s="39">
        <v>4488</v>
      </c>
      <c r="AK19" s="39">
        <v>4337</v>
      </c>
      <c r="AL19" s="39"/>
      <c r="AM19" s="39">
        <f>C19*7.48131/100</f>
        <v>0</v>
      </c>
      <c r="AN19" s="39">
        <f t="shared" si="18"/>
        <v>43472.0220825</v>
      </c>
      <c r="AO19" s="39">
        <f t="shared" si="19"/>
        <v>43472.0220825</v>
      </c>
      <c r="AP19" s="39">
        <v>3441</v>
      </c>
      <c r="AQ19" s="39">
        <v>3325</v>
      </c>
      <c r="AR19" s="39"/>
      <c r="AS19" s="39">
        <f>C19*0.21612/100</f>
        <v>0</v>
      </c>
      <c r="AT19" s="39">
        <f t="shared" si="20"/>
        <v>1255.8192900000001</v>
      </c>
      <c r="AU19" s="39">
        <f t="shared" si="21"/>
        <v>1255.8192900000001</v>
      </c>
      <c r="AV19" s="39">
        <v>99</v>
      </c>
      <c r="AW19" s="39">
        <v>96</v>
      </c>
      <c r="AX19" s="39"/>
      <c r="AY19" s="39">
        <f>C19*0.01906/100</f>
        <v>0</v>
      </c>
      <c r="AZ19" s="39">
        <f t="shared" si="22"/>
        <v>110.75289500000001</v>
      </c>
      <c r="BA19" s="39">
        <f t="shared" si="23"/>
        <v>110.75289500000001</v>
      </c>
      <c r="BB19" s="39">
        <v>9</v>
      </c>
      <c r="BC19" s="39">
        <v>8</v>
      </c>
      <c r="BD19" s="39"/>
      <c r="BE19" s="39">
        <f>C19*0.01369/100</f>
        <v>0</v>
      </c>
      <c r="BF19" s="39">
        <f t="shared" si="24"/>
        <v>79.54916750000001</v>
      </c>
      <c r="BG19" s="39">
        <f t="shared" si="25"/>
        <v>79.54916750000001</v>
      </c>
      <c r="BH19" s="39">
        <v>6</v>
      </c>
      <c r="BI19" s="39">
        <v>6</v>
      </c>
      <c r="BJ19" s="39"/>
      <c r="BK19" s="39">
        <f>C19*0.23757/100</f>
        <v>0</v>
      </c>
      <c r="BL19" s="39">
        <f t="shared" si="26"/>
        <v>1380.4598775</v>
      </c>
      <c r="BM19" s="39">
        <f t="shared" si="27"/>
        <v>1380.4598775</v>
      </c>
      <c r="BN19" s="39">
        <v>109</v>
      </c>
      <c r="BO19" s="39">
        <v>106</v>
      </c>
      <c r="BP19" s="39"/>
      <c r="BQ19" s="39">
        <f>C19*5.91225/100</f>
        <v>0</v>
      </c>
      <c r="BR19" s="39">
        <f t="shared" si="28"/>
        <v>34354.6066875</v>
      </c>
      <c r="BS19" s="39">
        <f t="shared" si="29"/>
        <v>34354.6066875</v>
      </c>
      <c r="BT19" s="39">
        <v>2719</v>
      </c>
      <c r="BU19" s="39">
        <v>2628</v>
      </c>
      <c r="BV19" s="39"/>
      <c r="BW19" s="39">
        <f>C19*1.80534/100</f>
        <v>0</v>
      </c>
      <c r="BX19" s="39">
        <f t="shared" si="30"/>
        <v>10490.379405</v>
      </c>
      <c r="BY19" s="39">
        <f t="shared" si="31"/>
        <v>10490.379405</v>
      </c>
      <c r="BZ19" s="39">
        <v>830</v>
      </c>
      <c r="CA19" s="39">
        <v>803</v>
      </c>
      <c r="CB19" s="39"/>
      <c r="CC19" s="39">
        <f>C19*5.15053/100</f>
        <v>0</v>
      </c>
      <c r="CD19" s="39">
        <f t="shared" si="32"/>
        <v>29928.442197499997</v>
      </c>
      <c r="CE19" s="39">
        <f t="shared" si="33"/>
        <v>29928.442197499997</v>
      </c>
      <c r="CF19" s="39">
        <v>2369</v>
      </c>
      <c r="CG19" s="39">
        <v>2289</v>
      </c>
      <c r="CH19" s="39"/>
      <c r="CI19" s="39">
        <f>C19*14.16042/100</f>
        <v>0</v>
      </c>
      <c r="CJ19" s="39">
        <f t="shared" si="34"/>
        <v>82282.660515</v>
      </c>
      <c r="CK19" s="39">
        <f t="shared" si="35"/>
        <v>82282.660515</v>
      </c>
      <c r="CL19" s="39">
        <v>6513</v>
      </c>
      <c r="CM19" s="39">
        <v>6294</v>
      </c>
      <c r="CN19" s="39"/>
      <c r="CO19" s="39">
        <f>C19*6.15602/100</f>
        <v>0</v>
      </c>
      <c r="CP19" s="39">
        <f t="shared" si="36"/>
        <v>35771.093215</v>
      </c>
      <c r="CQ19" s="39">
        <f t="shared" si="37"/>
        <v>35771.093215</v>
      </c>
      <c r="CR19" s="39">
        <v>2831</v>
      </c>
      <c r="CS19" s="39">
        <v>2736</v>
      </c>
      <c r="CT19" s="39"/>
      <c r="CU19" s="39">
        <f>C19*5.37414/100</f>
        <v>0</v>
      </c>
      <c r="CV19" s="39">
        <f t="shared" si="38"/>
        <v>31227.784005</v>
      </c>
      <c r="CW19" s="39">
        <f t="shared" si="39"/>
        <v>31227.784005</v>
      </c>
      <c r="CX19" s="39">
        <v>2472</v>
      </c>
      <c r="CY19" s="39">
        <v>2389</v>
      </c>
      <c r="CZ19" s="39"/>
      <c r="DA19" s="93">
        <f>C19*0.69717/100</f>
        <v>0</v>
      </c>
      <c r="DB19" s="93">
        <f t="shared" si="40"/>
        <v>4051.0805775</v>
      </c>
      <c r="DC19" s="93">
        <f t="shared" si="41"/>
        <v>4051.0805775</v>
      </c>
      <c r="DD19" s="93">
        <v>321</v>
      </c>
      <c r="DE19" s="93">
        <v>310</v>
      </c>
      <c r="DF19" s="39"/>
      <c r="DG19" s="39">
        <f>C19*0.02011/100</f>
        <v>0</v>
      </c>
      <c r="DH19" s="39">
        <f t="shared" si="42"/>
        <v>116.8541825</v>
      </c>
      <c r="DI19" s="39">
        <f t="shared" si="43"/>
        <v>116.8541825</v>
      </c>
      <c r="DJ19" s="39">
        <v>9</v>
      </c>
      <c r="DK19" s="39">
        <v>9</v>
      </c>
      <c r="DL19" s="39"/>
      <c r="DM19" s="39">
        <f>C19*4.70981/100</f>
        <v>0</v>
      </c>
      <c r="DN19" s="39">
        <f t="shared" si="44"/>
        <v>27367.528457499997</v>
      </c>
      <c r="DO19" s="39">
        <f t="shared" si="45"/>
        <v>27367.528457499997</v>
      </c>
      <c r="DP19" s="39">
        <v>2166</v>
      </c>
      <c r="DQ19" s="39">
        <v>2094</v>
      </c>
      <c r="DR19" s="39"/>
      <c r="DS19" s="39">
        <f>C19*0.28727/100</f>
        <v>0</v>
      </c>
      <c r="DT19" s="39">
        <f t="shared" si="46"/>
        <v>1669.2541525000001</v>
      </c>
      <c r="DU19" s="39">
        <f t="shared" si="47"/>
        <v>1669.2541525000001</v>
      </c>
      <c r="DV19" s="39">
        <v>132</v>
      </c>
      <c r="DW19" s="39">
        <v>128</v>
      </c>
      <c r="DX19" s="39"/>
      <c r="DY19" s="39">
        <f>C19*4.87421/100</f>
        <v>0</v>
      </c>
      <c r="DZ19" s="39">
        <f t="shared" si="48"/>
        <v>28322.815757499997</v>
      </c>
      <c r="EA19" s="39">
        <f t="shared" si="49"/>
        <v>28322.815757499997</v>
      </c>
      <c r="EB19" s="39">
        <v>2242</v>
      </c>
      <c r="EC19" s="39">
        <v>2167</v>
      </c>
      <c r="ED19" s="39"/>
      <c r="EE19" s="39">
        <f>C19*0.60754/100</f>
        <v>0</v>
      </c>
      <c r="EF19" s="39">
        <f t="shared" si="50"/>
        <v>3530.2630549999994</v>
      </c>
      <c r="EG19" s="39">
        <f t="shared" si="51"/>
        <v>3530.2630549999994</v>
      </c>
      <c r="EH19" s="39">
        <v>279</v>
      </c>
      <c r="EI19" s="39">
        <v>270</v>
      </c>
      <c r="EJ19" s="39"/>
      <c r="EK19" s="39">
        <f>C19*0.26185/100</f>
        <v>0</v>
      </c>
      <c r="EL19" s="39">
        <f t="shared" si="52"/>
        <v>1521.5448875000002</v>
      </c>
      <c r="EM19" s="39">
        <f t="shared" si="53"/>
        <v>1521.5448875000002</v>
      </c>
      <c r="EN19" s="39">
        <v>120</v>
      </c>
      <c r="EO19" s="39">
        <v>116</v>
      </c>
      <c r="EP19" s="39"/>
      <c r="EQ19" s="39"/>
      <c r="ER19" s="39"/>
      <c r="ES19" s="39"/>
      <c r="ET19" s="39"/>
      <c r="EU19" s="39"/>
      <c r="EV19" s="39"/>
      <c r="EW19" s="56">
        <f t="shared" si="54"/>
        <v>0</v>
      </c>
      <c r="EX19" s="56">
        <f t="shared" si="55"/>
        <v>505.419035</v>
      </c>
      <c r="EY19" s="39">
        <f t="shared" si="56"/>
        <v>505.419035</v>
      </c>
      <c r="EZ19" s="39">
        <v>40</v>
      </c>
      <c r="FA19" s="39">
        <v>39</v>
      </c>
      <c r="FB19" s="39"/>
      <c r="FC19" s="39">
        <f t="shared" si="57"/>
        <v>0</v>
      </c>
      <c r="FD19" s="39">
        <f t="shared" si="58"/>
        <v>1133.3867875</v>
      </c>
      <c r="FE19" s="39">
        <f t="shared" si="59"/>
        <v>1133.3867875</v>
      </c>
      <c r="FF19" s="39">
        <v>90</v>
      </c>
      <c r="FG19" s="39">
        <v>87</v>
      </c>
      <c r="FH19" s="39"/>
      <c r="FI19" s="39"/>
      <c r="FJ19" s="39"/>
      <c r="FK19" s="39"/>
      <c r="FL19" s="39"/>
      <c r="FM19" s="39"/>
      <c r="FN19" s="39"/>
      <c r="FO19" s="39"/>
      <c r="FP19" s="39"/>
      <c r="FQ19" s="39"/>
    </row>
    <row r="20" spans="1:173" ht="12">
      <c r="A20" s="22">
        <v>42644</v>
      </c>
      <c r="C20" s="39"/>
      <c r="D20" s="39">
        <v>581075</v>
      </c>
      <c r="E20" s="42">
        <f t="shared" si="0"/>
        <v>581075</v>
      </c>
      <c r="F20" s="42">
        <f t="shared" si="1"/>
        <v>45991</v>
      </c>
      <c r="G20" s="42">
        <f t="shared" si="2"/>
        <v>44450</v>
      </c>
      <c r="I20" s="42">
        <f t="shared" si="3"/>
        <v>0</v>
      </c>
      <c r="J20" s="48">
        <f t="shared" si="4"/>
        <v>1638.8058225</v>
      </c>
      <c r="K20" s="42">
        <f t="shared" si="5"/>
        <v>1638.8058225</v>
      </c>
      <c r="L20" s="42">
        <f t="shared" si="6"/>
        <v>130</v>
      </c>
      <c r="M20" s="42">
        <f t="shared" si="7"/>
        <v>126</v>
      </c>
      <c r="O20" s="39"/>
      <c r="P20" s="39">
        <f t="shared" si="8"/>
        <v>579436.1941775</v>
      </c>
      <c r="Q20" s="39">
        <f t="shared" si="9"/>
        <v>579436.1941775</v>
      </c>
      <c r="R20" s="39">
        <f t="shared" si="10"/>
        <v>45861</v>
      </c>
      <c r="S20" s="39">
        <f t="shared" si="11"/>
        <v>44324</v>
      </c>
      <c r="U20" s="56"/>
      <c r="V20" s="56">
        <f t="shared" si="12"/>
        <v>87452.136145</v>
      </c>
      <c r="W20" s="39">
        <f t="shared" si="13"/>
        <v>87452.136145</v>
      </c>
      <c r="X20" s="39">
        <v>6912</v>
      </c>
      <c r="Y20" s="39">
        <v>6680</v>
      </c>
      <c r="Z20" s="39"/>
      <c r="AA20" s="39"/>
      <c r="AB20" s="39">
        <f t="shared" si="14"/>
        <v>98351.82478</v>
      </c>
      <c r="AC20" s="39">
        <f t="shared" si="15"/>
        <v>98351.82478</v>
      </c>
      <c r="AD20" s="39">
        <v>7794</v>
      </c>
      <c r="AE20" s="39">
        <v>7533</v>
      </c>
      <c r="AF20" s="39"/>
      <c r="AG20" s="39"/>
      <c r="AH20" s="39">
        <f t="shared" si="16"/>
        <v>56699.322845</v>
      </c>
      <c r="AI20" s="39">
        <f t="shared" si="17"/>
        <v>56699.322845</v>
      </c>
      <c r="AJ20" s="39">
        <v>4488</v>
      </c>
      <c r="AK20" s="39">
        <v>4337</v>
      </c>
      <c r="AL20" s="39"/>
      <c r="AM20" s="39"/>
      <c r="AN20" s="39">
        <f t="shared" si="18"/>
        <v>43472.0220825</v>
      </c>
      <c r="AO20" s="39">
        <f t="shared" si="19"/>
        <v>43472.0220825</v>
      </c>
      <c r="AP20" s="39">
        <v>3441</v>
      </c>
      <c r="AQ20" s="39">
        <v>3325</v>
      </c>
      <c r="AR20" s="39"/>
      <c r="AS20" s="39"/>
      <c r="AT20" s="39">
        <f t="shared" si="20"/>
        <v>1255.8192900000001</v>
      </c>
      <c r="AU20" s="39">
        <f t="shared" si="21"/>
        <v>1255.8192900000001</v>
      </c>
      <c r="AV20" s="39">
        <v>99</v>
      </c>
      <c r="AW20" s="39">
        <v>96</v>
      </c>
      <c r="AX20" s="39"/>
      <c r="AY20" s="39"/>
      <c r="AZ20" s="39">
        <f t="shared" si="22"/>
        <v>110.75289500000001</v>
      </c>
      <c r="BA20" s="39">
        <f t="shared" si="23"/>
        <v>110.75289500000001</v>
      </c>
      <c r="BB20" s="39">
        <v>9</v>
      </c>
      <c r="BC20" s="39">
        <v>8</v>
      </c>
      <c r="BD20" s="39"/>
      <c r="BE20" s="39"/>
      <c r="BF20" s="39">
        <f t="shared" si="24"/>
        <v>79.54916750000001</v>
      </c>
      <c r="BG20" s="39">
        <f t="shared" si="25"/>
        <v>79.54916750000001</v>
      </c>
      <c r="BH20" s="39">
        <v>6</v>
      </c>
      <c r="BI20" s="39">
        <v>6</v>
      </c>
      <c r="BJ20" s="39"/>
      <c r="BK20" s="39"/>
      <c r="BL20" s="39">
        <f t="shared" si="26"/>
        <v>1380.4598775</v>
      </c>
      <c r="BM20" s="39">
        <f t="shared" si="27"/>
        <v>1380.4598775</v>
      </c>
      <c r="BN20" s="39">
        <v>109</v>
      </c>
      <c r="BO20" s="39">
        <v>106</v>
      </c>
      <c r="BP20" s="39"/>
      <c r="BQ20" s="39"/>
      <c r="BR20" s="39">
        <f t="shared" si="28"/>
        <v>34354.6066875</v>
      </c>
      <c r="BS20" s="39">
        <f t="shared" si="29"/>
        <v>34354.6066875</v>
      </c>
      <c r="BT20" s="39">
        <v>2719</v>
      </c>
      <c r="BU20" s="39">
        <v>2628</v>
      </c>
      <c r="BV20" s="39"/>
      <c r="BW20" s="39"/>
      <c r="BX20" s="39">
        <f t="shared" si="30"/>
        <v>10490.379405</v>
      </c>
      <c r="BY20" s="39">
        <f t="shared" si="31"/>
        <v>10490.379405</v>
      </c>
      <c r="BZ20" s="39">
        <v>830</v>
      </c>
      <c r="CA20" s="39">
        <v>803</v>
      </c>
      <c r="CB20" s="39"/>
      <c r="CC20" s="39"/>
      <c r="CD20" s="39">
        <f t="shared" si="32"/>
        <v>29928.442197499997</v>
      </c>
      <c r="CE20" s="39">
        <f t="shared" si="33"/>
        <v>29928.442197499997</v>
      </c>
      <c r="CF20" s="39">
        <v>2369</v>
      </c>
      <c r="CG20" s="39">
        <v>2289</v>
      </c>
      <c r="CH20" s="39"/>
      <c r="CI20" s="39"/>
      <c r="CJ20" s="39">
        <f t="shared" si="34"/>
        <v>82282.660515</v>
      </c>
      <c r="CK20" s="39">
        <f t="shared" si="35"/>
        <v>82282.660515</v>
      </c>
      <c r="CL20" s="39">
        <v>6513</v>
      </c>
      <c r="CM20" s="39">
        <v>6294</v>
      </c>
      <c r="CN20" s="39"/>
      <c r="CO20" s="39"/>
      <c r="CP20" s="39">
        <f t="shared" si="36"/>
        <v>35771.093215</v>
      </c>
      <c r="CQ20" s="39">
        <f t="shared" si="37"/>
        <v>35771.093215</v>
      </c>
      <c r="CR20" s="39">
        <v>2831</v>
      </c>
      <c r="CS20" s="39">
        <v>2736</v>
      </c>
      <c r="CT20" s="39"/>
      <c r="CU20" s="39"/>
      <c r="CV20" s="39">
        <f t="shared" si="38"/>
        <v>31227.784005</v>
      </c>
      <c r="CW20" s="39">
        <f t="shared" si="39"/>
        <v>31227.784005</v>
      </c>
      <c r="CX20" s="39">
        <v>2472</v>
      </c>
      <c r="CY20" s="39">
        <v>2389</v>
      </c>
      <c r="CZ20" s="39"/>
      <c r="DA20" s="93"/>
      <c r="DB20" s="93">
        <f t="shared" si="40"/>
        <v>4051.0805775</v>
      </c>
      <c r="DC20" s="93">
        <f t="shared" si="41"/>
        <v>4051.0805775</v>
      </c>
      <c r="DD20" s="93">
        <v>321</v>
      </c>
      <c r="DE20" s="93">
        <v>310</v>
      </c>
      <c r="DF20" s="39"/>
      <c r="DG20" s="39"/>
      <c r="DH20" s="39">
        <f t="shared" si="42"/>
        <v>116.8541825</v>
      </c>
      <c r="DI20" s="39">
        <f t="shared" si="43"/>
        <v>116.8541825</v>
      </c>
      <c r="DJ20" s="39">
        <v>9</v>
      </c>
      <c r="DK20" s="39">
        <v>9</v>
      </c>
      <c r="DL20" s="39"/>
      <c r="DM20" s="39"/>
      <c r="DN20" s="39">
        <f t="shared" si="44"/>
        <v>27367.528457499997</v>
      </c>
      <c r="DO20" s="39">
        <f t="shared" si="45"/>
        <v>27367.528457499997</v>
      </c>
      <c r="DP20" s="39">
        <v>2166</v>
      </c>
      <c r="DQ20" s="39">
        <v>2094</v>
      </c>
      <c r="DR20" s="39"/>
      <c r="DS20" s="39"/>
      <c r="DT20" s="39">
        <f t="shared" si="46"/>
        <v>1669.2541525000001</v>
      </c>
      <c r="DU20" s="39">
        <f t="shared" si="47"/>
        <v>1669.2541525000001</v>
      </c>
      <c r="DV20" s="39">
        <v>132</v>
      </c>
      <c r="DW20" s="39">
        <v>128</v>
      </c>
      <c r="DX20" s="39"/>
      <c r="DY20" s="39"/>
      <c r="DZ20" s="39">
        <f t="shared" si="48"/>
        <v>28322.815757499997</v>
      </c>
      <c r="EA20" s="39">
        <f t="shared" si="49"/>
        <v>28322.815757499997</v>
      </c>
      <c r="EB20" s="39">
        <v>2242</v>
      </c>
      <c r="EC20" s="39">
        <v>2167</v>
      </c>
      <c r="ED20" s="39"/>
      <c r="EE20" s="39"/>
      <c r="EF20" s="39">
        <f t="shared" si="50"/>
        <v>3530.2630549999994</v>
      </c>
      <c r="EG20" s="39">
        <f t="shared" si="51"/>
        <v>3530.2630549999994</v>
      </c>
      <c r="EH20" s="39">
        <v>279</v>
      </c>
      <c r="EI20" s="39">
        <v>270</v>
      </c>
      <c r="EJ20" s="39"/>
      <c r="EK20" s="39"/>
      <c r="EL20" s="39">
        <f t="shared" si="52"/>
        <v>1521.5448875000002</v>
      </c>
      <c r="EM20" s="39">
        <f t="shared" si="53"/>
        <v>1521.5448875000002</v>
      </c>
      <c r="EN20" s="39">
        <v>120</v>
      </c>
      <c r="EO20" s="39">
        <v>116</v>
      </c>
      <c r="EP20" s="39"/>
      <c r="EQ20" s="39"/>
      <c r="ER20" s="39"/>
      <c r="ES20" s="39"/>
      <c r="ET20" s="39"/>
      <c r="EU20" s="39"/>
      <c r="EV20" s="39"/>
      <c r="EW20" s="56">
        <f t="shared" si="54"/>
        <v>0</v>
      </c>
      <c r="EX20" s="56">
        <f t="shared" si="55"/>
        <v>505.419035</v>
      </c>
      <c r="EY20" s="39">
        <f t="shared" si="56"/>
        <v>505.419035</v>
      </c>
      <c r="EZ20" s="39">
        <v>40</v>
      </c>
      <c r="FA20" s="39">
        <v>39</v>
      </c>
      <c r="FB20" s="39"/>
      <c r="FC20" s="39">
        <f t="shared" si="57"/>
        <v>0</v>
      </c>
      <c r="FD20" s="39">
        <f t="shared" si="58"/>
        <v>1133.3867875</v>
      </c>
      <c r="FE20" s="39">
        <f t="shared" si="59"/>
        <v>1133.3867875</v>
      </c>
      <c r="FF20" s="39">
        <v>90</v>
      </c>
      <c r="FG20" s="39">
        <v>87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39"/>
    </row>
    <row r="21" spans="1:173" ht="12">
      <c r="A21" s="22">
        <v>42826</v>
      </c>
      <c r="C21" s="39">
        <v>4565000</v>
      </c>
      <c r="D21" s="39">
        <v>581075</v>
      </c>
      <c r="E21" s="42">
        <f t="shared" si="0"/>
        <v>5146075</v>
      </c>
      <c r="F21" s="42">
        <f t="shared" si="1"/>
        <v>45991</v>
      </c>
      <c r="G21" s="42">
        <f t="shared" si="2"/>
        <v>44450</v>
      </c>
      <c r="I21" s="42">
        <f t="shared" si="3"/>
        <v>12874.6695</v>
      </c>
      <c r="J21" s="48">
        <f t="shared" si="4"/>
        <v>1638.8058225</v>
      </c>
      <c r="K21" s="42">
        <f t="shared" si="5"/>
        <v>14513.4753225</v>
      </c>
      <c r="L21" s="42">
        <f t="shared" si="6"/>
        <v>130</v>
      </c>
      <c r="M21" s="42">
        <f t="shared" si="7"/>
        <v>126</v>
      </c>
      <c r="O21" s="39">
        <f t="shared" si="60"/>
        <v>4552125.3305</v>
      </c>
      <c r="P21" s="39">
        <f t="shared" si="8"/>
        <v>579436.1941775</v>
      </c>
      <c r="Q21" s="39">
        <f t="shared" si="9"/>
        <v>5131561.5246775</v>
      </c>
      <c r="R21" s="39">
        <f t="shared" si="10"/>
        <v>45861</v>
      </c>
      <c r="S21" s="39">
        <f t="shared" si="11"/>
        <v>44324</v>
      </c>
      <c r="U21" s="56">
        <f>C21*15.05006/100</f>
        <v>687035.2390000001</v>
      </c>
      <c r="V21" s="56">
        <f t="shared" si="12"/>
        <v>87452.136145</v>
      </c>
      <c r="W21" s="39">
        <f t="shared" si="13"/>
        <v>774487.375145</v>
      </c>
      <c r="X21" s="39">
        <v>6912</v>
      </c>
      <c r="Y21" s="39">
        <v>6680</v>
      </c>
      <c r="Z21" s="39"/>
      <c r="AA21" s="39">
        <f>C21*16.92584/100</f>
        <v>772664.5960000001</v>
      </c>
      <c r="AB21" s="39">
        <f t="shared" si="14"/>
        <v>98351.82478</v>
      </c>
      <c r="AC21" s="39">
        <f t="shared" si="15"/>
        <v>871016.4207800002</v>
      </c>
      <c r="AD21" s="39">
        <v>7794</v>
      </c>
      <c r="AE21" s="39">
        <v>7533</v>
      </c>
      <c r="AF21" s="39"/>
      <c r="AG21" s="39">
        <f>C21*9.75766/100</f>
        <v>445437.179</v>
      </c>
      <c r="AH21" s="39">
        <f t="shared" si="16"/>
        <v>56699.322845</v>
      </c>
      <c r="AI21" s="39">
        <f t="shared" si="17"/>
        <v>502136.501845</v>
      </c>
      <c r="AJ21" s="39">
        <v>4488</v>
      </c>
      <c r="AK21" s="39">
        <v>4337</v>
      </c>
      <c r="AL21" s="39"/>
      <c r="AM21" s="39">
        <f>C21*7.48131/100</f>
        <v>341521.8015</v>
      </c>
      <c r="AN21" s="39">
        <f t="shared" si="18"/>
        <v>43472.0220825</v>
      </c>
      <c r="AO21" s="39">
        <f t="shared" si="19"/>
        <v>384993.8235825</v>
      </c>
      <c r="AP21" s="39">
        <v>3441</v>
      </c>
      <c r="AQ21" s="39">
        <v>3325</v>
      </c>
      <c r="AR21" s="39"/>
      <c r="AS21" s="39">
        <f>C21*0.21612/100</f>
        <v>9865.878</v>
      </c>
      <c r="AT21" s="39">
        <f t="shared" si="20"/>
        <v>1255.8192900000001</v>
      </c>
      <c r="AU21" s="39">
        <f t="shared" si="21"/>
        <v>11121.69729</v>
      </c>
      <c r="AV21" s="39">
        <v>99</v>
      </c>
      <c r="AW21" s="39">
        <v>96</v>
      </c>
      <c r="AX21" s="39"/>
      <c r="AY21" s="39">
        <f>C21*0.01906/100</f>
        <v>870.089</v>
      </c>
      <c r="AZ21" s="39">
        <f t="shared" si="22"/>
        <v>110.75289500000001</v>
      </c>
      <c r="BA21" s="39">
        <f t="shared" si="23"/>
        <v>980.841895</v>
      </c>
      <c r="BB21" s="39">
        <v>9</v>
      </c>
      <c r="BC21" s="39">
        <v>8</v>
      </c>
      <c r="BD21" s="39"/>
      <c r="BE21" s="39">
        <f>C21*0.01369/100</f>
        <v>624.9485000000001</v>
      </c>
      <c r="BF21" s="39">
        <f t="shared" si="24"/>
        <v>79.54916750000001</v>
      </c>
      <c r="BG21" s="39">
        <f t="shared" si="25"/>
        <v>704.4976675</v>
      </c>
      <c r="BH21" s="39">
        <v>6</v>
      </c>
      <c r="BI21" s="39">
        <v>6</v>
      </c>
      <c r="BJ21" s="39"/>
      <c r="BK21" s="39">
        <f>C21*0.23757/100</f>
        <v>10845.0705</v>
      </c>
      <c r="BL21" s="39">
        <f t="shared" si="26"/>
        <v>1380.4598775</v>
      </c>
      <c r="BM21" s="39">
        <f t="shared" si="27"/>
        <v>12225.5303775</v>
      </c>
      <c r="BN21" s="39">
        <v>109</v>
      </c>
      <c r="BO21" s="39">
        <v>106</v>
      </c>
      <c r="BP21" s="39"/>
      <c r="BQ21" s="39">
        <f>C21*5.91225/100</f>
        <v>269894.2125</v>
      </c>
      <c r="BR21" s="39">
        <f t="shared" si="28"/>
        <v>34354.6066875</v>
      </c>
      <c r="BS21" s="39">
        <f t="shared" si="29"/>
        <v>304248.81918750005</v>
      </c>
      <c r="BT21" s="39">
        <v>2719</v>
      </c>
      <c r="BU21" s="39">
        <v>2628</v>
      </c>
      <c r="BV21" s="39"/>
      <c r="BW21" s="39">
        <f>C21*1.80534/100</f>
        <v>82413.771</v>
      </c>
      <c r="BX21" s="39">
        <f t="shared" si="30"/>
        <v>10490.379405</v>
      </c>
      <c r="BY21" s="39">
        <f t="shared" si="31"/>
        <v>92904.150405</v>
      </c>
      <c r="BZ21" s="39">
        <v>830</v>
      </c>
      <c r="CA21" s="39">
        <v>803</v>
      </c>
      <c r="CB21" s="39"/>
      <c r="CC21" s="39">
        <f>C21*5.15053/100</f>
        <v>235121.69449999998</v>
      </c>
      <c r="CD21" s="39">
        <f t="shared" si="32"/>
        <v>29928.442197499997</v>
      </c>
      <c r="CE21" s="39">
        <f t="shared" si="33"/>
        <v>265050.13669749995</v>
      </c>
      <c r="CF21" s="39">
        <v>2369</v>
      </c>
      <c r="CG21" s="39">
        <v>2289</v>
      </c>
      <c r="CH21" s="39"/>
      <c r="CI21" s="39">
        <f>C21*14.16042/100</f>
        <v>646423.1730000001</v>
      </c>
      <c r="CJ21" s="39">
        <f t="shared" si="34"/>
        <v>82282.660515</v>
      </c>
      <c r="CK21" s="39">
        <f t="shared" si="35"/>
        <v>728705.8335150001</v>
      </c>
      <c r="CL21" s="39">
        <v>6513</v>
      </c>
      <c r="CM21" s="39">
        <v>6294</v>
      </c>
      <c r="CN21" s="39"/>
      <c r="CO21" s="39">
        <f>C21*6.15602/100</f>
        <v>281022.313</v>
      </c>
      <c r="CP21" s="39">
        <f t="shared" si="36"/>
        <v>35771.093215</v>
      </c>
      <c r="CQ21" s="39">
        <f t="shared" si="37"/>
        <v>316793.406215</v>
      </c>
      <c r="CR21" s="39">
        <v>2831</v>
      </c>
      <c r="CS21" s="39">
        <v>2736</v>
      </c>
      <c r="CT21" s="39"/>
      <c r="CU21" s="39">
        <f>C21*5.37414/100</f>
        <v>245329.49099999998</v>
      </c>
      <c r="CV21" s="39">
        <f t="shared" si="38"/>
        <v>31227.784005</v>
      </c>
      <c r="CW21" s="39">
        <f t="shared" si="39"/>
        <v>276557.275005</v>
      </c>
      <c r="CX21" s="39">
        <v>2472</v>
      </c>
      <c r="CY21" s="39">
        <v>2389</v>
      </c>
      <c r="CZ21" s="39"/>
      <c r="DA21" s="93">
        <f>C21*0.69717/100</f>
        <v>31825.8105</v>
      </c>
      <c r="DB21" s="93">
        <f t="shared" si="40"/>
        <v>4051.0805775</v>
      </c>
      <c r="DC21" s="93">
        <f t="shared" si="41"/>
        <v>35876.8910775</v>
      </c>
      <c r="DD21" s="93">
        <v>321</v>
      </c>
      <c r="DE21" s="93">
        <v>310</v>
      </c>
      <c r="DF21" s="39"/>
      <c r="DG21" s="39">
        <f>C21*0.02011/100</f>
        <v>918.0215</v>
      </c>
      <c r="DH21" s="39">
        <f t="shared" si="42"/>
        <v>116.8541825</v>
      </c>
      <c r="DI21" s="39">
        <f t="shared" si="43"/>
        <v>1034.8756825</v>
      </c>
      <c r="DJ21" s="39">
        <v>9</v>
      </c>
      <c r="DK21" s="39">
        <v>9</v>
      </c>
      <c r="DL21" s="39"/>
      <c r="DM21" s="39">
        <f>C21*4.70981/100</f>
        <v>215002.8265</v>
      </c>
      <c r="DN21" s="39">
        <f t="shared" si="44"/>
        <v>27367.528457499997</v>
      </c>
      <c r="DO21" s="39">
        <f t="shared" si="45"/>
        <v>242370.3549575</v>
      </c>
      <c r="DP21" s="39">
        <v>2166</v>
      </c>
      <c r="DQ21" s="39">
        <v>2094</v>
      </c>
      <c r="DR21" s="39"/>
      <c r="DS21" s="39">
        <f>C21*0.28727/100</f>
        <v>13113.8755</v>
      </c>
      <c r="DT21" s="39">
        <f t="shared" si="46"/>
        <v>1669.2541525000001</v>
      </c>
      <c r="DU21" s="39">
        <f t="shared" si="47"/>
        <v>14783.1296525</v>
      </c>
      <c r="DV21" s="39">
        <v>132</v>
      </c>
      <c r="DW21" s="39">
        <v>128</v>
      </c>
      <c r="DX21" s="39"/>
      <c r="DY21" s="39">
        <f>C21*4.87421/100</f>
        <v>222507.68649999998</v>
      </c>
      <c r="DZ21" s="39">
        <f t="shared" si="48"/>
        <v>28322.815757499997</v>
      </c>
      <c r="EA21" s="39">
        <f t="shared" si="49"/>
        <v>250830.5022575</v>
      </c>
      <c r="EB21" s="39">
        <v>2242</v>
      </c>
      <c r="EC21" s="39">
        <v>2167</v>
      </c>
      <c r="ED21" s="39"/>
      <c r="EE21" s="39">
        <f>C21*0.60754/100</f>
        <v>27734.200999999997</v>
      </c>
      <c r="EF21" s="39">
        <f t="shared" si="50"/>
        <v>3530.2630549999994</v>
      </c>
      <c r="EG21" s="39">
        <f t="shared" si="51"/>
        <v>31264.464054999997</v>
      </c>
      <c r="EH21" s="39">
        <v>279</v>
      </c>
      <c r="EI21" s="39">
        <v>270</v>
      </c>
      <c r="EJ21" s="39"/>
      <c r="EK21" s="39">
        <f>C21*0.26185/100</f>
        <v>11953.452500000003</v>
      </c>
      <c r="EL21" s="39">
        <f t="shared" si="52"/>
        <v>1521.5448875000002</v>
      </c>
      <c r="EM21" s="39">
        <f t="shared" si="53"/>
        <v>13474.997387500003</v>
      </c>
      <c r="EN21" s="39">
        <v>120</v>
      </c>
      <c r="EO21" s="39">
        <v>116</v>
      </c>
      <c r="EP21" s="39"/>
      <c r="EQ21" s="39"/>
      <c r="ER21" s="39"/>
      <c r="ES21" s="39"/>
      <c r="ET21" s="39"/>
      <c r="EU21" s="39"/>
      <c r="EV21" s="39"/>
      <c r="EW21" s="56">
        <f t="shared" si="54"/>
        <v>3970.637</v>
      </c>
      <c r="EX21" s="56">
        <f t="shared" si="55"/>
        <v>505.419035</v>
      </c>
      <c r="EY21" s="39">
        <f t="shared" si="56"/>
        <v>4476.0560350000005</v>
      </c>
      <c r="EZ21" s="39">
        <v>40</v>
      </c>
      <c r="FA21" s="39">
        <v>39</v>
      </c>
      <c r="FB21" s="39"/>
      <c r="FC21" s="39">
        <f t="shared" si="57"/>
        <v>8904.0325</v>
      </c>
      <c r="FD21" s="39">
        <f t="shared" si="58"/>
        <v>1133.3867875</v>
      </c>
      <c r="FE21" s="39">
        <f t="shared" si="59"/>
        <v>10037.419287499999</v>
      </c>
      <c r="FF21" s="39">
        <v>90</v>
      </c>
      <c r="FG21" s="39">
        <v>87</v>
      </c>
      <c r="FH21" s="39"/>
      <c r="FI21" s="39"/>
      <c r="FJ21" s="39"/>
      <c r="FK21" s="39"/>
      <c r="FL21" s="39"/>
      <c r="FM21" s="39"/>
      <c r="FN21" s="39"/>
      <c r="FO21" s="39"/>
      <c r="FP21" s="39"/>
      <c r="FQ21" s="39"/>
    </row>
    <row r="22" spans="1:173" ht="12">
      <c r="A22" s="22">
        <v>43009</v>
      </c>
      <c r="C22" s="39"/>
      <c r="D22" s="39">
        <v>466950</v>
      </c>
      <c r="E22" s="42">
        <f t="shared" si="0"/>
        <v>466950</v>
      </c>
      <c r="F22" s="42">
        <f t="shared" si="1"/>
        <v>45991</v>
      </c>
      <c r="G22" s="42">
        <f t="shared" si="2"/>
        <v>44450</v>
      </c>
      <c r="I22" s="42">
        <f t="shared" si="3"/>
        <v>0</v>
      </c>
      <c r="J22" s="48">
        <f t="shared" si="4"/>
        <v>1316.939085</v>
      </c>
      <c r="K22" s="42">
        <f t="shared" si="5"/>
        <v>1316.939085</v>
      </c>
      <c r="L22" s="42">
        <f t="shared" si="6"/>
        <v>130</v>
      </c>
      <c r="M22" s="42">
        <f t="shared" si="7"/>
        <v>126</v>
      </c>
      <c r="O22" s="39"/>
      <c r="P22" s="39">
        <f t="shared" si="8"/>
        <v>465633.0609149999</v>
      </c>
      <c r="Q22" s="39">
        <f t="shared" si="9"/>
        <v>465633.0609149999</v>
      </c>
      <c r="R22" s="39">
        <f t="shared" si="10"/>
        <v>45861</v>
      </c>
      <c r="S22" s="39">
        <f t="shared" si="11"/>
        <v>44324</v>
      </c>
      <c r="U22" s="56"/>
      <c r="V22" s="56">
        <f t="shared" si="12"/>
        <v>70276.25517</v>
      </c>
      <c r="W22" s="39">
        <f t="shared" si="13"/>
        <v>70276.25517</v>
      </c>
      <c r="X22" s="39">
        <v>6912</v>
      </c>
      <c r="Y22" s="39">
        <v>6680</v>
      </c>
      <c r="Z22" s="39"/>
      <c r="AA22" s="39"/>
      <c r="AB22" s="39">
        <f t="shared" si="14"/>
        <v>79035.20988000001</v>
      </c>
      <c r="AC22" s="39">
        <f t="shared" si="15"/>
        <v>79035.20988000001</v>
      </c>
      <c r="AD22" s="39">
        <v>7794</v>
      </c>
      <c r="AE22" s="39">
        <v>7533</v>
      </c>
      <c r="AF22" s="39"/>
      <c r="AG22" s="39"/>
      <c r="AH22" s="39">
        <f t="shared" si="16"/>
        <v>45563.39336999999</v>
      </c>
      <c r="AI22" s="39">
        <f t="shared" si="17"/>
        <v>45563.39336999999</v>
      </c>
      <c r="AJ22" s="39">
        <v>4488</v>
      </c>
      <c r="AK22" s="39">
        <v>4337</v>
      </c>
      <c r="AL22" s="39"/>
      <c r="AM22" s="39"/>
      <c r="AN22" s="39">
        <f t="shared" si="18"/>
        <v>34933.977045</v>
      </c>
      <c r="AO22" s="39">
        <f t="shared" si="19"/>
        <v>34933.977045</v>
      </c>
      <c r="AP22" s="39">
        <v>3441</v>
      </c>
      <c r="AQ22" s="39">
        <v>3325</v>
      </c>
      <c r="AR22" s="39"/>
      <c r="AS22" s="39"/>
      <c r="AT22" s="39">
        <f t="shared" si="20"/>
        <v>1009.17234</v>
      </c>
      <c r="AU22" s="39">
        <f t="shared" si="21"/>
        <v>1009.17234</v>
      </c>
      <c r="AV22" s="39">
        <v>99</v>
      </c>
      <c r="AW22" s="39">
        <v>96</v>
      </c>
      <c r="AX22" s="39"/>
      <c r="AY22" s="39"/>
      <c r="AZ22" s="39">
        <f t="shared" si="22"/>
        <v>89.00067000000001</v>
      </c>
      <c r="BA22" s="39">
        <f t="shared" si="23"/>
        <v>89.00067000000001</v>
      </c>
      <c r="BB22" s="39">
        <v>9</v>
      </c>
      <c r="BC22" s="39">
        <v>8</v>
      </c>
      <c r="BD22" s="39"/>
      <c r="BE22" s="39"/>
      <c r="BF22" s="39">
        <f t="shared" si="24"/>
        <v>63.925455</v>
      </c>
      <c r="BG22" s="39">
        <f t="shared" si="25"/>
        <v>63.925455</v>
      </c>
      <c r="BH22" s="39">
        <v>6</v>
      </c>
      <c r="BI22" s="39">
        <v>6</v>
      </c>
      <c r="BJ22" s="39"/>
      <c r="BK22" s="39"/>
      <c r="BL22" s="39">
        <f t="shared" si="26"/>
        <v>1109.333115</v>
      </c>
      <c r="BM22" s="39">
        <f t="shared" si="27"/>
        <v>1109.333115</v>
      </c>
      <c r="BN22" s="39">
        <v>109</v>
      </c>
      <c r="BO22" s="39">
        <v>106</v>
      </c>
      <c r="BP22" s="39"/>
      <c r="BQ22" s="39"/>
      <c r="BR22" s="39">
        <f t="shared" si="28"/>
        <v>27607.251375000003</v>
      </c>
      <c r="BS22" s="39">
        <f t="shared" si="29"/>
        <v>27607.251375000003</v>
      </c>
      <c r="BT22" s="39">
        <v>2719</v>
      </c>
      <c r="BU22" s="39">
        <v>2628</v>
      </c>
      <c r="BV22" s="39"/>
      <c r="BW22" s="39"/>
      <c r="BX22" s="39">
        <f t="shared" si="30"/>
        <v>8430.035129999998</v>
      </c>
      <c r="BY22" s="39">
        <f t="shared" si="31"/>
        <v>8430.035129999998</v>
      </c>
      <c r="BZ22" s="39">
        <v>830</v>
      </c>
      <c r="CA22" s="39">
        <v>803</v>
      </c>
      <c r="CB22" s="39"/>
      <c r="CC22" s="39"/>
      <c r="CD22" s="39">
        <f t="shared" si="32"/>
        <v>24050.399835</v>
      </c>
      <c r="CE22" s="39">
        <f t="shared" si="33"/>
        <v>24050.399835</v>
      </c>
      <c r="CF22" s="39">
        <v>2369</v>
      </c>
      <c r="CG22" s="39">
        <v>2289</v>
      </c>
      <c r="CH22" s="39"/>
      <c r="CI22" s="39"/>
      <c r="CJ22" s="39">
        <f t="shared" si="34"/>
        <v>66122.08119</v>
      </c>
      <c r="CK22" s="39">
        <f t="shared" si="35"/>
        <v>66122.08119</v>
      </c>
      <c r="CL22" s="39">
        <v>6513</v>
      </c>
      <c r="CM22" s="39">
        <v>6294</v>
      </c>
      <c r="CN22" s="39"/>
      <c r="CO22" s="39"/>
      <c r="CP22" s="39">
        <f t="shared" si="36"/>
        <v>28745.535389999997</v>
      </c>
      <c r="CQ22" s="39">
        <f t="shared" si="37"/>
        <v>28745.535389999997</v>
      </c>
      <c r="CR22" s="39">
        <v>2831</v>
      </c>
      <c r="CS22" s="39">
        <v>2736</v>
      </c>
      <c r="CT22" s="39"/>
      <c r="CU22" s="39"/>
      <c r="CV22" s="39">
        <f t="shared" si="38"/>
        <v>25094.54673</v>
      </c>
      <c r="CW22" s="39">
        <f t="shared" si="39"/>
        <v>25094.54673</v>
      </c>
      <c r="CX22" s="39">
        <v>2472</v>
      </c>
      <c r="CY22" s="39">
        <v>2389</v>
      </c>
      <c r="CZ22" s="39"/>
      <c r="DA22" s="93"/>
      <c r="DB22" s="93">
        <f t="shared" si="40"/>
        <v>3255.4353149999997</v>
      </c>
      <c r="DC22" s="93">
        <f t="shared" si="41"/>
        <v>3255.4353149999997</v>
      </c>
      <c r="DD22" s="93">
        <v>321</v>
      </c>
      <c r="DE22" s="93">
        <v>310</v>
      </c>
      <c r="DF22" s="39"/>
      <c r="DG22" s="39"/>
      <c r="DH22" s="39">
        <f t="shared" si="42"/>
        <v>93.903645</v>
      </c>
      <c r="DI22" s="39">
        <f t="shared" si="43"/>
        <v>93.903645</v>
      </c>
      <c r="DJ22" s="39">
        <v>9</v>
      </c>
      <c r="DK22" s="39">
        <v>9</v>
      </c>
      <c r="DL22" s="39"/>
      <c r="DM22" s="39"/>
      <c r="DN22" s="39">
        <f t="shared" si="44"/>
        <v>21992.457795000002</v>
      </c>
      <c r="DO22" s="39">
        <f t="shared" si="45"/>
        <v>21992.457795000002</v>
      </c>
      <c r="DP22" s="39">
        <v>2166</v>
      </c>
      <c r="DQ22" s="39">
        <v>2094</v>
      </c>
      <c r="DR22" s="39"/>
      <c r="DS22" s="39"/>
      <c r="DT22" s="39">
        <f t="shared" si="46"/>
        <v>1341.4072650000003</v>
      </c>
      <c r="DU22" s="39">
        <f t="shared" si="47"/>
        <v>1341.4072650000003</v>
      </c>
      <c r="DV22" s="39">
        <v>132</v>
      </c>
      <c r="DW22" s="39">
        <v>128</v>
      </c>
      <c r="DX22" s="39"/>
      <c r="DY22" s="39"/>
      <c r="DZ22" s="39">
        <f t="shared" si="48"/>
        <v>22760.123594999997</v>
      </c>
      <c r="EA22" s="39">
        <f t="shared" si="49"/>
        <v>22760.123594999997</v>
      </c>
      <c r="EB22" s="39">
        <v>2242</v>
      </c>
      <c r="EC22" s="39">
        <v>2167</v>
      </c>
      <c r="ED22" s="39"/>
      <c r="EE22" s="39"/>
      <c r="EF22" s="39">
        <f t="shared" si="50"/>
        <v>2836.90803</v>
      </c>
      <c r="EG22" s="39">
        <f t="shared" si="51"/>
        <v>2836.90803</v>
      </c>
      <c r="EH22" s="39">
        <v>279</v>
      </c>
      <c r="EI22" s="39">
        <v>270</v>
      </c>
      <c r="EJ22" s="39"/>
      <c r="EK22" s="39"/>
      <c r="EL22" s="39">
        <f t="shared" si="52"/>
        <v>1222.708575</v>
      </c>
      <c r="EM22" s="39">
        <f t="shared" si="53"/>
        <v>1222.708575</v>
      </c>
      <c r="EN22" s="39">
        <v>120</v>
      </c>
      <c r="EO22" s="39">
        <v>116</v>
      </c>
      <c r="EP22" s="39"/>
      <c r="EQ22" s="39"/>
      <c r="ER22" s="39"/>
      <c r="ES22" s="39"/>
      <c r="ET22" s="39"/>
      <c r="EU22" s="39"/>
      <c r="EV22" s="39"/>
      <c r="EW22" s="56">
        <f t="shared" si="54"/>
        <v>0</v>
      </c>
      <c r="EX22" s="56">
        <f t="shared" si="55"/>
        <v>406.15311</v>
      </c>
      <c r="EY22" s="39">
        <f t="shared" si="56"/>
        <v>406.15311</v>
      </c>
      <c r="EZ22" s="39">
        <v>40</v>
      </c>
      <c r="FA22" s="39">
        <v>39</v>
      </c>
      <c r="FB22" s="39"/>
      <c r="FC22" s="39">
        <f t="shared" si="57"/>
        <v>0</v>
      </c>
      <c r="FD22" s="39">
        <f t="shared" si="58"/>
        <v>910.785975</v>
      </c>
      <c r="FE22" s="39">
        <f t="shared" si="59"/>
        <v>910.785975</v>
      </c>
      <c r="FF22" s="39">
        <v>90</v>
      </c>
      <c r="FG22" s="39">
        <v>87</v>
      </c>
      <c r="FH22" s="39"/>
      <c r="FI22" s="39"/>
      <c r="FJ22" s="39"/>
      <c r="FK22" s="39"/>
      <c r="FL22" s="39"/>
      <c r="FM22" s="39"/>
      <c r="FN22" s="39"/>
      <c r="FO22" s="39"/>
      <c r="FP22" s="39"/>
      <c r="FQ22" s="39"/>
    </row>
    <row r="23" spans="1:173" ht="12">
      <c r="A23" s="57">
        <v>43191</v>
      </c>
      <c r="C23" s="39">
        <v>4795000</v>
      </c>
      <c r="D23" s="39">
        <v>466950</v>
      </c>
      <c r="E23" s="42">
        <f t="shared" si="0"/>
        <v>5261950</v>
      </c>
      <c r="F23" s="42">
        <f t="shared" si="1"/>
        <v>45991</v>
      </c>
      <c r="G23" s="42">
        <f t="shared" si="2"/>
        <v>44450</v>
      </c>
      <c r="I23" s="42">
        <f t="shared" si="3"/>
        <v>13523.3385</v>
      </c>
      <c r="J23" s="48">
        <f t="shared" si="4"/>
        <v>1316.939085</v>
      </c>
      <c r="K23" s="42">
        <f t="shared" si="5"/>
        <v>14840.277585</v>
      </c>
      <c r="L23" s="42">
        <f t="shared" si="6"/>
        <v>130</v>
      </c>
      <c r="M23" s="42">
        <f t="shared" si="7"/>
        <v>126</v>
      </c>
      <c r="O23" s="39">
        <f t="shared" si="60"/>
        <v>4781476.661499999</v>
      </c>
      <c r="P23" s="39">
        <f t="shared" si="8"/>
        <v>465633.0609149999</v>
      </c>
      <c r="Q23" s="39">
        <f t="shared" si="9"/>
        <v>5247109.722414999</v>
      </c>
      <c r="R23" s="39">
        <f t="shared" si="10"/>
        <v>45861</v>
      </c>
      <c r="S23" s="39">
        <f t="shared" si="11"/>
        <v>44324</v>
      </c>
      <c r="U23" s="56">
        <f>C23*15.05006/100</f>
        <v>721650.377</v>
      </c>
      <c r="V23" s="56">
        <f t="shared" si="12"/>
        <v>70276.25517</v>
      </c>
      <c r="W23" s="39">
        <f t="shared" si="13"/>
        <v>791926.63217</v>
      </c>
      <c r="X23" s="39">
        <v>6912</v>
      </c>
      <c r="Y23" s="39">
        <v>6680</v>
      </c>
      <c r="Z23" s="39"/>
      <c r="AA23" s="39">
        <f>C23*16.92584/100</f>
        <v>811594.0279999999</v>
      </c>
      <c r="AB23" s="39">
        <f t="shared" si="14"/>
        <v>79035.20988000001</v>
      </c>
      <c r="AC23" s="39">
        <f t="shared" si="15"/>
        <v>890629.2378799999</v>
      </c>
      <c r="AD23" s="39">
        <v>7794</v>
      </c>
      <c r="AE23" s="39">
        <v>7533</v>
      </c>
      <c r="AF23" s="39"/>
      <c r="AG23" s="39">
        <f>C23*9.75766/100</f>
        <v>467879.79699999996</v>
      </c>
      <c r="AH23" s="39">
        <f t="shared" si="16"/>
        <v>45563.39336999999</v>
      </c>
      <c r="AI23" s="39">
        <f t="shared" si="17"/>
        <v>513443.19036999997</v>
      </c>
      <c r="AJ23" s="39">
        <v>4488</v>
      </c>
      <c r="AK23" s="39">
        <v>4337</v>
      </c>
      <c r="AL23" s="39"/>
      <c r="AM23" s="39">
        <f>C23*7.48131/100</f>
        <v>358728.8145</v>
      </c>
      <c r="AN23" s="39">
        <f t="shared" si="18"/>
        <v>34933.977045</v>
      </c>
      <c r="AO23" s="39">
        <f t="shared" si="19"/>
        <v>393662.791545</v>
      </c>
      <c r="AP23" s="39">
        <v>3441</v>
      </c>
      <c r="AQ23" s="39">
        <v>3325</v>
      </c>
      <c r="AR23" s="39"/>
      <c r="AS23" s="39">
        <f>C23*0.21612/100</f>
        <v>10362.954</v>
      </c>
      <c r="AT23" s="39">
        <f t="shared" si="20"/>
        <v>1009.17234</v>
      </c>
      <c r="AU23" s="39">
        <f t="shared" si="21"/>
        <v>11372.126339999999</v>
      </c>
      <c r="AV23" s="39">
        <v>99</v>
      </c>
      <c r="AW23" s="39">
        <v>96</v>
      </c>
      <c r="AX23" s="39"/>
      <c r="AY23" s="39">
        <f>C23*0.01906/100</f>
        <v>913.927</v>
      </c>
      <c r="AZ23" s="39">
        <f t="shared" si="22"/>
        <v>89.00067000000001</v>
      </c>
      <c r="BA23" s="39">
        <f t="shared" si="23"/>
        <v>1002.92767</v>
      </c>
      <c r="BB23" s="39">
        <v>9</v>
      </c>
      <c r="BC23" s="39">
        <v>8</v>
      </c>
      <c r="BD23" s="39"/>
      <c r="BE23" s="39">
        <f>C23*0.01369/100</f>
        <v>656.4355</v>
      </c>
      <c r="BF23" s="39">
        <f t="shared" si="24"/>
        <v>63.925455</v>
      </c>
      <c r="BG23" s="39">
        <f t="shared" si="25"/>
        <v>720.3609550000001</v>
      </c>
      <c r="BH23" s="39">
        <v>6</v>
      </c>
      <c r="BI23" s="39">
        <v>6</v>
      </c>
      <c r="BJ23" s="39"/>
      <c r="BK23" s="39">
        <f>C23*0.23757/100</f>
        <v>11391.4815</v>
      </c>
      <c r="BL23" s="39">
        <f t="shared" si="26"/>
        <v>1109.333115</v>
      </c>
      <c r="BM23" s="39">
        <f t="shared" si="27"/>
        <v>12500.814615</v>
      </c>
      <c r="BN23" s="39">
        <v>109</v>
      </c>
      <c r="BO23" s="39">
        <v>106</v>
      </c>
      <c r="BP23" s="39"/>
      <c r="BQ23" s="39">
        <f>C23*5.91225/100</f>
        <v>283492.3875</v>
      </c>
      <c r="BR23" s="39">
        <f t="shared" si="28"/>
        <v>27607.251375000003</v>
      </c>
      <c r="BS23" s="39">
        <f t="shared" si="29"/>
        <v>311099.638875</v>
      </c>
      <c r="BT23" s="39">
        <v>2719</v>
      </c>
      <c r="BU23" s="39">
        <v>2628</v>
      </c>
      <c r="BV23" s="39"/>
      <c r="BW23" s="39">
        <f>C23*1.80534/100</f>
        <v>86566.05299999999</v>
      </c>
      <c r="BX23" s="39">
        <f t="shared" si="30"/>
        <v>8430.035129999998</v>
      </c>
      <c r="BY23" s="39">
        <f t="shared" si="31"/>
        <v>94996.08812999999</v>
      </c>
      <c r="BZ23" s="39">
        <v>830</v>
      </c>
      <c r="CA23" s="39">
        <v>803</v>
      </c>
      <c r="CB23" s="39"/>
      <c r="CC23" s="39">
        <f>C23*5.15053/100</f>
        <v>246967.91349999997</v>
      </c>
      <c r="CD23" s="39">
        <f t="shared" si="32"/>
        <v>24050.399835</v>
      </c>
      <c r="CE23" s="39">
        <f t="shared" si="33"/>
        <v>271018.31333499996</v>
      </c>
      <c r="CF23" s="39">
        <v>2369</v>
      </c>
      <c r="CG23" s="39">
        <v>2289</v>
      </c>
      <c r="CH23" s="39"/>
      <c r="CI23" s="39">
        <f>C23*14.16042/100</f>
        <v>678992.1390000001</v>
      </c>
      <c r="CJ23" s="39">
        <f t="shared" si="34"/>
        <v>66122.08119</v>
      </c>
      <c r="CK23" s="39">
        <f t="shared" si="35"/>
        <v>745114.22019</v>
      </c>
      <c r="CL23" s="39">
        <v>6513</v>
      </c>
      <c r="CM23" s="39">
        <v>6294</v>
      </c>
      <c r="CN23" s="39"/>
      <c r="CO23" s="39">
        <f>C23*6.15602/100</f>
        <v>295181.159</v>
      </c>
      <c r="CP23" s="39">
        <f t="shared" si="36"/>
        <v>28745.535389999997</v>
      </c>
      <c r="CQ23" s="39">
        <f t="shared" si="37"/>
        <v>323926.69438999996</v>
      </c>
      <c r="CR23" s="39">
        <v>2831</v>
      </c>
      <c r="CS23" s="39">
        <v>2736</v>
      </c>
      <c r="CT23" s="39"/>
      <c r="CU23" s="39">
        <f>C23*5.37414/100</f>
        <v>257690.01299999998</v>
      </c>
      <c r="CV23" s="39">
        <f t="shared" si="38"/>
        <v>25094.54673</v>
      </c>
      <c r="CW23" s="39">
        <f t="shared" si="39"/>
        <v>282784.55973</v>
      </c>
      <c r="CX23" s="39">
        <v>2472</v>
      </c>
      <c r="CY23" s="39">
        <v>2389</v>
      </c>
      <c r="CZ23" s="39"/>
      <c r="DA23" s="93">
        <f>C23*0.69717/100</f>
        <v>33429.3015</v>
      </c>
      <c r="DB23" s="93">
        <f t="shared" si="40"/>
        <v>3255.4353149999997</v>
      </c>
      <c r="DC23" s="93">
        <f t="shared" si="41"/>
        <v>36684.736815000004</v>
      </c>
      <c r="DD23" s="93">
        <v>321</v>
      </c>
      <c r="DE23" s="93">
        <v>310</v>
      </c>
      <c r="DF23" s="39"/>
      <c r="DG23" s="39">
        <f>C23*0.02011/100</f>
        <v>964.2745</v>
      </c>
      <c r="DH23" s="39">
        <f t="shared" si="42"/>
        <v>93.903645</v>
      </c>
      <c r="DI23" s="39">
        <f t="shared" si="43"/>
        <v>1058.178145</v>
      </c>
      <c r="DJ23" s="39">
        <v>9</v>
      </c>
      <c r="DK23" s="39">
        <v>9</v>
      </c>
      <c r="DL23" s="39"/>
      <c r="DM23" s="39">
        <f>C23*4.70981/100</f>
        <v>225835.3895</v>
      </c>
      <c r="DN23" s="39">
        <f t="shared" si="44"/>
        <v>21992.457795000002</v>
      </c>
      <c r="DO23" s="39">
        <f t="shared" si="45"/>
        <v>247827.84729499999</v>
      </c>
      <c r="DP23" s="39">
        <v>2166</v>
      </c>
      <c r="DQ23" s="39">
        <v>2094</v>
      </c>
      <c r="DR23" s="39"/>
      <c r="DS23" s="39">
        <f>C23*0.28727/100</f>
        <v>13774.596500000001</v>
      </c>
      <c r="DT23" s="39">
        <f t="shared" si="46"/>
        <v>1341.4072650000003</v>
      </c>
      <c r="DU23" s="39">
        <f t="shared" si="47"/>
        <v>15116.003765000001</v>
      </c>
      <c r="DV23" s="39">
        <v>132</v>
      </c>
      <c r="DW23" s="39">
        <v>128</v>
      </c>
      <c r="DX23" s="39"/>
      <c r="DY23" s="39">
        <f>C23*4.87421/100</f>
        <v>233718.3695</v>
      </c>
      <c r="DZ23" s="39">
        <f t="shared" si="48"/>
        <v>22760.123594999997</v>
      </c>
      <c r="EA23" s="39">
        <f t="shared" si="49"/>
        <v>256478.49309499998</v>
      </c>
      <c r="EB23" s="39">
        <v>2242</v>
      </c>
      <c r="EC23" s="39">
        <v>2167</v>
      </c>
      <c r="ED23" s="39"/>
      <c r="EE23" s="39">
        <f>C23*0.60754/100</f>
        <v>29131.542999999998</v>
      </c>
      <c r="EF23" s="39">
        <f t="shared" si="50"/>
        <v>2836.90803</v>
      </c>
      <c r="EG23" s="39">
        <f t="shared" si="51"/>
        <v>31968.451029999997</v>
      </c>
      <c r="EH23" s="39">
        <v>279</v>
      </c>
      <c r="EI23" s="39">
        <v>270</v>
      </c>
      <c r="EJ23" s="39"/>
      <c r="EK23" s="39">
        <f>C23*0.26185/100</f>
        <v>12555.707500000002</v>
      </c>
      <c r="EL23" s="39">
        <f t="shared" si="52"/>
        <v>1222.708575</v>
      </c>
      <c r="EM23" s="39">
        <f t="shared" si="53"/>
        <v>13778.416075000003</v>
      </c>
      <c r="EN23" s="39">
        <v>120</v>
      </c>
      <c r="EO23" s="39">
        <v>116</v>
      </c>
      <c r="EP23" s="39"/>
      <c r="EQ23" s="39"/>
      <c r="ER23" s="39"/>
      <c r="ES23" s="39"/>
      <c r="ET23" s="39"/>
      <c r="EU23" s="39"/>
      <c r="EV23" s="39"/>
      <c r="EW23" s="56">
        <f t="shared" si="54"/>
        <v>4170.691000000001</v>
      </c>
      <c r="EX23" s="56">
        <f t="shared" si="55"/>
        <v>406.15311</v>
      </c>
      <c r="EY23" s="39">
        <f t="shared" si="56"/>
        <v>4576.844110000001</v>
      </c>
      <c r="EZ23" s="39">
        <v>40</v>
      </c>
      <c r="FA23" s="39">
        <v>39</v>
      </c>
      <c r="FB23" s="39"/>
      <c r="FC23" s="39">
        <f t="shared" si="57"/>
        <v>9352.6475</v>
      </c>
      <c r="FD23" s="39">
        <f t="shared" si="58"/>
        <v>910.785975</v>
      </c>
      <c r="FE23" s="39">
        <f t="shared" si="59"/>
        <v>10263.433475</v>
      </c>
      <c r="FF23" s="39">
        <v>90</v>
      </c>
      <c r="FG23" s="39">
        <v>87</v>
      </c>
      <c r="FH23" s="39"/>
      <c r="FI23" s="39"/>
      <c r="FJ23" s="39"/>
      <c r="FK23" s="39"/>
      <c r="FL23" s="39"/>
      <c r="FM23" s="39"/>
      <c r="FN23" s="39"/>
      <c r="FO23" s="39"/>
      <c r="FP23" s="39"/>
      <c r="FQ23" s="39"/>
    </row>
    <row r="24" spans="1:173" ht="12">
      <c r="A24" s="57">
        <v>43374</v>
      </c>
      <c r="C24" s="39"/>
      <c r="D24" s="39">
        <v>347075</v>
      </c>
      <c r="E24" s="42">
        <f t="shared" si="0"/>
        <v>347075</v>
      </c>
      <c r="F24" s="42">
        <f t="shared" si="1"/>
        <v>45991</v>
      </c>
      <c r="G24" s="42">
        <f t="shared" si="2"/>
        <v>44450</v>
      </c>
      <c r="I24" s="42">
        <f t="shared" si="3"/>
        <v>0</v>
      </c>
      <c r="J24" s="48">
        <f t="shared" si="4"/>
        <v>978.8556225</v>
      </c>
      <c r="K24" s="42">
        <f t="shared" si="5"/>
        <v>978.8556225</v>
      </c>
      <c r="L24" s="42">
        <f t="shared" si="6"/>
        <v>130</v>
      </c>
      <c r="M24" s="42">
        <f t="shared" si="7"/>
        <v>126</v>
      </c>
      <c r="O24" s="39"/>
      <c r="P24" s="39">
        <f t="shared" si="8"/>
        <v>346096.1443775</v>
      </c>
      <c r="Q24" s="39">
        <f t="shared" si="9"/>
        <v>346096.1443775</v>
      </c>
      <c r="R24" s="39">
        <f t="shared" si="10"/>
        <v>45861</v>
      </c>
      <c r="S24" s="39">
        <f t="shared" si="11"/>
        <v>44324</v>
      </c>
      <c r="U24" s="56"/>
      <c r="V24" s="56">
        <f t="shared" si="12"/>
        <v>52234.995745</v>
      </c>
      <c r="W24" s="39">
        <f t="shared" si="13"/>
        <v>52234.995745</v>
      </c>
      <c r="X24" s="39">
        <v>6912</v>
      </c>
      <c r="Y24" s="39">
        <v>6680</v>
      </c>
      <c r="Z24" s="39"/>
      <c r="AA24" s="39"/>
      <c r="AB24" s="39">
        <f t="shared" si="14"/>
        <v>58745.35918000001</v>
      </c>
      <c r="AC24" s="39">
        <f t="shared" si="15"/>
        <v>58745.35918000001</v>
      </c>
      <c r="AD24" s="39">
        <v>7794</v>
      </c>
      <c r="AE24" s="39">
        <v>7533</v>
      </c>
      <c r="AF24" s="39"/>
      <c r="AG24" s="39"/>
      <c r="AH24" s="39">
        <f t="shared" si="16"/>
        <v>33866.398445</v>
      </c>
      <c r="AI24" s="39">
        <f t="shared" si="17"/>
        <v>33866.398445</v>
      </c>
      <c r="AJ24" s="39">
        <v>4488</v>
      </c>
      <c r="AK24" s="39">
        <v>4337</v>
      </c>
      <c r="AL24" s="39"/>
      <c r="AM24" s="39"/>
      <c r="AN24" s="39">
        <f t="shared" si="18"/>
        <v>25965.7566825</v>
      </c>
      <c r="AO24" s="39">
        <f t="shared" si="19"/>
        <v>25965.7566825</v>
      </c>
      <c r="AP24" s="39">
        <v>3441</v>
      </c>
      <c r="AQ24" s="39">
        <v>3325</v>
      </c>
      <c r="AR24" s="39"/>
      <c r="AS24" s="39"/>
      <c r="AT24" s="39">
        <f t="shared" si="20"/>
        <v>750.09849</v>
      </c>
      <c r="AU24" s="39">
        <f t="shared" si="21"/>
        <v>750.09849</v>
      </c>
      <c r="AV24" s="39">
        <v>99</v>
      </c>
      <c r="AW24" s="39">
        <v>96</v>
      </c>
      <c r="AX24" s="39"/>
      <c r="AY24" s="39"/>
      <c r="AZ24" s="39">
        <f t="shared" si="22"/>
        <v>66.152495</v>
      </c>
      <c r="BA24" s="39">
        <f t="shared" si="23"/>
        <v>66.152495</v>
      </c>
      <c r="BB24" s="39">
        <v>9</v>
      </c>
      <c r="BC24" s="39">
        <v>8</v>
      </c>
      <c r="BD24" s="39"/>
      <c r="BE24" s="39"/>
      <c r="BF24" s="39">
        <f t="shared" si="24"/>
        <v>47.514567500000005</v>
      </c>
      <c r="BG24" s="39">
        <f t="shared" si="25"/>
        <v>47.514567500000005</v>
      </c>
      <c r="BH24" s="39">
        <v>6</v>
      </c>
      <c r="BI24" s="39">
        <v>6</v>
      </c>
      <c r="BJ24" s="39"/>
      <c r="BK24" s="39"/>
      <c r="BL24" s="39">
        <f t="shared" si="26"/>
        <v>824.5460774999999</v>
      </c>
      <c r="BM24" s="39">
        <f t="shared" si="27"/>
        <v>824.5460774999999</v>
      </c>
      <c r="BN24" s="39">
        <v>109</v>
      </c>
      <c r="BO24" s="39">
        <v>106</v>
      </c>
      <c r="BP24" s="39"/>
      <c r="BQ24" s="39"/>
      <c r="BR24" s="39">
        <f t="shared" si="28"/>
        <v>20519.941687500002</v>
      </c>
      <c r="BS24" s="39">
        <f t="shared" si="29"/>
        <v>20519.941687500002</v>
      </c>
      <c r="BT24" s="39">
        <v>2719</v>
      </c>
      <c r="BU24" s="39">
        <v>2628</v>
      </c>
      <c r="BV24" s="39"/>
      <c r="BW24" s="39"/>
      <c r="BX24" s="39">
        <f t="shared" si="30"/>
        <v>6265.8838049999995</v>
      </c>
      <c r="BY24" s="39">
        <f t="shared" si="31"/>
        <v>6265.8838049999995</v>
      </c>
      <c r="BZ24" s="39">
        <v>830</v>
      </c>
      <c r="CA24" s="39">
        <v>803</v>
      </c>
      <c r="CB24" s="39"/>
      <c r="CC24" s="39"/>
      <c r="CD24" s="39">
        <f t="shared" si="32"/>
        <v>17876.2019975</v>
      </c>
      <c r="CE24" s="39">
        <f t="shared" si="33"/>
        <v>17876.2019975</v>
      </c>
      <c r="CF24" s="39">
        <v>2369</v>
      </c>
      <c r="CG24" s="39">
        <v>2289</v>
      </c>
      <c r="CH24" s="39"/>
      <c r="CI24" s="39"/>
      <c r="CJ24" s="39">
        <f t="shared" si="34"/>
        <v>49147.277715</v>
      </c>
      <c r="CK24" s="39">
        <f t="shared" si="35"/>
        <v>49147.277715</v>
      </c>
      <c r="CL24" s="39">
        <v>6513</v>
      </c>
      <c r="CM24" s="39">
        <v>6294</v>
      </c>
      <c r="CN24" s="39"/>
      <c r="CO24" s="39"/>
      <c r="CP24" s="39">
        <f t="shared" si="36"/>
        <v>21366.006415</v>
      </c>
      <c r="CQ24" s="39">
        <f t="shared" si="37"/>
        <v>21366.006415</v>
      </c>
      <c r="CR24" s="39">
        <v>2831</v>
      </c>
      <c r="CS24" s="39">
        <v>2736</v>
      </c>
      <c r="CT24" s="39"/>
      <c r="CU24" s="39"/>
      <c r="CV24" s="39">
        <f t="shared" si="38"/>
        <v>18652.296405</v>
      </c>
      <c r="CW24" s="39">
        <f t="shared" si="39"/>
        <v>18652.296405</v>
      </c>
      <c r="CX24" s="39">
        <v>2472</v>
      </c>
      <c r="CY24" s="39">
        <v>2389</v>
      </c>
      <c r="CZ24" s="39"/>
      <c r="DA24" s="93"/>
      <c r="DB24" s="93">
        <f t="shared" si="40"/>
        <v>2419.7027774999997</v>
      </c>
      <c r="DC24" s="93">
        <f t="shared" si="41"/>
        <v>2419.7027774999997</v>
      </c>
      <c r="DD24" s="93">
        <v>321</v>
      </c>
      <c r="DE24" s="93">
        <v>310</v>
      </c>
      <c r="DF24" s="39"/>
      <c r="DG24" s="39"/>
      <c r="DH24" s="39">
        <f t="shared" si="42"/>
        <v>69.7967825</v>
      </c>
      <c r="DI24" s="39">
        <f t="shared" si="43"/>
        <v>69.7967825</v>
      </c>
      <c r="DJ24" s="39">
        <v>9</v>
      </c>
      <c r="DK24" s="39">
        <v>9</v>
      </c>
      <c r="DL24" s="39"/>
      <c r="DM24" s="39"/>
      <c r="DN24" s="39">
        <f t="shared" si="44"/>
        <v>16346.5730575</v>
      </c>
      <c r="DO24" s="39">
        <f t="shared" si="45"/>
        <v>16346.5730575</v>
      </c>
      <c r="DP24" s="39">
        <v>2166</v>
      </c>
      <c r="DQ24" s="39">
        <v>2094</v>
      </c>
      <c r="DR24" s="39"/>
      <c r="DS24" s="39"/>
      <c r="DT24" s="39">
        <f t="shared" si="46"/>
        <v>997.0423525000001</v>
      </c>
      <c r="DU24" s="39">
        <f t="shared" si="47"/>
        <v>997.0423525000001</v>
      </c>
      <c r="DV24" s="39">
        <v>132</v>
      </c>
      <c r="DW24" s="39">
        <v>128</v>
      </c>
      <c r="DX24" s="39"/>
      <c r="DY24" s="39"/>
      <c r="DZ24" s="39">
        <f t="shared" si="48"/>
        <v>16917.164357499998</v>
      </c>
      <c r="EA24" s="39">
        <f t="shared" si="49"/>
        <v>16917.164357499998</v>
      </c>
      <c r="EB24" s="39">
        <v>2242</v>
      </c>
      <c r="EC24" s="39">
        <v>2167</v>
      </c>
      <c r="ED24" s="39"/>
      <c r="EE24" s="39"/>
      <c r="EF24" s="39">
        <f t="shared" si="50"/>
        <v>2108.619455</v>
      </c>
      <c r="EG24" s="39">
        <f t="shared" si="51"/>
        <v>2108.619455</v>
      </c>
      <c r="EH24" s="39">
        <v>279</v>
      </c>
      <c r="EI24" s="39">
        <v>270</v>
      </c>
      <c r="EJ24" s="39"/>
      <c r="EK24" s="39"/>
      <c r="EL24" s="39">
        <f t="shared" si="52"/>
        <v>908.8158875000001</v>
      </c>
      <c r="EM24" s="39">
        <f t="shared" si="53"/>
        <v>908.8158875000001</v>
      </c>
      <c r="EN24" s="39">
        <v>120</v>
      </c>
      <c r="EO24" s="39">
        <v>116</v>
      </c>
      <c r="EP24" s="39"/>
      <c r="EQ24" s="39"/>
      <c r="ER24" s="39"/>
      <c r="ES24" s="39"/>
      <c r="ET24" s="39"/>
      <c r="EU24" s="39"/>
      <c r="EV24" s="39"/>
      <c r="EW24" s="56">
        <f t="shared" si="54"/>
        <v>0</v>
      </c>
      <c r="EX24" s="56">
        <f t="shared" si="55"/>
        <v>301.885835</v>
      </c>
      <c r="EY24" s="39">
        <f t="shared" si="56"/>
        <v>301.885835</v>
      </c>
      <c r="EZ24" s="39">
        <v>40</v>
      </c>
      <c r="FA24" s="39">
        <v>39</v>
      </c>
      <c r="FB24" s="39"/>
      <c r="FC24" s="39">
        <f t="shared" si="57"/>
        <v>0</v>
      </c>
      <c r="FD24" s="39">
        <f t="shared" si="58"/>
        <v>676.9697874999999</v>
      </c>
      <c r="FE24" s="39">
        <f t="shared" si="59"/>
        <v>676.9697874999999</v>
      </c>
      <c r="FF24" s="39">
        <v>90</v>
      </c>
      <c r="FG24" s="39">
        <v>87</v>
      </c>
      <c r="FH24" s="39"/>
      <c r="FI24" s="39"/>
      <c r="FJ24" s="39"/>
      <c r="FK24" s="39"/>
      <c r="FL24" s="39"/>
      <c r="FM24" s="39"/>
      <c r="FN24" s="39"/>
      <c r="FO24" s="39"/>
      <c r="FP24" s="39"/>
      <c r="FQ24" s="39"/>
    </row>
    <row r="25" spans="1:173" s="58" customFormat="1" ht="12">
      <c r="A25" s="57">
        <v>43556</v>
      </c>
      <c r="C25" s="56">
        <v>5035000</v>
      </c>
      <c r="D25" s="56">
        <v>347075</v>
      </c>
      <c r="E25" s="42">
        <f t="shared" si="0"/>
        <v>5382075</v>
      </c>
      <c r="F25" s="42">
        <f t="shared" si="1"/>
        <v>45991</v>
      </c>
      <c r="G25" s="42">
        <f t="shared" si="2"/>
        <v>44450</v>
      </c>
      <c r="H25" s="56"/>
      <c r="I25" s="42">
        <f t="shared" si="3"/>
        <v>14200.210500000001</v>
      </c>
      <c r="J25" s="48">
        <f t="shared" si="4"/>
        <v>978.8556225</v>
      </c>
      <c r="K25" s="42">
        <f t="shared" si="5"/>
        <v>15179.0661225</v>
      </c>
      <c r="L25" s="42">
        <f t="shared" si="6"/>
        <v>130</v>
      </c>
      <c r="M25" s="42">
        <f t="shared" si="7"/>
        <v>126</v>
      </c>
      <c r="O25" s="39">
        <f t="shared" si="60"/>
        <v>5020799.7895</v>
      </c>
      <c r="P25" s="39">
        <f t="shared" si="8"/>
        <v>346096.1443775</v>
      </c>
      <c r="Q25" s="39">
        <f t="shared" si="9"/>
        <v>5366895.9338775</v>
      </c>
      <c r="R25" s="39">
        <f t="shared" si="10"/>
        <v>45861</v>
      </c>
      <c r="S25" s="39">
        <f t="shared" si="11"/>
        <v>44324</v>
      </c>
      <c r="U25" s="56">
        <f>C25*15.05006/100</f>
        <v>757770.521</v>
      </c>
      <c r="V25" s="56">
        <f t="shared" si="12"/>
        <v>52234.995745</v>
      </c>
      <c r="W25" s="39">
        <f t="shared" si="13"/>
        <v>810005.5167449999</v>
      </c>
      <c r="X25" s="39">
        <v>6912</v>
      </c>
      <c r="Y25" s="39">
        <v>6680</v>
      </c>
      <c r="Z25" s="56"/>
      <c r="AA25" s="39">
        <f>C25*16.92584/100</f>
        <v>852216.0440000001</v>
      </c>
      <c r="AB25" s="39">
        <f t="shared" si="14"/>
        <v>58745.35918000001</v>
      </c>
      <c r="AC25" s="39">
        <f t="shared" si="15"/>
        <v>910961.4031800001</v>
      </c>
      <c r="AD25" s="39">
        <v>7794</v>
      </c>
      <c r="AE25" s="39">
        <v>7533</v>
      </c>
      <c r="AF25" s="56"/>
      <c r="AG25" s="39">
        <f>C25*9.75766/100</f>
        <v>491298.1809999999</v>
      </c>
      <c r="AH25" s="39">
        <f t="shared" si="16"/>
        <v>33866.398445</v>
      </c>
      <c r="AI25" s="39">
        <f t="shared" si="17"/>
        <v>525164.5794449999</v>
      </c>
      <c r="AJ25" s="39">
        <v>4488</v>
      </c>
      <c r="AK25" s="39">
        <v>4337</v>
      </c>
      <c r="AL25" s="56"/>
      <c r="AM25" s="39">
        <f>C25*7.48131/100</f>
        <v>376683.9585</v>
      </c>
      <c r="AN25" s="39">
        <f t="shared" si="18"/>
        <v>25965.7566825</v>
      </c>
      <c r="AO25" s="39">
        <f t="shared" si="19"/>
        <v>402649.7151825</v>
      </c>
      <c r="AP25" s="39">
        <v>3441</v>
      </c>
      <c r="AQ25" s="39">
        <v>3325</v>
      </c>
      <c r="AR25" s="56"/>
      <c r="AS25" s="39">
        <f>C25*0.21612/100</f>
        <v>10881.642</v>
      </c>
      <c r="AT25" s="39">
        <f t="shared" si="20"/>
        <v>750.09849</v>
      </c>
      <c r="AU25" s="39">
        <f t="shared" si="21"/>
        <v>11631.74049</v>
      </c>
      <c r="AV25" s="39">
        <v>99</v>
      </c>
      <c r="AW25" s="39">
        <v>96</v>
      </c>
      <c r="AX25" s="56"/>
      <c r="AY25" s="39">
        <f>C25*0.01906/100</f>
        <v>959.671</v>
      </c>
      <c r="AZ25" s="39">
        <f t="shared" si="22"/>
        <v>66.152495</v>
      </c>
      <c r="BA25" s="39">
        <f t="shared" si="23"/>
        <v>1025.823495</v>
      </c>
      <c r="BB25" s="39">
        <v>9</v>
      </c>
      <c r="BC25" s="39">
        <v>8</v>
      </c>
      <c r="BD25" s="56"/>
      <c r="BE25" s="39">
        <f>C25*0.01369/100</f>
        <v>689.2915</v>
      </c>
      <c r="BF25" s="39">
        <f t="shared" si="24"/>
        <v>47.514567500000005</v>
      </c>
      <c r="BG25" s="39">
        <f t="shared" si="25"/>
        <v>736.8060675</v>
      </c>
      <c r="BH25" s="39">
        <v>6</v>
      </c>
      <c r="BI25" s="39">
        <v>6</v>
      </c>
      <c r="BJ25" s="56"/>
      <c r="BK25" s="39">
        <f>C25*0.23757/100</f>
        <v>11961.6495</v>
      </c>
      <c r="BL25" s="39">
        <f t="shared" si="26"/>
        <v>824.5460774999999</v>
      </c>
      <c r="BM25" s="39">
        <f t="shared" si="27"/>
        <v>12786.195577499999</v>
      </c>
      <c r="BN25" s="39">
        <v>109</v>
      </c>
      <c r="BO25" s="39">
        <v>106</v>
      </c>
      <c r="BP25" s="56"/>
      <c r="BQ25" s="39">
        <f>C25*5.91225/100</f>
        <v>297681.7875</v>
      </c>
      <c r="BR25" s="39">
        <f t="shared" si="28"/>
        <v>20519.941687500002</v>
      </c>
      <c r="BS25" s="39">
        <f t="shared" si="29"/>
        <v>318201.72918749996</v>
      </c>
      <c r="BT25" s="39">
        <v>2719</v>
      </c>
      <c r="BU25" s="39">
        <v>2628</v>
      </c>
      <c r="BV25" s="56"/>
      <c r="BW25" s="39">
        <f>C25*1.80534/100</f>
        <v>90898.869</v>
      </c>
      <c r="BX25" s="39">
        <f t="shared" si="30"/>
        <v>6265.8838049999995</v>
      </c>
      <c r="BY25" s="39">
        <f t="shared" si="31"/>
        <v>97164.75280500001</v>
      </c>
      <c r="BZ25" s="39">
        <v>830</v>
      </c>
      <c r="CA25" s="39">
        <v>803</v>
      </c>
      <c r="CB25" s="56"/>
      <c r="CC25" s="39">
        <f>C25*5.15053/100</f>
        <v>259329.18550000002</v>
      </c>
      <c r="CD25" s="39">
        <f t="shared" si="32"/>
        <v>17876.2019975</v>
      </c>
      <c r="CE25" s="39">
        <f t="shared" si="33"/>
        <v>277205.38749750005</v>
      </c>
      <c r="CF25" s="39">
        <v>2369</v>
      </c>
      <c r="CG25" s="39">
        <v>2289</v>
      </c>
      <c r="CH25" s="56"/>
      <c r="CI25" s="39">
        <f>C25*14.16042/100</f>
        <v>712977.147</v>
      </c>
      <c r="CJ25" s="39">
        <f t="shared" si="34"/>
        <v>49147.277715</v>
      </c>
      <c r="CK25" s="39">
        <f t="shared" si="35"/>
        <v>762124.424715</v>
      </c>
      <c r="CL25" s="39">
        <v>6513</v>
      </c>
      <c r="CM25" s="39">
        <v>6294</v>
      </c>
      <c r="CN25" s="39"/>
      <c r="CO25" s="39">
        <f>C25*6.15602/100</f>
        <v>309955.607</v>
      </c>
      <c r="CP25" s="39">
        <f t="shared" si="36"/>
        <v>21366.006415</v>
      </c>
      <c r="CQ25" s="39">
        <f t="shared" si="37"/>
        <v>331321.613415</v>
      </c>
      <c r="CR25" s="39">
        <v>2831</v>
      </c>
      <c r="CS25" s="39">
        <v>2736</v>
      </c>
      <c r="CT25" s="56"/>
      <c r="CU25" s="39">
        <f>C25*5.37414/100</f>
        <v>270587.94899999996</v>
      </c>
      <c r="CV25" s="39">
        <f t="shared" si="38"/>
        <v>18652.296405</v>
      </c>
      <c r="CW25" s="39">
        <f t="shared" si="39"/>
        <v>289240.24540499994</v>
      </c>
      <c r="CX25" s="39">
        <v>2472</v>
      </c>
      <c r="CY25" s="39">
        <v>2389</v>
      </c>
      <c r="CZ25" s="56"/>
      <c r="DA25" s="93">
        <f>C25*0.69717/100</f>
        <v>35102.5095</v>
      </c>
      <c r="DB25" s="93">
        <f t="shared" si="40"/>
        <v>2419.7027774999997</v>
      </c>
      <c r="DC25" s="93">
        <f t="shared" si="41"/>
        <v>37522.2122775</v>
      </c>
      <c r="DD25" s="93">
        <v>321</v>
      </c>
      <c r="DE25" s="93">
        <v>310</v>
      </c>
      <c r="DF25" s="56"/>
      <c r="DG25" s="39">
        <f>C25*0.02011/100</f>
        <v>1012.5384999999999</v>
      </c>
      <c r="DH25" s="39">
        <f t="shared" si="42"/>
        <v>69.7967825</v>
      </c>
      <c r="DI25" s="39">
        <f t="shared" si="43"/>
        <v>1082.3352825</v>
      </c>
      <c r="DJ25" s="39">
        <v>9</v>
      </c>
      <c r="DK25" s="39">
        <v>9</v>
      </c>
      <c r="DL25" s="56"/>
      <c r="DM25" s="39">
        <f>C25*4.70981/100</f>
        <v>237138.9335</v>
      </c>
      <c r="DN25" s="39">
        <f t="shared" si="44"/>
        <v>16346.5730575</v>
      </c>
      <c r="DO25" s="39">
        <f t="shared" si="45"/>
        <v>253485.50655750002</v>
      </c>
      <c r="DP25" s="39">
        <v>2166</v>
      </c>
      <c r="DQ25" s="39">
        <v>2094</v>
      </c>
      <c r="DR25" s="56"/>
      <c r="DS25" s="39">
        <f>C25*0.28727/100</f>
        <v>14464.044500000002</v>
      </c>
      <c r="DT25" s="39">
        <f t="shared" si="46"/>
        <v>997.0423525000001</v>
      </c>
      <c r="DU25" s="39">
        <f t="shared" si="47"/>
        <v>15461.086852500002</v>
      </c>
      <c r="DV25" s="39">
        <v>132</v>
      </c>
      <c r="DW25" s="39">
        <v>128</v>
      </c>
      <c r="DX25" s="56"/>
      <c r="DY25" s="39">
        <f>C25*4.87421/100</f>
        <v>245416.47349999996</v>
      </c>
      <c r="DZ25" s="39">
        <f t="shared" si="48"/>
        <v>16917.164357499998</v>
      </c>
      <c r="EA25" s="39">
        <f t="shared" si="49"/>
        <v>262333.63785749994</v>
      </c>
      <c r="EB25" s="39">
        <v>2242</v>
      </c>
      <c r="EC25" s="39">
        <v>2167</v>
      </c>
      <c r="ED25" s="56"/>
      <c r="EE25" s="39">
        <f>C25*0.60754/100</f>
        <v>30589.639</v>
      </c>
      <c r="EF25" s="39">
        <f t="shared" si="50"/>
        <v>2108.619455</v>
      </c>
      <c r="EG25" s="39">
        <f t="shared" si="51"/>
        <v>32698.258455</v>
      </c>
      <c r="EH25" s="39">
        <v>279</v>
      </c>
      <c r="EI25" s="39">
        <v>270</v>
      </c>
      <c r="EJ25" s="56"/>
      <c r="EK25" s="39">
        <f>C25*0.26185/100</f>
        <v>13184.147500000003</v>
      </c>
      <c r="EL25" s="39">
        <f t="shared" si="52"/>
        <v>908.8158875000001</v>
      </c>
      <c r="EM25" s="39">
        <f t="shared" si="53"/>
        <v>14092.963387500004</v>
      </c>
      <c r="EN25" s="39">
        <v>120</v>
      </c>
      <c r="EO25" s="39">
        <v>116</v>
      </c>
      <c r="EP25" s="56"/>
      <c r="EQ25" s="39"/>
      <c r="ER25" s="39"/>
      <c r="ES25" s="39"/>
      <c r="ET25" s="39"/>
      <c r="EU25" s="39"/>
      <c r="EV25" s="56"/>
      <c r="EW25" s="56">
        <f t="shared" si="54"/>
        <v>4379.443</v>
      </c>
      <c r="EX25" s="56">
        <f t="shared" si="55"/>
        <v>301.885835</v>
      </c>
      <c r="EY25" s="39">
        <f t="shared" si="56"/>
        <v>4681.328835</v>
      </c>
      <c r="EZ25" s="39">
        <v>40</v>
      </c>
      <c r="FA25" s="39">
        <v>39</v>
      </c>
      <c r="FB25" s="56"/>
      <c r="FC25" s="39">
        <f t="shared" si="57"/>
        <v>9820.7675</v>
      </c>
      <c r="FD25" s="39">
        <f t="shared" si="58"/>
        <v>676.9697874999999</v>
      </c>
      <c r="FE25" s="39">
        <f t="shared" si="59"/>
        <v>10497.7372875</v>
      </c>
      <c r="FF25" s="39">
        <v>90</v>
      </c>
      <c r="FG25" s="39">
        <v>87</v>
      </c>
      <c r="FH25" s="56"/>
      <c r="FI25" s="56"/>
      <c r="FJ25" s="56"/>
      <c r="FK25" s="56"/>
      <c r="FL25" s="56"/>
      <c r="FM25" s="56"/>
      <c r="FN25" s="56"/>
      <c r="FO25" s="56"/>
      <c r="FP25" s="56"/>
      <c r="FQ25" s="56"/>
    </row>
    <row r="26" spans="1:173" s="58" customFormat="1" ht="12">
      <c r="A26" s="57">
        <v>43739</v>
      </c>
      <c r="C26" s="56"/>
      <c r="D26" s="56">
        <v>221200</v>
      </c>
      <c r="E26" s="42">
        <f t="shared" si="0"/>
        <v>221200</v>
      </c>
      <c r="F26" s="42">
        <f t="shared" si="1"/>
        <v>45991</v>
      </c>
      <c r="G26" s="42">
        <f t="shared" si="2"/>
        <v>44450</v>
      </c>
      <c r="H26" s="56"/>
      <c r="I26" s="42">
        <f t="shared" si="3"/>
        <v>0</v>
      </c>
      <c r="J26" s="48">
        <f t="shared" si="4"/>
        <v>623.8503599999999</v>
      </c>
      <c r="K26" s="42">
        <f t="shared" si="5"/>
        <v>623.8503599999999</v>
      </c>
      <c r="L26" s="42">
        <f t="shared" si="6"/>
        <v>130</v>
      </c>
      <c r="M26" s="42">
        <f t="shared" si="7"/>
        <v>126</v>
      </c>
      <c r="O26" s="39"/>
      <c r="P26" s="39">
        <f t="shared" si="8"/>
        <v>220576.14964000005</v>
      </c>
      <c r="Q26" s="39">
        <f t="shared" si="9"/>
        <v>220576.14964000005</v>
      </c>
      <c r="R26" s="39">
        <f t="shared" si="10"/>
        <v>45861</v>
      </c>
      <c r="S26" s="39">
        <f t="shared" si="11"/>
        <v>44324</v>
      </c>
      <c r="U26" s="56"/>
      <c r="V26" s="56">
        <f t="shared" si="12"/>
        <v>33290.73272</v>
      </c>
      <c r="W26" s="39">
        <f t="shared" si="13"/>
        <v>33290.73272</v>
      </c>
      <c r="X26" s="39">
        <v>6912</v>
      </c>
      <c r="Y26" s="39">
        <v>6680</v>
      </c>
      <c r="Z26" s="56"/>
      <c r="AA26" s="39"/>
      <c r="AB26" s="39">
        <f t="shared" si="14"/>
        <v>37439.958080000004</v>
      </c>
      <c r="AC26" s="39">
        <f t="shared" si="15"/>
        <v>37439.958080000004</v>
      </c>
      <c r="AD26" s="39">
        <v>7794</v>
      </c>
      <c r="AE26" s="39">
        <v>7533</v>
      </c>
      <c r="AF26" s="56"/>
      <c r="AG26" s="39"/>
      <c r="AH26" s="39">
        <f t="shared" si="16"/>
        <v>21583.94392</v>
      </c>
      <c r="AI26" s="39">
        <f t="shared" si="17"/>
        <v>21583.94392</v>
      </c>
      <c r="AJ26" s="39">
        <v>4488</v>
      </c>
      <c r="AK26" s="39">
        <v>4337</v>
      </c>
      <c r="AL26" s="56"/>
      <c r="AM26" s="39"/>
      <c r="AN26" s="39">
        <f t="shared" si="18"/>
        <v>16548.65772</v>
      </c>
      <c r="AO26" s="39">
        <f t="shared" si="19"/>
        <v>16548.65772</v>
      </c>
      <c r="AP26" s="39">
        <v>3441</v>
      </c>
      <c r="AQ26" s="39">
        <v>3325</v>
      </c>
      <c r="AR26" s="56"/>
      <c r="AS26" s="39"/>
      <c r="AT26" s="39">
        <f t="shared" si="20"/>
        <v>478.05744</v>
      </c>
      <c r="AU26" s="39">
        <f t="shared" si="21"/>
        <v>478.05744</v>
      </c>
      <c r="AV26" s="39">
        <v>99</v>
      </c>
      <c r="AW26" s="39">
        <v>96</v>
      </c>
      <c r="AX26" s="56"/>
      <c r="AY26" s="39"/>
      <c r="AZ26" s="39">
        <f t="shared" si="22"/>
        <v>42.16072</v>
      </c>
      <c r="BA26" s="39">
        <f t="shared" si="23"/>
        <v>42.16072</v>
      </c>
      <c r="BB26" s="39">
        <v>9</v>
      </c>
      <c r="BC26" s="39">
        <v>8</v>
      </c>
      <c r="BD26" s="56"/>
      <c r="BE26" s="39"/>
      <c r="BF26" s="39">
        <f t="shared" si="24"/>
        <v>30.28228</v>
      </c>
      <c r="BG26" s="39">
        <f t="shared" si="25"/>
        <v>30.28228</v>
      </c>
      <c r="BH26" s="39">
        <v>6</v>
      </c>
      <c r="BI26" s="39">
        <v>6</v>
      </c>
      <c r="BJ26" s="56"/>
      <c r="BK26" s="39"/>
      <c r="BL26" s="39">
        <f t="shared" si="26"/>
        <v>525.5048400000001</v>
      </c>
      <c r="BM26" s="39">
        <f t="shared" si="27"/>
        <v>525.5048400000001</v>
      </c>
      <c r="BN26" s="39">
        <v>109</v>
      </c>
      <c r="BO26" s="39">
        <v>106</v>
      </c>
      <c r="BP26" s="56"/>
      <c r="BQ26" s="39"/>
      <c r="BR26" s="39">
        <f t="shared" si="28"/>
        <v>13077.896999999999</v>
      </c>
      <c r="BS26" s="39">
        <f t="shared" si="29"/>
        <v>13077.896999999999</v>
      </c>
      <c r="BT26" s="39">
        <v>2719</v>
      </c>
      <c r="BU26" s="39">
        <v>2628</v>
      </c>
      <c r="BV26" s="56"/>
      <c r="BW26" s="39"/>
      <c r="BX26" s="39">
        <f t="shared" si="30"/>
        <v>3993.41208</v>
      </c>
      <c r="BY26" s="39">
        <f t="shared" si="31"/>
        <v>3993.41208</v>
      </c>
      <c r="BZ26" s="39">
        <v>830</v>
      </c>
      <c r="CA26" s="39">
        <v>803</v>
      </c>
      <c r="CB26" s="56"/>
      <c r="CC26" s="39"/>
      <c r="CD26" s="39">
        <f t="shared" si="32"/>
        <v>11392.97236</v>
      </c>
      <c r="CE26" s="39">
        <f t="shared" si="33"/>
        <v>11392.97236</v>
      </c>
      <c r="CF26" s="39">
        <v>2369</v>
      </c>
      <c r="CG26" s="39">
        <v>2289</v>
      </c>
      <c r="CH26" s="56"/>
      <c r="CI26" s="39"/>
      <c r="CJ26" s="39">
        <f t="shared" si="34"/>
        <v>31322.84904</v>
      </c>
      <c r="CK26" s="39">
        <f t="shared" si="35"/>
        <v>31322.84904</v>
      </c>
      <c r="CL26" s="39">
        <v>6513</v>
      </c>
      <c r="CM26" s="39">
        <v>6294</v>
      </c>
      <c r="CN26" s="39"/>
      <c r="CO26" s="39"/>
      <c r="CP26" s="39">
        <f t="shared" si="36"/>
        <v>13617.116240000001</v>
      </c>
      <c r="CQ26" s="39">
        <f t="shared" si="37"/>
        <v>13617.116240000001</v>
      </c>
      <c r="CR26" s="39">
        <v>2831</v>
      </c>
      <c r="CS26" s="39">
        <v>2736</v>
      </c>
      <c r="CT26" s="56"/>
      <c r="CU26" s="39"/>
      <c r="CV26" s="39">
        <f t="shared" si="38"/>
        <v>11887.597679999999</v>
      </c>
      <c r="CW26" s="39">
        <f t="shared" si="39"/>
        <v>11887.597679999999</v>
      </c>
      <c r="CX26" s="39">
        <v>2472</v>
      </c>
      <c r="CY26" s="39">
        <v>2389</v>
      </c>
      <c r="CZ26" s="56"/>
      <c r="DA26" s="93"/>
      <c r="DB26" s="93">
        <f t="shared" si="40"/>
        <v>1542.1400399999998</v>
      </c>
      <c r="DC26" s="93">
        <f t="shared" si="41"/>
        <v>1542.1400399999998</v>
      </c>
      <c r="DD26" s="93">
        <v>321</v>
      </c>
      <c r="DE26" s="93">
        <v>310</v>
      </c>
      <c r="DF26" s="56"/>
      <c r="DG26" s="39"/>
      <c r="DH26" s="39">
        <f t="shared" si="42"/>
        <v>44.48331999999999</v>
      </c>
      <c r="DI26" s="39">
        <f t="shared" si="43"/>
        <v>44.48331999999999</v>
      </c>
      <c r="DJ26" s="39">
        <v>9</v>
      </c>
      <c r="DK26" s="39">
        <v>9</v>
      </c>
      <c r="DL26" s="56"/>
      <c r="DM26" s="39"/>
      <c r="DN26" s="39">
        <f t="shared" si="44"/>
        <v>10418.09972</v>
      </c>
      <c r="DO26" s="39">
        <f t="shared" si="45"/>
        <v>10418.09972</v>
      </c>
      <c r="DP26" s="39">
        <v>2166</v>
      </c>
      <c r="DQ26" s="39">
        <v>2094</v>
      </c>
      <c r="DR26" s="56"/>
      <c r="DS26" s="39"/>
      <c r="DT26" s="39">
        <f t="shared" si="46"/>
        <v>635.44124</v>
      </c>
      <c r="DU26" s="39">
        <f t="shared" si="47"/>
        <v>635.44124</v>
      </c>
      <c r="DV26" s="39">
        <v>132</v>
      </c>
      <c r="DW26" s="39">
        <v>128</v>
      </c>
      <c r="DX26" s="56"/>
      <c r="DY26" s="39"/>
      <c r="DZ26" s="39">
        <f t="shared" si="48"/>
        <v>10781.752519999998</v>
      </c>
      <c r="EA26" s="39">
        <f t="shared" si="49"/>
        <v>10781.752519999998</v>
      </c>
      <c r="EB26" s="39">
        <v>2242</v>
      </c>
      <c r="EC26" s="39">
        <v>2167</v>
      </c>
      <c r="ED26" s="56"/>
      <c r="EE26" s="39"/>
      <c r="EF26" s="39">
        <f t="shared" si="50"/>
        <v>1343.87848</v>
      </c>
      <c r="EG26" s="39">
        <f t="shared" si="51"/>
        <v>1343.87848</v>
      </c>
      <c r="EH26" s="39">
        <v>279</v>
      </c>
      <c r="EI26" s="39">
        <v>270</v>
      </c>
      <c r="EJ26" s="56"/>
      <c r="EK26" s="39"/>
      <c r="EL26" s="39">
        <f t="shared" si="52"/>
        <v>579.2122</v>
      </c>
      <c r="EM26" s="39">
        <f t="shared" si="53"/>
        <v>579.2122</v>
      </c>
      <c r="EN26" s="39">
        <v>120</v>
      </c>
      <c r="EO26" s="39">
        <v>116</v>
      </c>
      <c r="EP26" s="56"/>
      <c r="EQ26" s="39"/>
      <c r="ER26" s="39"/>
      <c r="ES26" s="39"/>
      <c r="ET26" s="39"/>
      <c r="EU26" s="39"/>
      <c r="EV26" s="56"/>
      <c r="EW26" s="56">
        <f t="shared" si="54"/>
        <v>0</v>
      </c>
      <c r="EX26" s="56">
        <f t="shared" si="55"/>
        <v>192.39976</v>
      </c>
      <c r="EY26" s="39">
        <f t="shared" si="56"/>
        <v>192.39976</v>
      </c>
      <c r="EZ26" s="39">
        <v>40</v>
      </c>
      <c r="FA26" s="39">
        <v>39</v>
      </c>
      <c r="FB26" s="56"/>
      <c r="FC26" s="39">
        <f t="shared" si="57"/>
        <v>0</v>
      </c>
      <c r="FD26" s="39">
        <f t="shared" si="58"/>
        <v>431.45059999999995</v>
      </c>
      <c r="FE26" s="39">
        <f t="shared" si="59"/>
        <v>431.45059999999995</v>
      </c>
      <c r="FF26" s="39">
        <v>90</v>
      </c>
      <c r="FG26" s="39">
        <v>87</v>
      </c>
      <c r="FH26" s="56"/>
      <c r="FI26" s="56"/>
      <c r="FJ26" s="56"/>
      <c r="FK26" s="56"/>
      <c r="FL26" s="56"/>
      <c r="FM26" s="56"/>
      <c r="FN26" s="56"/>
      <c r="FO26" s="56"/>
      <c r="FP26" s="56"/>
      <c r="FQ26" s="56"/>
    </row>
    <row r="27" spans="1:173" s="58" customFormat="1" ht="12">
      <c r="A27" s="57">
        <v>43922</v>
      </c>
      <c r="C27" s="56">
        <v>5285000</v>
      </c>
      <c r="D27" s="56">
        <v>221200</v>
      </c>
      <c r="E27" s="42">
        <f t="shared" si="0"/>
        <v>5506200</v>
      </c>
      <c r="F27" s="42">
        <f t="shared" si="1"/>
        <v>45991</v>
      </c>
      <c r="G27" s="42">
        <f t="shared" si="2"/>
        <v>44450</v>
      </c>
      <c r="H27" s="56"/>
      <c r="I27" s="42">
        <f t="shared" si="3"/>
        <v>14905.2855</v>
      </c>
      <c r="J27" s="48">
        <f t="shared" si="4"/>
        <v>623.8503599999999</v>
      </c>
      <c r="K27" s="42">
        <f t="shared" si="5"/>
        <v>15529.13586</v>
      </c>
      <c r="L27" s="42">
        <f t="shared" si="6"/>
        <v>130</v>
      </c>
      <c r="M27" s="42">
        <f t="shared" si="7"/>
        <v>126</v>
      </c>
      <c r="O27" s="39">
        <f t="shared" si="60"/>
        <v>5270094.714499999</v>
      </c>
      <c r="P27" s="39">
        <f t="shared" si="8"/>
        <v>220576.14964000005</v>
      </c>
      <c r="Q27" s="39">
        <f t="shared" si="9"/>
        <v>5490670.864139999</v>
      </c>
      <c r="R27" s="39">
        <f t="shared" si="10"/>
        <v>45861</v>
      </c>
      <c r="S27" s="39">
        <f t="shared" si="11"/>
        <v>44324</v>
      </c>
      <c r="U27" s="56">
        <f>C27*15.05006/100</f>
        <v>795395.671</v>
      </c>
      <c r="V27" s="56">
        <f t="shared" si="12"/>
        <v>33290.73272</v>
      </c>
      <c r="W27" s="39">
        <f t="shared" si="13"/>
        <v>828686.40372</v>
      </c>
      <c r="X27" s="39">
        <v>6912</v>
      </c>
      <c r="Y27" s="39">
        <v>6680</v>
      </c>
      <c r="Z27" s="56"/>
      <c r="AA27" s="39">
        <f>C27*16.92584/100</f>
        <v>894530.6440000001</v>
      </c>
      <c r="AB27" s="39">
        <f t="shared" si="14"/>
        <v>37439.958080000004</v>
      </c>
      <c r="AC27" s="39">
        <f t="shared" si="15"/>
        <v>931970.6020800001</v>
      </c>
      <c r="AD27" s="39">
        <v>7794</v>
      </c>
      <c r="AE27" s="39">
        <v>7533</v>
      </c>
      <c r="AF27" s="56"/>
      <c r="AG27" s="39">
        <f>C27*9.75766/100</f>
        <v>515692.33099999995</v>
      </c>
      <c r="AH27" s="39">
        <f t="shared" si="16"/>
        <v>21583.94392</v>
      </c>
      <c r="AI27" s="39">
        <f t="shared" si="17"/>
        <v>537276.27492</v>
      </c>
      <c r="AJ27" s="39">
        <v>4488</v>
      </c>
      <c r="AK27" s="39">
        <v>4337</v>
      </c>
      <c r="AL27" s="56"/>
      <c r="AM27" s="39">
        <f>C27*7.48131/100</f>
        <v>395387.23350000003</v>
      </c>
      <c r="AN27" s="39">
        <f t="shared" si="18"/>
        <v>16548.65772</v>
      </c>
      <c r="AO27" s="39">
        <f t="shared" si="19"/>
        <v>411935.89122000005</v>
      </c>
      <c r="AP27" s="39">
        <v>3441</v>
      </c>
      <c r="AQ27" s="39">
        <v>3325</v>
      </c>
      <c r="AR27" s="56"/>
      <c r="AS27" s="39">
        <f>C27*0.21612/100</f>
        <v>11421.942</v>
      </c>
      <c r="AT27" s="39">
        <f t="shared" si="20"/>
        <v>478.05744</v>
      </c>
      <c r="AU27" s="39">
        <f t="shared" si="21"/>
        <v>11899.99944</v>
      </c>
      <c r="AV27" s="39">
        <v>99</v>
      </c>
      <c r="AW27" s="39">
        <v>96</v>
      </c>
      <c r="AX27" s="56"/>
      <c r="AY27" s="39">
        <f>C27*0.01906/100</f>
        <v>1007.321</v>
      </c>
      <c r="AZ27" s="39">
        <f t="shared" si="22"/>
        <v>42.16072</v>
      </c>
      <c r="BA27" s="39">
        <f t="shared" si="23"/>
        <v>1049.48172</v>
      </c>
      <c r="BB27" s="39">
        <v>9</v>
      </c>
      <c r="BC27" s="39">
        <v>8</v>
      </c>
      <c r="BD27" s="56"/>
      <c r="BE27" s="39">
        <f>C27*0.01369/100</f>
        <v>723.5165000000001</v>
      </c>
      <c r="BF27" s="39">
        <f t="shared" si="24"/>
        <v>30.28228</v>
      </c>
      <c r="BG27" s="39">
        <f t="shared" si="25"/>
        <v>753.7987800000001</v>
      </c>
      <c r="BH27" s="39">
        <v>6</v>
      </c>
      <c r="BI27" s="39">
        <v>6</v>
      </c>
      <c r="BJ27" s="56"/>
      <c r="BK27" s="39">
        <f>C27*0.23757/100</f>
        <v>12555.574499999999</v>
      </c>
      <c r="BL27" s="39">
        <f t="shared" si="26"/>
        <v>525.5048400000001</v>
      </c>
      <c r="BM27" s="39">
        <f t="shared" si="27"/>
        <v>13081.079339999998</v>
      </c>
      <c r="BN27" s="39">
        <v>109</v>
      </c>
      <c r="BO27" s="39">
        <v>106</v>
      </c>
      <c r="BP27" s="56"/>
      <c r="BQ27" s="39">
        <f>C27*5.91225/100</f>
        <v>312462.4125</v>
      </c>
      <c r="BR27" s="39">
        <f t="shared" si="28"/>
        <v>13077.896999999999</v>
      </c>
      <c r="BS27" s="39">
        <f t="shared" si="29"/>
        <v>325540.3095</v>
      </c>
      <c r="BT27" s="39">
        <v>2719</v>
      </c>
      <c r="BU27" s="39">
        <v>2628</v>
      </c>
      <c r="BV27" s="56"/>
      <c r="BW27" s="39">
        <f>C27*1.80534/100</f>
        <v>95412.219</v>
      </c>
      <c r="BX27" s="39">
        <f t="shared" si="30"/>
        <v>3993.41208</v>
      </c>
      <c r="BY27" s="39">
        <f t="shared" si="31"/>
        <v>99405.63107999999</v>
      </c>
      <c r="BZ27" s="39">
        <v>830</v>
      </c>
      <c r="CA27" s="39">
        <v>803</v>
      </c>
      <c r="CB27" s="56"/>
      <c r="CC27" s="39">
        <f>C27*5.15053/100</f>
        <v>272205.51050000003</v>
      </c>
      <c r="CD27" s="39">
        <f t="shared" si="32"/>
        <v>11392.97236</v>
      </c>
      <c r="CE27" s="39">
        <f t="shared" si="33"/>
        <v>283598.48286000005</v>
      </c>
      <c r="CF27" s="39">
        <v>2369</v>
      </c>
      <c r="CG27" s="39">
        <v>2289</v>
      </c>
      <c r="CH27" s="56"/>
      <c r="CI27" s="39">
        <f>C27*14.16042/100</f>
        <v>748378.197</v>
      </c>
      <c r="CJ27" s="39">
        <f t="shared" si="34"/>
        <v>31322.84904</v>
      </c>
      <c r="CK27" s="39">
        <f t="shared" si="35"/>
        <v>779701.04604</v>
      </c>
      <c r="CL27" s="39">
        <v>6513</v>
      </c>
      <c r="CM27" s="39">
        <v>6294</v>
      </c>
      <c r="CN27" s="39"/>
      <c r="CO27" s="39">
        <f>C27*6.15602/100</f>
        <v>325345.657</v>
      </c>
      <c r="CP27" s="39">
        <f t="shared" si="36"/>
        <v>13617.116240000001</v>
      </c>
      <c r="CQ27" s="39">
        <f t="shared" si="37"/>
        <v>338962.77324</v>
      </c>
      <c r="CR27" s="39">
        <v>2831</v>
      </c>
      <c r="CS27" s="39">
        <v>2736</v>
      </c>
      <c r="CT27" s="56"/>
      <c r="CU27" s="39">
        <f>C27*5.37414/100</f>
        <v>284023.299</v>
      </c>
      <c r="CV27" s="39">
        <f t="shared" si="38"/>
        <v>11887.597679999999</v>
      </c>
      <c r="CW27" s="39">
        <f t="shared" si="39"/>
        <v>295910.89668</v>
      </c>
      <c r="CX27" s="39">
        <v>2472</v>
      </c>
      <c r="CY27" s="39">
        <v>2389</v>
      </c>
      <c r="CZ27" s="56"/>
      <c r="DA27" s="93">
        <f>C27*0.69717/100</f>
        <v>36845.434499999996</v>
      </c>
      <c r="DB27" s="93">
        <f t="shared" si="40"/>
        <v>1542.1400399999998</v>
      </c>
      <c r="DC27" s="93">
        <f t="shared" si="41"/>
        <v>38387.574539999994</v>
      </c>
      <c r="DD27" s="93">
        <v>321</v>
      </c>
      <c r="DE27" s="93">
        <v>310</v>
      </c>
      <c r="DF27" s="56"/>
      <c r="DG27" s="39">
        <f>C27*0.02011/100</f>
        <v>1062.8135</v>
      </c>
      <c r="DH27" s="39">
        <f t="shared" si="42"/>
        <v>44.48331999999999</v>
      </c>
      <c r="DI27" s="39">
        <f t="shared" si="43"/>
        <v>1107.29682</v>
      </c>
      <c r="DJ27" s="39">
        <v>9</v>
      </c>
      <c r="DK27" s="39">
        <v>9</v>
      </c>
      <c r="DL27" s="56"/>
      <c r="DM27" s="39">
        <f>C27*4.70981/100</f>
        <v>248913.4585</v>
      </c>
      <c r="DN27" s="39">
        <f t="shared" si="44"/>
        <v>10418.09972</v>
      </c>
      <c r="DO27" s="39">
        <f t="shared" si="45"/>
        <v>259331.55822</v>
      </c>
      <c r="DP27" s="39">
        <v>2166</v>
      </c>
      <c r="DQ27" s="39">
        <v>2094</v>
      </c>
      <c r="DR27" s="56"/>
      <c r="DS27" s="39">
        <f>C27*0.28727/100</f>
        <v>15182.219500000001</v>
      </c>
      <c r="DT27" s="39">
        <f t="shared" si="46"/>
        <v>635.44124</v>
      </c>
      <c r="DU27" s="39">
        <f t="shared" si="47"/>
        <v>15817.660740000001</v>
      </c>
      <c r="DV27" s="39">
        <v>132</v>
      </c>
      <c r="DW27" s="39">
        <v>128</v>
      </c>
      <c r="DX27" s="56"/>
      <c r="DY27" s="39">
        <f>C27*4.87421/100</f>
        <v>257601.9985</v>
      </c>
      <c r="DZ27" s="39">
        <f t="shared" si="48"/>
        <v>10781.752519999998</v>
      </c>
      <c r="EA27" s="39">
        <f t="shared" si="49"/>
        <v>268383.75101999997</v>
      </c>
      <c r="EB27" s="39">
        <v>2242</v>
      </c>
      <c r="EC27" s="39">
        <v>2167</v>
      </c>
      <c r="ED27" s="56"/>
      <c r="EE27" s="39">
        <f>C27*0.60754/100</f>
        <v>32108.488999999998</v>
      </c>
      <c r="EF27" s="39">
        <f t="shared" si="50"/>
        <v>1343.87848</v>
      </c>
      <c r="EG27" s="39">
        <f t="shared" si="51"/>
        <v>33452.36748</v>
      </c>
      <c r="EH27" s="39">
        <v>279</v>
      </c>
      <c r="EI27" s="39">
        <v>270</v>
      </c>
      <c r="EJ27" s="56"/>
      <c r="EK27" s="39">
        <f>C27*0.26185/100</f>
        <v>13838.772500000003</v>
      </c>
      <c r="EL27" s="39">
        <f t="shared" si="52"/>
        <v>579.2122</v>
      </c>
      <c r="EM27" s="39">
        <f t="shared" si="53"/>
        <v>14417.984700000003</v>
      </c>
      <c r="EN27" s="39">
        <v>120</v>
      </c>
      <c r="EO27" s="39">
        <v>116</v>
      </c>
      <c r="EP27" s="56"/>
      <c r="EQ27" s="39"/>
      <c r="ER27" s="39"/>
      <c r="ES27" s="39"/>
      <c r="ET27" s="39"/>
      <c r="EU27" s="39"/>
      <c r="EV27" s="56"/>
      <c r="EW27" s="56">
        <f t="shared" si="54"/>
        <v>4596.893</v>
      </c>
      <c r="EX27" s="56">
        <f t="shared" si="55"/>
        <v>192.39976</v>
      </c>
      <c r="EY27" s="39">
        <f t="shared" si="56"/>
        <v>4789.29276</v>
      </c>
      <c r="EZ27" s="39">
        <v>40</v>
      </c>
      <c r="FA27" s="39">
        <v>39</v>
      </c>
      <c r="FB27" s="56"/>
      <c r="FC27" s="39">
        <f t="shared" si="57"/>
        <v>10308.3925</v>
      </c>
      <c r="FD27" s="39">
        <f t="shared" si="58"/>
        <v>431.45059999999995</v>
      </c>
      <c r="FE27" s="39">
        <f t="shared" si="59"/>
        <v>10739.8431</v>
      </c>
      <c r="FF27" s="39">
        <v>90</v>
      </c>
      <c r="FG27" s="39">
        <v>87</v>
      </c>
      <c r="FH27" s="56"/>
      <c r="FI27" s="56"/>
      <c r="FJ27" s="56"/>
      <c r="FK27" s="56"/>
      <c r="FL27" s="56"/>
      <c r="FM27" s="56"/>
      <c r="FN27" s="56"/>
      <c r="FO27" s="56"/>
      <c r="FP27" s="56"/>
      <c r="FQ27" s="56"/>
    </row>
    <row r="28" spans="1:173" s="58" customFormat="1" ht="12">
      <c r="A28" s="57">
        <v>44105</v>
      </c>
      <c r="C28" s="56"/>
      <c r="D28" s="56">
        <v>115500</v>
      </c>
      <c r="E28" s="42">
        <f t="shared" si="0"/>
        <v>115500</v>
      </c>
      <c r="F28" s="42">
        <f t="shared" si="1"/>
        <v>45991</v>
      </c>
      <c r="G28" s="42">
        <f t="shared" si="2"/>
        <v>44450</v>
      </c>
      <c r="H28" s="56"/>
      <c r="I28" s="42">
        <f t="shared" si="3"/>
        <v>0</v>
      </c>
      <c r="J28" s="48">
        <f t="shared" si="4"/>
        <v>325.74465000000004</v>
      </c>
      <c r="K28" s="42">
        <f t="shared" si="5"/>
        <v>325.74465000000004</v>
      </c>
      <c r="L28" s="42">
        <f t="shared" si="6"/>
        <v>130</v>
      </c>
      <c r="M28" s="42">
        <f t="shared" si="7"/>
        <v>126</v>
      </c>
      <c r="O28" s="39"/>
      <c r="P28" s="39">
        <f t="shared" si="8"/>
        <v>115174.25534999999</v>
      </c>
      <c r="Q28" s="39">
        <f t="shared" si="9"/>
        <v>115174.25534999999</v>
      </c>
      <c r="R28" s="39">
        <f t="shared" si="10"/>
        <v>45861</v>
      </c>
      <c r="S28" s="39">
        <f t="shared" si="11"/>
        <v>44324</v>
      </c>
      <c r="U28" s="56"/>
      <c r="V28" s="56">
        <f t="shared" si="12"/>
        <v>17382.8193</v>
      </c>
      <c r="W28" s="39">
        <f t="shared" si="13"/>
        <v>17382.8193</v>
      </c>
      <c r="X28" s="39">
        <v>6912</v>
      </c>
      <c r="Y28" s="39">
        <v>6680</v>
      </c>
      <c r="Z28" s="56"/>
      <c r="AA28" s="39"/>
      <c r="AB28" s="39">
        <f t="shared" si="14"/>
        <v>19549.3452</v>
      </c>
      <c r="AC28" s="39">
        <f t="shared" si="15"/>
        <v>19549.3452</v>
      </c>
      <c r="AD28" s="39">
        <v>7794</v>
      </c>
      <c r="AE28" s="39">
        <v>7533</v>
      </c>
      <c r="AF28" s="56"/>
      <c r="AG28" s="39"/>
      <c r="AH28" s="39">
        <f t="shared" si="16"/>
        <v>11270.0973</v>
      </c>
      <c r="AI28" s="39">
        <f t="shared" si="17"/>
        <v>11270.0973</v>
      </c>
      <c r="AJ28" s="39">
        <v>4488</v>
      </c>
      <c r="AK28" s="39">
        <v>4337</v>
      </c>
      <c r="AL28" s="56"/>
      <c r="AM28" s="39"/>
      <c r="AN28" s="39">
        <f t="shared" si="18"/>
        <v>8640.91305</v>
      </c>
      <c r="AO28" s="39">
        <f t="shared" si="19"/>
        <v>8640.91305</v>
      </c>
      <c r="AP28" s="39">
        <v>3441</v>
      </c>
      <c r="AQ28" s="39">
        <v>3325</v>
      </c>
      <c r="AR28" s="56"/>
      <c r="AS28" s="39"/>
      <c r="AT28" s="39">
        <f t="shared" si="20"/>
        <v>249.61860000000001</v>
      </c>
      <c r="AU28" s="39">
        <f t="shared" si="21"/>
        <v>249.61860000000001</v>
      </c>
      <c r="AV28" s="39">
        <v>99</v>
      </c>
      <c r="AW28" s="39">
        <v>96</v>
      </c>
      <c r="AX28" s="56"/>
      <c r="AY28" s="39"/>
      <c r="AZ28" s="39">
        <f t="shared" si="22"/>
        <v>22.014300000000002</v>
      </c>
      <c r="BA28" s="39">
        <f t="shared" si="23"/>
        <v>22.014300000000002</v>
      </c>
      <c r="BB28" s="39">
        <v>9</v>
      </c>
      <c r="BC28" s="39">
        <v>8</v>
      </c>
      <c r="BD28" s="56"/>
      <c r="BE28" s="39"/>
      <c r="BF28" s="39">
        <f t="shared" si="24"/>
        <v>15.811950000000001</v>
      </c>
      <c r="BG28" s="39">
        <f t="shared" si="25"/>
        <v>15.811950000000001</v>
      </c>
      <c r="BH28" s="39">
        <v>6</v>
      </c>
      <c r="BI28" s="39">
        <v>6</v>
      </c>
      <c r="BJ28" s="56"/>
      <c r="BK28" s="39"/>
      <c r="BL28" s="39">
        <f t="shared" si="26"/>
        <v>274.39335</v>
      </c>
      <c r="BM28" s="39">
        <f t="shared" si="27"/>
        <v>274.39335</v>
      </c>
      <c r="BN28" s="39">
        <v>109</v>
      </c>
      <c r="BO28" s="39">
        <v>106</v>
      </c>
      <c r="BP28" s="56"/>
      <c r="BQ28" s="39"/>
      <c r="BR28" s="39">
        <f t="shared" si="28"/>
        <v>6828.64875</v>
      </c>
      <c r="BS28" s="39">
        <f t="shared" si="29"/>
        <v>6828.64875</v>
      </c>
      <c r="BT28" s="39">
        <v>2719</v>
      </c>
      <c r="BU28" s="39">
        <v>2628</v>
      </c>
      <c r="BV28" s="56"/>
      <c r="BW28" s="39"/>
      <c r="BX28" s="39">
        <f t="shared" si="30"/>
        <v>2085.1677</v>
      </c>
      <c r="BY28" s="39">
        <f t="shared" si="31"/>
        <v>2085.1677</v>
      </c>
      <c r="BZ28" s="39">
        <v>830</v>
      </c>
      <c r="CA28" s="39">
        <v>803</v>
      </c>
      <c r="CB28" s="56"/>
      <c r="CC28" s="39"/>
      <c r="CD28" s="39">
        <f t="shared" si="32"/>
        <v>5948.86215</v>
      </c>
      <c r="CE28" s="39">
        <f t="shared" si="33"/>
        <v>5948.86215</v>
      </c>
      <c r="CF28" s="39">
        <v>2369</v>
      </c>
      <c r="CG28" s="39">
        <v>2289</v>
      </c>
      <c r="CH28" s="56"/>
      <c r="CI28" s="39"/>
      <c r="CJ28" s="39">
        <f t="shared" si="34"/>
        <v>16355.285100000001</v>
      </c>
      <c r="CK28" s="39">
        <f t="shared" si="35"/>
        <v>16355.285100000001</v>
      </c>
      <c r="CL28" s="39">
        <v>6513</v>
      </c>
      <c r="CM28" s="39">
        <v>6294</v>
      </c>
      <c r="CN28" s="39"/>
      <c r="CO28" s="39"/>
      <c r="CP28" s="39">
        <f t="shared" si="36"/>
        <v>7110.2031</v>
      </c>
      <c r="CQ28" s="39">
        <f t="shared" si="37"/>
        <v>7110.2031</v>
      </c>
      <c r="CR28" s="39">
        <v>2831</v>
      </c>
      <c r="CS28" s="39">
        <v>2736</v>
      </c>
      <c r="CT28" s="56"/>
      <c r="CU28" s="39"/>
      <c r="CV28" s="39">
        <f t="shared" si="38"/>
        <v>6207.131699999999</v>
      </c>
      <c r="CW28" s="39">
        <f t="shared" si="39"/>
        <v>6207.131699999999</v>
      </c>
      <c r="CX28" s="39">
        <v>2472</v>
      </c>
      <c r="CY28" s="39">
        <v>2389</v>
      </c>
      <c r="CZ28" s="56"/>
      <c r="DA28" s="93"/>
      <c r="DB28" s="93">
        <f t="shared" si="40"/>
        <v>805.2313499999999</v>
      </c>
      <c r="DC28" s="93">
        <f t="shared" si="41"/>
        <v>805.2313499999999</v>
      </c>
      <c r="DD28" s="93">
        <v>321</v>
      </c>
      <c r="DE28" s="93">
        <v>310</v>
      </c>
      <c r="DF28" s="56"/>
      <c r="DG28" s="39"/>
      <c r="DH28" s="39">
        <f t="shared" si="42"/>
        <v>23.22705</v>
      </c>
      <c r="DI28" s="39">
        <f t="shared" si="43"/>
        <v>23.22705</v>
      </c>
      <c r="DJ28" s="39">
        <v>9</v>
      </c>
      <c r="DK28" s="39">
        <v>9</v>
      </c>
      <c r="DL28" s="56"/>
      <c r="DM28" s="39"/>
      <c r="DN28" s="39">
        <f t="shared" si="44"/>
        <v>5439.830550000001</v>
      </c>
      <c r="DO28" s="39">
        <f t="shared" si="45"/>
        <v>5439.830550000001</v>
      </c>
      <c r="DP28" s="39">
        <v>2166</v>
      </c>
      <c r="DQ28" s="39">
        <v>2094</v>
      </c>
      <c r="DR28" s="56"/>
      <c r="DS28" s="39"/>
      <c r="DT28" s="39">
        <f t="shared" si="46"/>
        <v>331.79685000000006</v>
      </c>
      <c r="DU28" s="39">
        <f t="shared" si="47"/>
        <v>331.79685000000006</v>
      </c>
      <c r="DV28" s="39">
        <v>132</v>
      </c>
      <c r="DW28" s="39">
        <v>128</v>
      </c>
      <c r="DX28" s="56"/>
      <c r="DY28" s="39"/>
      <c r="DZ28" s="39">
        <f t="shared" si="48"/>
        <v>5629.71255</v>
      </c>
      <c r="EA28" s="39">
        <f t="shared" si="49"/>
        <v>5629.71255</v>
      </c>
      <c r="EB28" s="39">
        <v>2242</v>
      </c>
      <c r="EC28" s="39">
        <v>2167</v>
      </c>
      <c r="ED28" s="56"/>
      <c r="EE28" s="39"/>
      <c r="EF28" s="39">
        <f t="shared" si="50"/>
        <v>701.7086999999999</v>
      </c>
      <c r="EG28" s="39">
        <f t="shared" si="51"/>
        <v>701.7086999999999</v>
      </c>
      <c r="EH28" s="39">
        <v>279</v>
      </c>
      <c r="EI28" s="39">
        <v>270</v>
      </c>
      <c r="EJ28" s="56"/>
      <c r="EK28" s="39"/>
      <c r="EL28" s="39">
        <f t="shared" si="52"/>
        <v>302.43675</v>
      </c>
      <c r="EM28" s="39">
        <f t="shared" si="53"/>
        <v>302.43675</v>
      </c>
      <c r="EN28" s="39">
        <v>120</v>
      </c>
      <c r="EO28" s="39">
        <v>116</v>
      </c>
      <c r="EP28" s="56"/>
      <c r="EQ28" s="39"/>
      <c r="ER28" s="39"/>
      <c r="ES28" s="39"/>
      <c r="ET28" s="39"/>
      <c r="EU28" s="39"/>
      <c r="EV28" s="56"/>
      <c r="EW28" s="56">
        <f t="shared" si="54"/>
        <v>0</v>
      </c>
      <c r="EX28" s="56">
        <f t="shared" si="55"/>
        <v>100.4619</v>
      </c>
      <c r="EY28" s="39">
        <f t="shared" si="56"/>
        <v>100.4619</v>
      </c>
      <c r="EZ28" s="39">
        <v>40</v>
      </c>
      <c r="FA28" s="39">
        <v>39</v>
      </c>
      <c r="FB28" s="56"/>
      <c r="FC28" s="39">
        <f t="shared" si="57"/>
        <v>0</v>
      </c>
      <c r="FD28" s="39">
        <f t="shared" si="58"/>
        <v>225.28275000000002</v>
      </c>
      <c r="FE28" s="39">
        <f t="shared" si="59"/>
        <v>225.28275000000002</v>
      </c>
      <c r="FF28" s="39">
        <v>90</v>
      </c>
      <c r="FG28" s="39">
        <v>87</v>
      </c>
      <c r="FH28" s="56"/>
      <c r="FI28" s="56"/>
      <c r="FJ28" s="56"/>
      <c r="FK28" s="56"/>
      <c r="FL28" s="56"/>
      <c r="FM28" s="56"/>
      <c r="FN28" s="56"/>
      <c r="FO28" s="56"/>
      <c r="FP28" s="56"/>
      <c r="FQ28" s="56"/>
    </row>
    <row r="29" spans="1:173" s="58" customFormat="1" ht="12">
      <c r="A29" s="57">
        <v>44287</v>
      </c>
      <c r="C29" s="56">
        <v>5500000</v>
      </c>
      <c r="D29" s="56">
        <v>115500</v>
      </c>
      <c r="E29" s="42">
        <f t="shared" si="0"/>
        <v>5615500</v>
      </c>
      <c r="F29" s="42">
        <f t="shared" si="1"/>
        <v>46013</v>
      </c>
      <c r="G29" s="42">
        <f t="shared" si="2"/>
        <v>44463</v>
      </c>
      <c r="H29" s="56"/>
      <c r="I29" s="42">
        <f t="shared" si="3"/>
        <v>15511.65</v>
      </c>
      <c r="J29" s="48">
        <f t="shared" si="4"/>
        <v>325.74465000000004</v>
      </c>
      <c r="K29" s="42">
        <f t="shared" si="5"/>
        <v>15837.39465</v>
      </c>
      <c r="L29" s="42">
        <f t="shared" si="6"/>
        <v>122</v>
      </c>
      <c r="M29" s="42">
        <f t="shared" si="7"/>
        <v>109</v>
      </c>
      <c r="O29" s="39">
        <f t="shared" si="60"/>
        <v>5484488.349999999</v>
      </c>
      <c r="P29" s="39">
        <f t="shared" si="8"/>
        <v>115174.25534999999</v>
      </c>
      <c r="Q29" s="39">
        <f t="shared" si="9"/>
        <v>5599662.605349999</v>
      </c>
      <c r="R29" s="39">
        <f t="shared" si="10"/>
        <v>45891</v>
      </c>
      <c r="S29" s="39">
        <f t="shared" si="11"/>
        <v>44354</v>
      </c>
      <c r="U29" s="56">
        <f>C29*15.05006/100</f>
        <v>827753.3</v>
      </c>
      <c r="V29" s="56">
        <f t="shared" si="12"/>
        <v>17382.8193</v>
      </c>
      <c r="W29" s="39">
        <f t="shared" si="13"/>
        <v>845136.1193</v>
      </c>
      <c r="X29" s="39">
        <v>6911</v>
      </c>
      <c r="Y29" s="39">
        <v>6689</v>
      </c>
      <c r="Z29" s="56"/>
      <c r="AA29" s="39">
        <f>C29*16.92584/100</f>
        <v>930921.2</v>
      </c>
      <c r="AB29" s="39">
        <f t="shared" si="14"/>
        <v>19549.3452</v>
      </c>
      <c r="AC29" s="39">
        <f t="shared" si="15"/>
        <v>950470.5451999999</v>
      </c>
      <c r="AD29" s="39">
        <v>7803</v>
      </c>
      <c r="AE29" s="39">
        <v>7536</v>
      </c>
      <c r="AF29" s="56"/>
      <c r="AG29" s="39">
        <f>C29*9.75766/100</f>
        <v>536671.3</v>
      </c>
      <c r="AH29" s="39">
        <f t="shared" si="16"/>
        <v>11270.0973</v>
      </c>
      <c r="AI29" s="39">
        <f t="shared" si="17"/>
        <v>547941.3973000001</v>
      </c>
      <c r="AJ29" s="39">
        <v>4481</v>
      </c>
      <c r="AK29" s="39">
        <v>4346</v>
      </c>
      <c r="AL29" s="56"/>
      <c r="AM29" s="39">
        <f>C29*7.48131/100</f>
        <v>411472.05</v>
      </c>
      <c r="AN29" s="39">
        <f t="shared" si="18"/>
        <v>8640.91305</v>
      </c>
      <c r="AO29" s="39">
        <f t="shared" si="19"/>
        <v>420112.96304999996</v>
      </c>
      <c r="AP29" s="39">
        <v>3436</v>
      </c>
      <c r="AQ29" s="39">
        <v>3337</v>
      </c>
      <c r="AR29" s="56"/>
      <c r="AS29" s="39">
        <f>C29*0.21612/100</f>
        <v>11886.6</v>
      </c>
      <c r="AT29" s="39">
        <f t="shared" si="20"/>
        <v>249.61860000000001</v>
      </c>
      <c r="AU29" s="39">
        <f t="shared" si="21"/>
        <v>12136.2186</v>
      </c>
      <c r="AV29" s="39">
        <v>109</v>
      </c>
      <c r="AW29" s="39">
        <v>98</v>
      </c>
      <c r="AX29" s="56"/>
      <c r="AY29" s="39">
        <f>C29*0.01906/100</f>
        <v>1048.3</v>
      </c>
      <c r="AZ29" s="39">
        <f t="shared" si="22"/>
        <v>22.014300000000002</v>
      </c>
      <c r="BA29" s="39">
        <f t="shared" si="23"/>
        <v>1070.3143</v>
      </c>
      <c r="BB29" s="39">
        <v>3</v>
      </c>
      <c r="BC29" s="39">
        <v>20</v>
      </c>
      <c r="BD29" s="56"/>
      <c r="BE29" s="39">
        <f>C29*0.01369/100</f>
        <v>752.95</v>
      </c>
      <c r="BF29" s="39">
        <f t="shared" si="24"/>
        <v>15.811950000000001</v>
      </c>
      <c r="BG29" s="39">
        <f t="shared" si="25"/>
        <v>768.7619500000001</v>
      </c>
      <c r="BH29" s="39">
        <v>14</v>
      </c>
      <c r="BI29" s="39">
        <v>8</v>
      </c>
      <c r="BJ29" s="56"/>
      <c r="BK29" s="39">
        <f>C29*0.23757/100</f>
        <v>13066.35</v>
      </c>
      <c r="BL29" s="39">
        <f t="shared" si="26"/>
        <v>274.39335</v>
      </c>
      <c r="BM29" s="39">
        <f t="shared" si="27"/>
        <v>13340.74335</v>
      </c>
      <c r="BN29" s="39">
        <v>116</v>
      </c>
      <c r="BO29" s="39">
        <v>96</v>
      </c>
      <c r="BP29" s="56"/>
      <c r="BQ29" s="39">
        <f>C29*5.91225/100</f>
        <v>325173.75</v>
      </c>
      <c r="BR29" s="39">
        <f t="shared" si="28"/>
        <v>6828.64875</v>
      </c>
      <c r="BS29" s="39">
        <f t="shared" si="29"/>
        <v>332002.39875</v>
      </c>
      <c r="BT29" s="39">
        <v>2723</v>
      </c>
      <c r="BU29" s="39">
        <v>2629</v>
      </c>
      <c r="BV29" s="56"/>
      <c r="BW29" s="39">
        <f>C29*1.80534/100</f>
        <v>99293.7</v>
      </c>
      <c r="BX29" s="39">
        <f t="shared" si="30"/>
        <v>2085.1677</v>
      </c>
      <c r="BY29" s="39">
        <f t="shared" si="31"/>
        <v>101378.8677</v>
      </c>
      <c r="BZ29" s="39">
        <v>838</v>
      </c>
      <c r="CA29" s="39">
        <v>790</v>
      </c>
      <c r="CB29" s="56"/>
      <c r="CC29" s="39">
        <f>C29*5.15053/100</f>
        <v>283279.15</v>
      </c>
      <c r="CD29" s="39">
        <f t="shared" si="32"/>
        <v>5948.86215</v>
      </c>
      <c r="CE29" s="39">
        <f t="shared" si="33"/>
        <v>289228.01215</v>
      </c>
      <c r="CF29" s="39">
        <v>2364</v>
      </c>
      <c r="CG29" s="39">
        <v>2300</v>
      </c>
      <c r="CH29" s="56"/>
      <c r="CI29" s="39">
        <f>C29*14.16042/100</f>
        <v>778823.1</v>
      </c>
      <c r="CJ29" s="39">
        <f t="shared" si="34"/>
        <v>16355.285100000001</v>
      </c>
      <c r="CK29" s="39">
        <f t="shared" si="35"/>
        <v>795178.3851</v>
      </c>
      <c r="CL29" s="39">
        <v>6504</v>
      </c>
      <c r="CM29" s="39">
        <v>6304</v>
      </c>
      <c r="CN29" s="39"/>
      <c r="CO29" s="39">
        <f>C29*6.15602/100</f>
        <v>338581.1</v>
      </c>
      <c r="CP29" s="39">
        <f t="shared" si="36"/>
        <v>7110.2031</v>
      </c>
      <c r="CQ29" s="39">
        <f t="shared" si="37"/>
        <v>345691.30309999996</v>
      </c>
      <c r="CR29" s="39">
        <v>2838</v>
      </c>
      <c r="CS29" s="39">
        <v>2746</v>
      </c>
      <c r="CT29" s="56"/>
      <c r="CU29" s="39">
        <f>C29*5.37414/100</f>
        <v>295577.7</v>
      </c>
      <c r="CV29" s="39">
        <f t="shared" si="38"/>
        <v>6207.131699999999</v>
      </c>
      <c r="CW29" s="39">
        <f t="shared" si="39"/>
        <v>301784.83170000004</v>
      </c>
      <c r="CX29" s="39">
        <v>2464</v>
      </c>
      <c r="CY29" s="39">
        <v>2385</v>
      </c>
      <c r="CZ29" s="56"/>
      <c r="DA29" s="93">
        <f>C29*0.69717/100</f>
        <v>38344.35</v>
      </c>
      <c r="DB29" s="93">
        <f t="shared" si="40"/>
        <v>805.2313499999999</v>
      </c>
      <c r="DC29" s="93">
        <f t="shared" si="41"/>
        <v>39149.58135</v>
      </c>
      <c r="DD29" s="93">
        <v>312</v>
      </c>
      <c r="DE29" s="93">
        <v>307</v>
      </c>
      <c r="DF29" s="56"/>
      <c r="DG29" s="39">
        <f>C29*0.02011/100</f>
        <v>1106.05</v>
      </c>
      <c r="DH29" s="39">
        <f t="shared" si="42"/>
        <v>23.22705</v>
      </c>
      <c r="DI29" s="39">
        <f t="shared" si="43"/>
        <v>1129.27705</v>
      </c>
      <c r="DJ29" s="39">
        <v>15</v>
      </c>
      <c r="DK29" s="39">
        <v>7</v>
      </c>
      <c r="DL29" s="56"/>
      <c r="DM29" s="39">
        <f>C29*4.70981/100</f>
        <v>259039.55</v>
      </c>
      <c r="DN29" s="39">
        <f t="shared" si="44"/>
        <v>5439.830550000001</v>
      </c>
      <c r="DO29" s="39">
        <f t="shared" si="45"/>
        <v>264479.38055</v>
      </c>
      <c r="DP29" s="39">
        <v>2169</v>
      </c>
      <c r="DQ29" s="39">
        <v>2082</v>
      </c>
      <c r="DR29" s="56"/>
      <c r="DS29" s="39">
        <f>C29*0.28727/100</f>
        <v>15799.850000000002</v>
      </c>
      <c r="DT29" s="39">
        <f t="shared" si="46"/>
        <v>331.79685000000006</v>
      </c>
      <c r="DU29" s="39">
        <f t="shared" si="47"/>
        <v>16131.646850000003</v>
      </c>
      <c r="DV29" s="39">
        <v>135</v>
      </c>
      <c r="DW29" s="39">
        <v>120</v>
      </c>
      <c r="DX29" s="56"/>
      <c r="DY29" s="39">
        <f>C29*4.87421/100</f>
        <v>268081.55</v>
      </c>
      <c r="DZ29" s="39">
        <f t="shared" si="48"/>
        <v>5629.71255</v>
      </c>
      <c r="EA29" s="39">
        <f t="shared" si="49"/>
        <v>273711.26255</v>
      </c>
      <c r="EB29" s="39">
        <v>2235</v>
      </c>
      <c r="EC29" s="39">
        <v>2157</v>
      </c>
      <c r="ED29" s="56"/>
      <c r="EE29" s="39">
        <f>C29*0.60754/100</f>
        <v>33414.7</v>
      </c>
      <c r="EF29" s="39">
        <f t="shared" si="50"/>
        <v>701.7086999999999</v>
      </c>
      <c r="EG29" s="39">
        <f t="shared" si="51"/>
        <v>34116.4087</v>
      </c>
      <c r="EH29" s="39">
        <v>290</v>
      </c>
      <c r="EI29" s="39">
        <v>271</v>
      </c>
      <c r="EJ29" s="56"/>
      <c r="EK29" s="39">
        <f>C29*0.26185/100</f>
        <v>14401.750000000002</v>
      </c>
      <c r="EL29" s="39">
        <f t="shared" si="52"/>
        <v>302.43675</v>
      </c>
      <c r="EM29" s="39">
        <f t="shared" si="53"/>
        <v>14704.186750000003</v>
      </c>
      <c r="EN29" s="39">
        <v>131</v>
      </c>
      <c r="EO29" s="39">
        <v>126</v>
      </c>
      <c r="EP29" s="56"/>
      <c r="EQ29" s="39"/>
      <c r="ER29" s="39"/>
      <c r="ES29" s="39"/>
      <c r="ET29" s="39"/>
      <c r="EU29" s="39"/>
      <c r="EV29" s="56"/>
      <c r="EW29" s="56">
        <f t="shared" si="54"/>
        <v>4783.9</v>
      </c>
      <c r="EX29" s="56">
        <f t="shared" si="55"/>
        <v>100.4619</v>
      </c>
      <c r="EY29" s="39">
        <f t="shared" si="56"/>
        <v>4884.3619</v>
      </c>
      <c r="EZ29" s="39">
        <v>40</v>
      </c>
      <c r="FA29" s="39">
        <v>30</v>
      </c>
      <c r="FB29" s="56"/>
      <c r="FC29" s="39">
        <f t="shared" si="57"/>
        <v>10727.75</v>
      </c>
      <c r="FD29" s="39">
        <f t="shared" si="58"/>
        <v>225.28275000000002</v>
      </c>
      <c r="FE29" s="39">
        <f t="shared" si="59"/>
        <v>10953.03275</v>
      </c>
      <c r="FF29" s="39">
        <v>82</v>
      </c>
      <c r="FG29" s="39">
        <v>79</v>
      </c>
      <c r="FH29" s="56"/>
      <c r="FI29" s="56"/>
      <c r="FJ29" s="56"/>
      <c r="FK29" s="56"/>
      <c r="FL29" s="56"/>
      <c r="FM29" s="56"/>
      <c r="FN29" s="56"/>
      <c r="FO29" s="56"/>
      <c r="FP29" s="56"/>
      <c r="FQ29" s="56"/>
    </row>
    <row r="30" spans="3:173" ht="12">
      <c r="C30" s="48"/>
      <c r="D30" s="48"/>
      <c r="E30" s="48"/>
      <c r="F30" s="48"/>
      <c r="G30" s="48"/>
      <c r="I30" s="48"/>
      <c r="J30" s="48"/>
      <c r="K30" s="48"/>
      <c r="L30" s="48"/>
      <c r="M30" s="48"/>
      <c r="U30" s="56"/>
      <c r="V30" s="56"/>
      <c r="W30" s="56"/>
      <c r="X30" s="56"/>
      <c r="Y30" s="56"/>
      <c r="Z30" s="39"/>
      <c r="AA30" s="39"/>
      <c r="AB30" s="39"/>
      <c r="AC30" s="39"/>
      <c r="AD30" s="39"/>
      <c r="AE30" s="39"/>
      <c r="AF30" s="39"/>
      <c r="AG30" s="56"/>
      <c r="AH30" s="56"/>
      <c r="AI30" s="56"/>
      <c r="AJ30" s="56"/>
      <c r="AK30" s="56"/>
      <c r="AL30" s="39"/>
      <c r="AM30" s="56"/>
      <c r="AN30" s="56"/>
      <c r="AO30" s="56"/>
      <c r="AP30" s="56"/>
      <c r="AQ30" s="56"/>
      <c r="AR30" s="39"/>
      <c r="AS30" s="56"/>
      <c r="AT30" s="56"/>
      <c r="AU30" s="56"/>
      <c r="AV30" s="56"/>
      <c r="AW30" s="56"/>
      <c r="AX30" s="39"/>
      <c r="AY30" s="56"/>
      <c r="AZ30" s="56"/>
      <c r="BA30" s="56"/>
      <c r="BB30" s="56"/>
      <c r="BC30" s="56"/>
      <c r="BD30" s="39"/>
      <c r="BE30" s="56"/>
      <c r="BF30" s="56"/>
      <c r="BG30" s="56"/>
      <c r="BH30" s="56"/>
      <c r="BI30" s="56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56"/>
      <c r="CV30" s="56"/>
      <c r="CW30" s="56"/>
      <c r="CX30" s="56"/>
      <c r="CY30" s="56"/>
      <c r="CZ30" s="56"/>
      <c r="DA30" s="94"/>
      <c r="DB30" s="94"/>
      <c r="DC30" s="94"/>
      <c r="DD30" s="94"/>
      <c r="DE30" s="94"/>
      <c r="DF30" s="56"/>
      <c r="DG30" s="56"/>
      <c r="DH30" s="56"/>
      <c r="DI30" s="56"/>
      <c r="DJ30" s="56"/>
      <c r="DK30" s="56"/>
      <c r="DL30" s="39"/>
      <c r="DM30" s="39"/>
      <c r="DN30" s="39"/>
      <c r="DO30" s="39"/>
      <c r="DP30" s="39" t="s">
        <v>88</v>
      </c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56"/>
      <c r="ER30" s="56"/>
      <c r="ES30" s="56"/>
      <c r="ET30" s="56"/>
      <c r="EU30" s="56"/>
      <c r="EV30" s="39"/>
      <c r="EW30" s="56"/>
      <c r="EX30" s="56"/>
      <c r="EY30" s="56"/>
      <c r="EZ30" s="56"/>
      <c r="FA30" s="56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</row>
    <row r="31" spans="1:173" ht="12.75" thickBot="1">
      <c r="A31" s="37" t="s">
        <v>4</v>
      </c>
      <c r="C31" s="55">
        <f>SUM(C8:C29)</f>
        <v>25180000</v>
      </c>
      <c r="D31" s="55">
        <f>SUM(D8:D29)</f>
        <v>10436500</v>
      </c>
      <c r="E31" s="55">
        <f>SUM(E8:E29)</f>
        <v>35616500</v>
      </c>
      <c r="F31" s="55">
        <f>SUM(F8:F29)</f>
        <v>1011824</v>
      </c>
      <c r="G31" s="55">
        <f>SUM(G8:G29)</f>
        <v>977913</v>
      </c>
      <c r="I31" s="55">
        <f>SUM(I8:I29)</f>
        <v>71015.154</v>
      </c>
      <c r="J31" s="55">
        <f>SUM(J8:J29)</f>
        <v>29434.060949999992</v>
      </c>
      <c r="K31" s="55">
        <f>SUM(K8:K29)</f>
        <v>100449.21494999998</v>
      </c>
      <c r="L31" s="55">
        <f>SUM(L8:L29)</f>
        <v>2852</v>
      </c>
      <c r="M31" s="55">
        <f>SUM(M8:M29)</f>
        <v>2755</v>
      </c>
      <c r="O31" s="55">
        <f>SUM(O8:O29)</f>
        <v>25108984.845999997</v>
      </c>
      <c r="P31" s="55">
        <f>SUM(P8:P29)</f>
        <v>10407065.939049998</v>
      </c>
      <c r="Q31" s="55">
        <f>SUM(Q8:Q29)</f>
        <v>35516050.785050005</v>
      </c>
      <c r="R31" s="55">
        <f>SUM(R8:R29)</f>
        <v>1008972</v>
      </c>
      <c r="S31" s="55">
        <f>SUM(S8:S29)</f>
        <v>975158</v>
      </c>
      <c r="U31" s="55">
        <f>SUM(U8:U29)</f>
        <v>3789605.108</v>
      </c>
      <c r="V31" s="55">
        <f>SUM(V8:V29)</f>
        <v>1570699.5118999998</v>
      </c>
      <c r="W31" s="55">
        <v>17251907</v>
      </c>
      <c r="X31" s="55">
        <f>SUM(X8:X30)</f>
        <v>152063</v>
      </c>
      <c r="Y31" s="55">
        <f>SUM(Y8:Y30)</f>
        <v>146969</v>
      </c>
      <c r="Z31" s="39"/>
      <c r="AA31" s="55">
        <f>SUM(AA8:AA29)</f>
        <v>4261926.512</v>
      </c>
      <c r="AB31" s="55">
        <f>SUM(AB8:AB29)</f>
        <v>1766465.2915999999</v>
      </c>
      <c r="AC31" s="55">
        <f>SUM(AC8:AC29)</f>
        <v>6028391.8036</v>
      </c>
      <c r="AD31" s="55">
        <f>SUM(AD8:AD29)</f>
        <v>171477</v>
      </c>
      <c r="AE31" s="55">
        <f>SUM(AE8:AE29)</f>
        <v>165729</v>
      </c>
      <c r="AF31" s="39"/>
      <c r="AG31" s="55">
        <f>SUM(AG8:AG29)</f>
        <v>2456978.7879999997</v>
      </c>
      <c r="AH31" s="55">
        <f>SUM(AH8:AH29)</f>
        <v>1018358.1858999997</v>
      </c>
      <c r="AI31" s="55">
        <f>SUM(AI8:AI29)</f>
        <v>3475336.9738999996</v>
      </c>
      <c r="AJ31" s="55">
        <f>SUM(AJ8:AJ29)</f>
        <v>98729</v>
      </c>
      <c r="AK31" s="55">
        <f>SUM(AK8:AK29)</f>
        <v>95423</v>
      </c>
      <c r="AL31" s="39"/>
      <c r="AM31" s="55">
        <f>SUM(AM8:AM29)</f>
        <v>1883793.858</v>
      </c>
      <c r="AN31" s="55">
        <f>SUM(AN8:AN29)</f>
        <v>780786.9181499998</v>
      </c>
      <c r="AO31" s="55">
        <f>SUM(AO8:AO29)</f>
        <v>2664580.77615</v>
      </c>
      <c r="AP31" s="55">
        <f>SUM(AP8:AP29)</f>
        <v>75697</v>
      </c>
      <c r="AQ31" s="55">
        <f>SUM(AQ8:AQ29)</f>
        <v>73162</v>
      </c>
      <c r="AR31" s="39"/>
      <c r="AS31" s="55">
        <f>SUM(AS8:AS29)</f>
        <v>54419.015999999996</v>
      </c>
      <c r="AT31" s="55">
        <f>SUM(AT8:AT29)</f>
        <v>22555.363800000006</v>
      </c>
      <c r="AU31" s="55">
        <f>SUM(AU8:AU29)</f>
        <v>76974.3798</v>
      </c>
      <c r="AV31" s="55">
        <f>SUM(AV8:AV29)</f>
        <v>2188</v>
      </c>
      <c r="AW31" s="55">
        <f>SUM(AW8:AW29)</f>
        <v>2114</v>
      </c>
      <c r="AX31" s="39"/>
      <c r="AY31" s="55">
        <f>SUM(AY8:AY29)</f>
        <v>4799.308</v>
      </c>
      <c r="AZ31" s="55">
        <f>SUM(AZ8:AZ29)</f>
        <v>1989.1969000000004</v>
      </c>
      <c r="BA31" s="55">
        <f>SUM(BA8:BA29)</f>
        <v>6788.504899999999</v>
      </c>
      <c r="BB31" s="55">
        <f>SUM(BB8:BB29)</f>
        <v>192</v>
      </c>
      <c r="BC31" s="55">
        <f>SUM(BC8:BC29)</f>
        <v>188</v>
      </c>
      <c r="BD31" s="39"/>
      <c r="BE31" s="55">
        <f>SUM(BE8:BE29)</f>
        <v>3447.142</v>
      </c>
      <c r="BF31" s="55">
        <f>SUM(BF8:BF29)</f>
        <v>1428.7568500000007</v>
      </c>
      <c r="BG31" s="55">
        <f>SUM(BG8:BG29)</f>
        <v>4875.8988500000005</v>
      </c>
      <c r="BH31" s="55">
        <f>SUM(BH8:BH29)</f>
        <v>140</v>
      </c>
      <c r="BI31" s="55">
        <f>SUM(BI8:BI29)</f>
        <v>134</v>
      </c>
      <c r="BJ31" s="39"/>
      <c r="BK31" s="55">
        <f>SUM(BK8:BK29)</f>
        <v>59820.126</v>
      </c>
      <c r="BL31" s="55">
        <f>SUM(BL8:BL29)</f>
        <v>24793.99305</v>
      </c>
      <c r="BM31" s="55">
        <f>SUM(BM8:BM29)</f>
        <v>84614.11905000001</v>
      </c>
      <c r="BN31" s="55">
        <f>SUM(BN8:BN29)</f>
        <v>2405</v>
      </c>
      <c r="BO31" s="55">
        <f>SUM(BO8:BO29)</f>
        <v>2322</v>
      </c>
      <c r="BP31" s="39"/>
      <c r="BQ31" s="55">
        <f>SUM(BQ8:BQ29)</f>
        <v>1488704.55</v>
      </c>
      <c r="BR31" s="55">
        <f>SUM(BR8:BR29)</f>
        <v>617031.9712500003</v>
      </c>
      <c r="BS31" s="55">
        <f>SUM(BS8:BS29)</f>
        <v>2105736.52125</v>
      </c>
      <c r="BT31" s="55">
        <f>SUM(BT8:BT29)</f>
        <v>59822</v>
      </c>
      <c r="BU31" s="55">
        <f>SUM(BU8:BU29)</f>
        <v>57817</v>
      </c>
      <c r="BV31" s="39"/>
      <c r="BW31" s="55">
        <f>SUM(BW8:BW29)</f>
        <v>454584.61199999996</v>
      </c>
      <c r="BX31" s="55">
        <f>SUM(BX8:BX29)</f>
        <v>188414.3091</v>
      </c>
      <c r="BY31" s="55">
        <f>SUM(BY8:BY29)</f>
        <v>642998.9210999999</v>
      </c>
      <c r="BZ31" s="55">
        <f>SUM(BZ8:BZ29)</f>
        <v>18268</v>
      </c>
      <c r="CA31" s="55">
        <f>SUM(CA8:CA29)</f>
        <v>17653</v>
      </c>
      <c r="CB31" s="39"/>
      <c r="CC31" s="55">
        <f>SUM(CC8:CC29)</f>
        <v>1296903.454</v>
      </c>
      <c r="CD31" s="55">
        <f>SUM(CD8:CD29)</f>
        <v>537535.0634499998</v>
      </c>
      <c r="CE31" s="55">
        <f>SUM(CE8:CE29)</f>
        <v>1834438.5174500002</v>
      </c>
      <c r="CF31" s="55">
        <f>SUM(CF8:CF29)</f>
        <v>52113</v>
      </c>
      <c r="CG31" s="55">
        <f>SUM(CG8:CG29)</f>
        <v>50369</v>
      </c>
      <c r="CH31" s="39"/>
      <c r="CI31" s="55">
        <f>SUM(CI8:CI29)</f>
        <v>3565593.7560000005</v>
      </c>
      <c r="CJ31" s="55">
        <f>SUM(CJ8:CJ29)</f>
        <v>1477852.2333000004</v>
      </c>
      <c r="CK31" s="55">
        <f>SUM(CK8:CK29)</f>
        <v>5043445.9893</v>
      </c>
      <c r="CL31" s="55">
        <f>SUM(CL8:CL29)</f>
        <v>143277</v>
      </c>
      <c r="CM31" s="55">
        <f>SUM(CM8:CM29)</f>
        <v>138478</v>
      </c>
      <c r="CN31" s="48"/>
      <c r="CO31" s="55">
        <f>SUM(CO8:CO29)</f>
        <v>1550085.8360000001</v>
      </c>
      <c r="CP31" s="55">
        <f>SUM(CP8:CP29)</f>
        <v>642473.0273</v>
      </c>
      <c r="CQ31" s="55">
        <f>SUM(CQ8:CQ29)</f>
        <v>2192558.8633</v>
      </c>
      <c r="CR31" s="55">
        <f>SUM(CR8:CR29)</f>
        <v>62289</v>
      </c>
      <c r="CS31" s="55">
        <f>SUM(CS8:CS29)</f>
        <v>60202</v>
      </c>
      <c r="CT31" s="39"/>
      <c r="CU31" s="55">
        <f>SUM(CU8:CU29)</f>
        <v>1353208.4519999998</v>
      </c>
      <c r="CV31" s="55">
        <f>SUM(CV8:CV29)</f>
        <v>560872.1211000002</v>
      </c>
      <c r="CW31" s="55">
        <f>SUM(CW8:CW29)</f>
        <v>1914080.5731</v>
      </c>
      <c r="CX31" s="55">
        <f>SUM(CX8:CX29)</f>
        <v>54376</v>
      </c>
      <c r="CY31" s="55">
        <f>SUM(CY8:CY29)</f>
        <v>52554</v>
      </c>
      <c r="CZ31" s="48"/>
      <c r="DA31" s="95">
        <f>SUM(DA8:DA29)</f>
        <v>175547.40600000002</v>
      </c>
      <c r="DB31" s="95">
        <f>SUM(DB8:DB29)</f>
        <v>72760.14705</v>
      </c>
      <c r="DC31" s="95">
        <f>SUM(DC8:DC29)</f>
        <v>248307.55305</v>
      </c>
      <c r="DD31" s="95">
        <f>SUM(DD8:DD29)</f>
        <v>7053</v>
      </c>
      <c r="DE31" s="95">
        <f>SUM(DE8:DE29)</f>
        <v>6817</v>
      </c>
      <c r="DF31" s="48"/>
      <c r="DG31" s="55">
        <f>SUM(DG8:DG29)</f>
        <v>5063.698</v>
      </c>
      <c r="DH31" s="55">
        <f>SUM(DH8:DH29)</f>
        <v>2098.78015</v>
      </c>
      <c r="DI31" s="55">
        <f>SUM(DI8:DI29)</f>
        <v>7162.478150000001</v>
      </c>
      <c r="DJ31" s="55">
        <f>SUM(DJ8:DJ29)</f>
        <v>204</v>
      </c>
      <c r="DK31" s="55">
        <f>SUM(DK8:DK29)</f>
        <v>196</v>
      </c>
      <c r="DL31" s="39"/>
      <c r="DM31" s="55">
        <f>SUM(DM8:DM29)</f>
        <v>1185930.158</v>
      </c>
      <c r="DN31" s="55">
        <f>SUM(DN8:DN29)</f>
        <v>491539.32064999983</v>
      </c>
      <c r="DO31" s="55">
        <f>SUM(DO8:DO29)</f>
        <v>1677469.47865</v>
      </c>
      <c r="DP31" s="55">
        <f>SUM(DP8:DP29)</f>
        <v>47655</v>
      </c>
      <c r="DQ31" s="55">
        <f>SUM(DQ8:DQ29)</f>
        <v>46056</v>
      </c>
      <c r="DR31" s="39"/>
      <c r="DS31" s="55">
        <f>SUM(DS8:DS29)</f>
        <v>72334.58600000001</v>
      </c>
      <c r="DT31" s="55">
        <f>SUM(DT8:DT29)</f>
        <v>29980.93355000001</v>
      </c>
      <c r="DU31" s="55">
        <f>SUM(DU8:DU29)</f>
        <v>102315.51955000003</v>
      </c>
      <c r="DV31" s="55">
        <f>SUM(DV8:DV29)</f>
        <v>2907</v>
      </c>
      <c r="DW31" s="55">
        <f>SUM(DW8:DW29)</f>
        <v>2808</v>
      </c>
      <c r="DX31" s="39"/>
      <c r="DY31" s="55">
        <f>SUM(DY8:DY29)</f>
        <v>1227326.078</v>
      </c>
      <c r="DZ31" s="55">
        <f>SUM(DZ8:DZ29)</f>
        <v>508696.92665</v>
      </c>
      <c r="EA31" s="55">
        <f>SUM(EA8:EA29)</f>
        <v>1736023.00465</v>
      </c>
      <c r="EB31" s="55">
        <f>SUM(EB8:EB29)</f>
        <v>49317</v>
      </c>
      <c r="EC31" s="55">
        <f>SUM(EC8:EC29)</f>
        <v>47664</v>
      </c>
      <c r="ED31" s="39"/>
      <c r="EE31" s="55">
        <f>SUM(EE8:EE29)</f>
        <v>152978.572</v>
      </c>
      <c r="EF31" s="55">
        <f>SUM(EF8:EF29)</f>
        <v>63405.9121</v>
      </c>
      <c r="EG31" s="55">
        <f>SUM(EG8:EG29)</f>
        <v>216384.4841</v>
      </c>
      <c r="EH31" s="55">
        <f>SUM(EH8:EH29)</f>
        <v>6149</v>
      </c>
      <c r="EI31" s="55">
        <f>SUM(EI8:EI29)</f>
        <v>5941</v>
      </c>
      <c r="EJ31" s="39"/>
      <c r="EK31" s="55">
        <f>SUM(EK8:EK29)</f>
        <v>65933.83000000002</v>
      </c>
      <c r="EL31" s="55">
        <f>SUM(EL8:EL29)</f>
        <v>27327.97525000001</v>
      </c>
      <c r="EM31" s="55">
        <f>SUM(EM8:EM29)</f>
        <v>93261.80525000002</v>
      </c>
      <c r="EN31" s="55">
        <f>SUM(EN8:EN29)</f>
        <v>2651</v>
      </c>
      <c r="EO31" s="55">
        <f>SUM(EO8:EO29)</f>
        <v>2562</v>
      </c>
      <c r="EP31" s="39"/>
      <c r="EQ31" s="55">
        <f>SUM(EQ8:EQ29)</f>
        <v>0</v>
      </c>
      <c r="ER31" s="55">
        <f>SUM(ER8:ER29)</f>
        <v>0</v>
      </c>
      <c r="ES31" s="55">
        <f>SUM(ES8:ES29)</f>
        <v>0</v>
      </c>
      <c r="ET31" s="48"/>
      <c r="EU31" s="48"/>
      <c r="EV31" s="39"/>
      <c r="EW31" s="55">
        <f>SUM(EW8:EW30)</f>
        <v>21901.564</v>
      </c>
      <c r="EX31" s="55">
        <f>SUM(EX8:EX30)</f>
        <v>9077.6677</v>
      </c>
      <c r="EY31" s="55">
        <v>17251907</v>
      </c>
      <c r="EZ31" s="55">
        <f>SUM(EZ8:EZ30)</f>
        <v>880</v>
      </c>
      <c r="FA31" s="55">
        <f>SUM(FA8:FA30)</f>
        <v>849</v>
      </c>
      <c r="FB31" s="39"/>
      <c r="FC31" s="55">
        <f>SUM(FC8:FC30)</f>
        <v>49113.590000000004</v>
      </c>
      <c r="FD31" s="55">
        <f>SUM(FD8:FD30)</f>
        <v>20356.39324999999</v>
      </c>
      <c r="FE31" s="55">
        <f>SUM(FE8:FE30)</f>
        <v>69469.98324999999</v>
      </c>
      <c r="FF31" s="55">
        <f>SUM(FF8:FF30)</f>
        <v>1972</v>
      </c>
      <c r="FG31" s="55">
        <f>SUM(FG8:FG30)</f>
        <v>1906</v>
      </c>
      <c r="FH31" s="39"/>
      <c r="FI31" s="39"/>
      <c r="FJ31" s="39"/>
      <c r="FK31" s="39"/>
      <c r="FL31" s="39"/>
      <c r="FM31" s="39"/>
      <c r="FN31" s="39"/>
      <c r="FO31" s="39"/>
      <c r="FP31" s="39"/>
      <c r="FQ31" s="39"/>
    </row>
    <row r="32" spans="105:109" ht="12.75" thickTop="1">
      <c r="DA32" s="96"/>
      <c r="DB32" s="96"/>
      <c r="DC32" s="96"/>
      <c r="DD32" s="96"/>
      <c r="DE32" s="96"/>
    </row>
    <row r="33" spans="21:109" ht="12">
      <c r="U33" s="23">
        <f>SUM(U8:U30)</f>
        <v>3789605.108</v>
      </c>
      <c r="AA33" s="23">
        <f>SUM(AA8:AA30)</f>
        <v>4261926.512</v>
      </c>
      <c r="DA33" s="96"/>
      <c r="DB33" s="96"/>
      <c r="DC33" s="96"/>
      <c r="DD33" s="96"/>
      <c r="DE33" s="96"/>
    </row>
    <row r="34" spans="105:109" ht="12">
      <c r="DA34" s="96"/>
      <c r="DB34" s="96"/>
      <c r="DC34" s="96"/>
      <c r="DD34" s="96"/>
      <c r="DE34" s="96"/>
    </row>
  </sheetData>
  <sheetProtection/>
  <printOptions/>
  <pageMargins left="0.75" right="0.75" top="1" bottom="1" header="0.5" footer="0.5"/>
  <pageSetup horizontalDpi="600" verticalDpi="600" orientation="landscape" paperSize="168" scale="65"/>
  <colBreaks count="12" manualBreakCount="12">
    <brk id="14" max="65535" man="1"/>
    <brk id="26" max="65535" man="1"/>
    <brk id="38" max="65535" man="1"/>
    <brk id="50" max="65535" man="1"/>
    <brk id="62" max="65535" man="1"/>
    <brk id="74" max="65535" man="1"/>
    <brk id="98" max="65535" man="1"/>
    <brk id="110" max="65535" man="1"/>
    <brk id="122" max="65535" man="1"/>
    <brk id="134" max="65535" man="1"/>
    <brk id="146" max="65535" man="1"/>
    <brk id="1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Q3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4" sqref="D34"/>
    </sheetView>
  </sheetViews>
  <sheetFormatPr defaultColWidth="8.8515625" defaultRowHeight="12.75"/>
  <cols>
    <col min="1" max="1" width="9.7109375" style="22" customWidth="1"/>
    <col min="2" max="2" width="3.7109375" style="0" customWidth="1"/>
    <col min="3" max="6" width="13.7109375" style="42" customWidth="1"/>
    <col min="7" max="7" width="16.8515625" style="42" customWidth="1"/>
    <col min="8" max="8" width="3.7109375" style="39" customWidth="1"/>
    <col min="9" max="12" width="13.7109375" style="39" customWidth="1"/>
    <col min="13" max="13" width="17.421875" style="39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23" customWidth="1"/>
    <col min="25" max="25" width="16.421875" style="23" customWidth="1"/>
    <col min="26" max="26" width="3.7109375" style="23" customWidth="1"/>
    <col min="27" max="30" width="13.7109375" style="23" customWidth="1"/>
    <col min="31" max="31" width="17.140625" style="23" customWidth="1"/>
    <col min="32" max="32" width="3.7109375" style="23" customWidth="1"/>
    <col min="33" max="36" width="13.7109375" style="23" customWidth="1"/>
    <col min="37" max="37" width="16.7109375" style="23" customWidth="1"/>
    <col min="38" max="38" width="3.7109375" style="23" customWidth="1"/>
    <col min="39" max="42" width="13.7109375" style="23" customWidth="1"/>
    <col min="43" max="43" width="17.00390625" style="23" customWidth="1"/>
    <col min="44" max="44" width="3.7109375" style="23" customWidth="1"/>
    <col min="45" max="48" width="13.7109375" style="23" customWidth="1"/>
    <col min="49" max="49" width="16.28125" style="23" customWidth="1"/>
    <col min="50" max="50" width="3.7109375" style="23" customWidth="1"/>
    <col min="51" max="54" width="13.7109375" style="23" customWidth="1"/>
    <col min="55" max="55" width="16.140625" style="23" customWidth="1"/>
    <col min="56" max="56" width="3.7109375" style="23" customWidth="1"/>
    <col min="57" max="60" width="13.7109375" style="23" customWidth="1"/>
    <col min="61" max="61" width="15.8515625" style="23" customWidth="1"/>
    <col min="62" max="62" width="3.7109375" style="23" customWidth="1"/>
    <col min="63" max="66" width="13.7109375" style="23" customWidth="1"/>
    <col min="67" max="67" width="15.8515625" style="23" customWidth="1"/>
    <col min="68" max="68" width="3.7109375" style="23" customWidth="1"/>
    <col min="69" max="72" width="13.7109375" style="23" customWidth="1"/>
    <col min="73" max="73" width="15.8515625" style="23" customWidth="1"/>
    <col min="74" max="74" width="3.7109375" style="23" customWidth="1"/>
    <col min="75" max="78" width="13.7109375" style="23" customWidth="1"/>
    <col min="79" max="79" width="16.140625" style="23" customWidth="1"/>
    <col min="80" max="80" width="3.7109375" style="23" customWidth="1"/>
    <col min="81" max="84" width="13.7109375" style="23" customWidth="1"/>
    <col min="85" max="85" width="17.281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7109375" style="23" customWidth="1"/>
    <col min="98" max="98" width="3.7109375" style="23" customWidth="1"/>
    <col min="99" max="102" width="13.7109375" style="23" customWidth="1"/>
    <col min="103" max="103" width="15.7109375" style="23" customWidth="1"/>
    <col min="104" max="104" width="3.7109375" style="23" customWidth="1"/>
    <col min="105" max="108" width="13.7109375" style="96" customWidth="1"/>
    <col min="109" max="109" width="15.7109375" style="96" customWidth="1"/>
    <col min="110" max="110" width="3.7109375" style="23" customWidth="1"/>
    <col min="111" max="114" width="13.7109375" style="23" customWidth="1"/>
    <col min="115" max="115" width="15.8515625" style="23" customWidth="1"/>
    <col min="116" max="116" width="3.7109375" style="23" customWidth="1"/>
    <col min="117" max="120" width="13.7109375" style="23" customWidth="1"/>
    <col min="121" max="121" width="16.7109375" style="23" customWidth="1"/>
    <col min="122" max="122" width="3.7109375" style="23" customWidth="1"/>
    <col min="123" max="126" width="13.7109375" style="23" customWidth="1"/>
    <col min="127" max="127" width="16.00390625" style="23" customWidth="1"/>
    <col min="128" max="128" width="3.7109375" style="23" customWidth="1"/>
    <col min="129" max="132" width="13.7109375" style="23" customWidth="1"/>
    <col min="133" max="133" width="16.00390625" style="23" customWidth="1"/>
    <col min="134" max="134" width="3.7109375" style="23" customWidth="1"/>
    <col min="135" max="138" width="13.7109375" style="23" customWidth="1"/>
    <col min="139" max="139" width="16.421875" style="23" customWidth="1"/>
    <col min="140" max="140" width="3.7109375" style="23" customWidth="1"/>
    <col min="141" max="144" width="13.7109375" style="23" customWidth="1"/>
    <col min="145" max="145" width="15.7109375" style="23" customWidth="1"/>
    <col min="146" max="146" width="3.7109375" style="23" customWidth="1"/>
    <col min="147" max="151" width="13.7109375" style="23" customWidth="1"/>
    <col min="152" max="152" width="3.7109375" style="23" customWidth="1"/>
    <col min="153" max="156" width="13.7109375" style="0" customWidth="1"/>
    <col min="157" max="157" width="16.140625" style="0" customWidth="1"/>
    <col min="158" max="158" width="3.7109375" style="0" customWidth="1"/>
    <col min="159" max="162" width="13.7109375" style="0" customWidth="1"/>
    <col min="163" max="163" width="15.7109375" style="0" customWidth="1"/>
  </cols>
  <sheetData>
    <row r="1" spans="1:153" ht="12">
      <c r="A1" s="50"/>
      <c r="B1" s="34"/>
      <c r="C1" s="49"/>
      <c r="D1" s="51"/>
      <c r="I1" s="51"/>
      <c r="J1" s="51"/>
      <c r="K1" s="42"/>
      <c r="L1" s="42"/>
      <c r="M1" s="42"/>
      <c r="O1" s="39"/>
      <c r="P1" s="51" t="s">
        <v>78</v>
      </c>
      <c r="V1" s="24"/>
      <c r="AA1" s="51"/>
      <c r="AG1" s="39"/>
      <c r="AH1" s="51" t="s">
        <v>78</v>
      </c>
      <c r="AM1" s="51"/>
      <c r="AN1" s="24"/>
      <c r="AS1" s="51"/>
      <c r="AY1" s="39"/>
      <c r="AZ1" s="51" t="s">
        <v>78</v>
      </c>
      <c r="BE1" s="51"/>
      <c r="BK1" s="51"/>
      <c r="BQ1" s="39"/>
      <c r="BR1" s="51" t="s">
        <v>78</v>
      </c>
      <c r="BW1" s="51"/>
      <c r="CC1" s="51"/>
      <c r="CI1" s="39"/>
      <c r="CJ1" s="51" t="s">
        <v>78</v>
      </c>
      <c r="CO1" s="51"/>
      <c r="CU1" s="51"/>
      <c r="CV1" s="24"/>
      <c r="DA1" s="93"/>
      <c r="DB1" s="98" t="s">
        <v>78</v>
      </c>
      <c r="DM1" s="51"/>
      <c r="DS1" s="39"/>
      <c r="DT1" s="51" t="s">
        <v>78</v>
      </c>
      <c r="EE1" s="51"/>
      <c r="EK1" s="39"/>
      <c r="EL1" s="51" t="s">
        <v>78</v>
      </c>
      <c r="ER1" s="24"/>
      <c r="EW1" s="51"/>
    </row>
    <row r="2" spans="1:153" ht="12">
      <c r="A2" s="50"/>
      <c r="B2" s="34"/>
      <c r="C2" s="49"/>
      <c r="D2" s="51"/>
      <c r="I2" s="51"/>
      <c r="J2" s="51"/>
      <c r="K2" s="42"/>
      <c r="L2" s="42"/>
      <c r="M2" s="42"/>
      <c r="O2" s="77" t="s">
        <v>91</v>
      </c>
      <c r="P2" s="39"/>
      <c r="V2" s="24"/>
      <c r="AA2" s="51"/>
      <c r="AG2" s="49" t="s">
        <v>79</v>
      </c>
      <c r="AH2" s="39"/>
      <c r="AM2" s="51"/>
      <c r="AN2" s="24"/>
      <c r="AS2" s="51"/>
      <c r="AY2" s="49" t="s">
        <v>79</v>
      </c>
      <c r="AZ2" s="39"/>
      <c r="BE2" s="51"/>
      <c r="BK2" s="51"/>
      <c r="BQ2" s="49" t="s">
        <v>79</v>
      </c>
      <c r="BR2" s="39"/>
      <c r="BW2" s="51"/>
      <c r="CC2" s="51"/>
      <c r="CI2" s="49" t="s">
        <v>79</v>
      </c>
      <c r="CJ2" s="39"/>
      <c r="CO2" s="51"/>
      <c r="CU2" s="51"/>
      <c r="CV2" s="24"/>
      <c r="DA2" s="99" t="s">
        <v>79</v>
      </c>
      <c r="DB2" s="93"/>
      <c r="DM2" s="51"/>
      <c r="DS2" s="49" t="s">
        <v>79</v>
      </c>
      <c r="DT2" s="39"/>
      <c r="EE2" s="51"/>
      <c r="EK2" s="49" t="s">
        <v>79</v>
      </c>
      <c r="EL2" s="39"/>
      <c r="ER2" s="24"/>
      <c r="EW2" s="51"/>
    </row>
    <row r="3" spans="1:153" ht="12">
      <c r="A3" s="50"/>
      <c r="B3" s="34"/>
      <c r="C3" s="49"/>
      <c r="D3" s="49"/>
      <c r="I3" s="51"/>
      <c r="J3" s="49"/>
      <c r="K3" s="42"/>
      <c r="L3" s="42"/>
      <c r="M3" s="42"/>
      <c r="O3" s="39"/>
      <c r="P3" s="78" t="s">
        <v>92</v>
      </c>
      <c r="AA3" s="51"/>
      <c r="AG3" s="39"/>
      <c r="AH3" s="51" t="s">
        <v>83</v>
      </c>
      <c r="AM3" s="51"/>
      <c r="AS3" s="51"/>
      <c r="AY3" s="39"/>
      <c r="AZ3" s="51" t="s">
        <v>83</v>
      </c>
      <c r="BE3" s="51"/>
      <c r="BK3" s="51"/>
      <c r="BQ3" s="39"/>
      <c r="BR3" s="51" t="s">
        <v>83</v>
      </c>
      <c r="BW3" s="51"/>
      <c r="CC3" s="51"/>
      <c r="CI3" s="39"/>
      <c r="CJ3" s="51" t="s">
        <v>83</v>
      </c>
      <c r="CO3" s="51"/>
      <c r="CU3" s="51"/>
      <c r="DA3" s="93"/>
      <c r="DB3" s="98" t="s">
        <v>83</v>
      </c>
      <c r="DM3" s="51"/>
      <c r="DS3" s="39"/>
      <c r="DT3" s="51" t="s">
        <v>83</v>
      </c>
      <c r="EE3" s="51"/>
      <c r="EK3" s="39"/>
      <c r="EL3" s="51" t="s">
        <v>83</v>
      </c>
      <c r="EW3" s="51"/>
    </row>
    <row r="4" spans="1:148" ht="12">
      <c r="A4" s="50"/>
      <c r="B4" s="34"/>
      <c r="C4" s="49"/>
      <c r="D4" s="51"/>
      <c r="J4" s="51"/>
      <c r="K4" s="42"/>
      <c r="L4" s="42"/>
      <c r="M4" s="42"/>
      <c r="V4" s="24"/>
      <c r="AH4" s="24"/>
      <c r="AN4" s="24"/>
      <c r="AZ4" s="24"/>
      <c r="CV4" s="24"/>
      <c r="ER4" s="24"/>
    </row>
    <row r="5" spans="1:163" ht="12">
      <c r="A5" s="25" t="s">
        <v>12</v>
      </c>
      <c r="C5" s="75" t="s">
        <v>89</v>
      </c>
      <c r="D5" s="72"/>
      <c r="E5" s="68"/>
      <c r="F5" s="47"/>
      <c r="G5" s="47"/>
      <c r="I5" s="43" t="s">
        <v>46</v>
      </c>
      <c r="J5" s="44"/>
      <c r="K5" s="45"/>
      <c r="L5" s="47"/>
      <c r="M5" s="47"/>
      <c r="O5" s="43" t="s">
        <v>47</v>
      </c>
      <c r="P5" s="44"/>
      <c r="Q5" s="45"/>
      <c r="R5" s="47"/>
      <c r="S5" s="47"/>
      <c r="U5" s="26" t="s">
        <v>73</v>
      </c>
      <c r="V5" s="27"/>
      <c r="W5" s="28"/>
      <c r="X5" s="47"/>
      <c r="Y5" s="47"/>
      <c r="AA5" s="26" t="s">
        <v>74</v>
      </c>
      <c r="AB5" s="27"/>
      <c r="AC5" s="28"/>
      <c r="AD5" s="47"/>
      <c r="AE5" s="47"/>
      <c r="AG5" s="26" t="s">
        <v>32</v>
      </c>
      <c r="AH5" s="27"/>
      <c r="AI5" s="28"/>
      <c r="AJ5" s="47"/>
      <c r="AK5" s="47"/>
      <c r="AM5" s="26" t="s">
        <v>33</v>
      </c>
      <c r="AN5" s="27"/>
      <c r="AO5" s="28"/>
      <c r="AP5" s="47"/>
      <c r="AQ5" s="47"/>
      <c r="AR5" s="35"/>
      <c r="AS5" s="26" t="s">
        <v>80</v>
      </c>
      <c r="AT5" s="27"/>
      <c r="AU5" s="28"/>
      <c r="AV5" s="47"/>
      <c r="AW5" s="47"/>
      <c r="AX5" s="35"/>
      <c r="AY5" s="26" t="s">
        <v>34</v>
      </c>
      <c r="AZ5" s="27"/>
      <c r="BA5" s="28"/>
      <c r="BB5" s="47"/>
      <c r="BC5" s="47"/>
      <c r="BD5" s="35"/>
      <c r="BE5" s="26" t="s">
        <v>68</v>
      </c>
      <c r="BF5" s="27"/>
      <c r="BG5" s="28"/>
      <c r="BH5" s="47"/>
      <c r="BI5" s="47"/>
      <c r="BK5" s="26" t="s">
        <v>69</v>
      </c>
      <c r="BL5" s="27"/>
      <c r="BM5" s="28"/>
      <c r="BN5" s="47"/>
      <c r="BO5" s="47"/>
      <c r="BQ5" s="26" t="s">
        <v>70</v>
      </c>
      <c r="BR5" s="27"/>
      <c r="BS5" s="28"/>
      <c r="BT5" s="47"/>
      <c r="BU5" s="47"/>
      <c r="BW5" s="60" t="s">
        <v>35</v>
      </c>
      <c r="BX5" s="61"/>
      <c r="BY5" s="62"/>
      <c r="BZ5" s="47"/>
      <c r="CA5" s="47"/>
      <c r="CC5" s="26" t="s">
        <v>36</v>
      </c>
      <c r="CD5" s="27"/>
      <c r="CE5" s="28"/>
      <c r="CF5" s="47"/>
      <c r="CG5" s="47"/>
      <c r="CI5" s="26" t="s">
        <v>37</v>
      </c>
      <c r="CJ5" s="27"/>
      <c r="CK5" s="28"/>
      <c r="CL5" s="47"/>
      <c r="CM5" s="47"/>
      <c r="CN5" s="35"/>
      <c r="CO5" s="26" t="s">
        <v>38</v>
      </c>
      <c r="CP5" s="27"/>
      <c r="CQ5" s="28"/>
      <c r="CR5" s="47"/>
      <c r="CS5" s="47"/>
      <c r="CU5" s="26" t="s">
        <v>39</v>
      </c>
      <c r="CV5" s="27"/>
      <c r="CW5" s="28"/>
      <c r="CX5" s="47"/>
      <c r="CY5" s="47"/>
      <c r="CZ5" s="35"/>
      <c r="DA5" s="97" t="s">
        <v>94</v>
      </c>
      <c r="DB5" s="86"/>
      <c r="DC5" s="87"/>
      <c r="DD5" s="88"/>
      <c r="DE5" s="88"/>
      <c r="DF5" s="35"/>
      <c r="DG5" s="26" t="s">
        <v>40</v>
      </c>
      <c r="DH5" s="27"/>
      <c r="DI5" s="28"/>
      <c r="DJ5" s="47"/>
      <c r="DK5" s="47"/>
      <c r="DM5" s="26" t="s">
        <v>41</v>
      </c>
      <c r="DN5" s="27"/>
      <c r="DO5" s="28"/>
      <c r="DP5" s="47"/>
      <c r="DQ5" s="47"/>
      <c r="DS5" s="26" t="s">
        <v>42</v>
      </c>
      <c r="DT5" s="27"/>
      <c r="DU5" s="28"/>
      <c r="DV5" s="47"/>
      <c r="DW5" s="47"/>
      <c r="DY5" s="26" t="s">
        <v>43</v>
      </c>
      <c r="DZ5" s="27"/>
      <c r="EA5" s="28"/>
      <c r="EB5" s="47"/>
      <c r="EC5" s="47"/>
      <c r="EE5" s="26" t="s">
        <v>44</v>
      </c>
      <c r="EF5" s="27"/>
      <c r="EG5" s="28"/>
      <c r="EH5" s="47"/>
      <c r="EI5" s="47"/>
      <c r="EJ5" s="35"/>
      <c r="EK5" s="26" t="s">
        <v>71</v>
      </c>
      <c r="EL5" s="27"/>
      <c r="EM5" s="28"/>
      <c r="EN5" s="47"/>
      <c r="EO5" s="47"/>
      <c r="EP5" s="35"/>
      <c r="EQ5" s="26" t="s">
        <v>13</v>
      </c>
      <c r="ER5" s="27"/>
      <c r="ES5" s="28"/>
      <c r="ET5" s="47"/>
      <c r="EU5" s="47"/>
      <c r="EV5" s="35"/>
      <c r="EW5" s="67" t="s">
        <v>75</v>
      </c>
      <c r="EX5" s="27"/>
      <c r="EY5" s="28"/>
      <c r="EZ5" s="47"/>
      <c r="FA5" s="47"/>
      <c r="FB5" s="23"/>
      <c r="FC5" s="26" t="s">
        <v>76</v>
      </c>
      <c r="FD5" s="27"/>
      <c r="FE5" s="28"/>
      <c r="FF5" s="47"/>
      <c r="FG5" s="47"/>
    </row>
    <row r="6" spans="1:163" s="13" customFormat="1" ht="12">
      <c r="A6" s="52" t="s">
        <v>14</v>
      </c>
      <c r="C6" s="76" t="s">
        <v>90</v>
      </c>
      <c r="D6" s="70"/>
      <c r="E6" s="71"/>
      <c r="F6" s="47" t="s">
        <v>84</v>
      </c>
      <c r="G6" s="47" t="s">
        <v>84</v>
      </c>
      <c r="H6" s="39"/>
      <c r="I6" s="46"/>
      <c r="J6" s="59">
        <f>1-P6</f>
        <v>0.00282030000000022</v>
      </c>
      <c r="K6" s="45"/>
      <c r="L6" s="47" t="s">
        <v>84</v>
      </c>
      <c r="M6" s="47" t="s">
        <v>84</v>
      </c>
      <c r="O6" s="46"/>
      <c r="P6" s="64">
        <f>V6+AB6+AH6+AN6+AT6+AZ6+BF6+BL6+BR6+BX6+CD6+CJ6+CP6+CV6+DB6+DH6+DN6+DT6+DZ6+EF6+ER6+EL6</f>
        <v>0.9971796999999998</v>
      </c>
      <c r="Q6" s="45"/>
      <c r="R6" s="47" t="s">
        <v>84</v>
      </c>
      <c r="S6" s="47" t="s">
        <v>84</v>
      </c>
      <c r="U6" s="53"/>
      <c r="V6" s="38">
        <v>0.1505006</v>
      </c>
      <c r="W6" s="54"/>
      <c r="X6" s="47" t="s">
        <v>84</v>
      </c>
      <c r="Y6" s="47" t="s">
        <v>84</v>
      </c>
      <c r="AA6" s="53"/>
      <c r="AB6" s="38">
        <v>0.1692584</v>
      </c>
      <c r="AC6" s="54"/>
      <c r="AD6" s="47" t="s">
        <v>84</v>
      </c>
      <c r="AE6" s="47" t="s">
        <v>84</v>
      </c>
      <c r="AG6" s="53"/>
      <c r="AH6" s="38">
        <v>0.0975766</v>
      </c>
      <c r="AI6" s="54"/>
      <c r="AJ6" s="47" t="s">
        <v>84</v>
      </c>
      <c r="AK6" s="47" t="s">
        <v>84</v>
      </c>
      <c r="AM6" s="53"/>
      <c r="AN6" s="38">
        <v>0.0748131</v>
      </c>
      <c r="AO6" s="54"/>
      <c r="AP6" s="47" t="s">
        <v>84</v>
      </c>
      <c r="AQ6" s="47" t="s">
        <v>84</v>
      </c>
      <c r="AR6" s="32"/>
      <c r="AS6" s="53"/>
      <c r="AT6" s="38">
        <v>0.0021612</v>
      </c>
      <c r="AU6" s="54"/>
      <c r="AV6" s="47" t="s">
        <v>84</v>
      </c>
      <c r="AW6" s="47" t="s">
        <v>84</v>
      </c>
      <c r="AX6" s="32"/>
      <c r="AY6" s="53"/>
      <c r="AZ6" s="38">
        <v>0.0001906</v>
      </c>
      <c r="BA6" s="54"/>
      <c r="BB6" s="47" t="s">
        <v>84</v>
      </c>
      <c r="BC6" s="47" t="s">
        <v>84</v>
      </c>
      <c r="BD6" s="32"/>
      <c r="BE6" s="53"/>
      <c r="BF6" s="38">
        <v>0.0001369</v>
      </c>
      <c r="BG6" s="54"/>
      <c r="BH6" s="47" t="s">
        <v>84</v>
      </c>
      <c r="BI6" s="47" t="s">
        <v>84</v>
      </c>
      <c r="BK6" s="53"/>
      <c r="BL6" s="38">
        <v>0.0023757</v>
      </c>
      <c r="BM6" s="54"/>
      <c r="BN6" s="47" t="s">
        <v>84</v>
      </c>
      <c r="BO6" s="47" t="s">
        <v>84</v>
      </c>
      <c r="BQ6" s="53"/>
      <c r="BR6" s="38">
        <v>0.0591225</v>
      </c>
      <c r="BS6" s="54"/>
      <c r="BT6" s="47" t="s">
        <v>84</v>
      </c>
      <c r="BU6" s="47" t="s">
        <v>84</v>
      </c>
      <c r="BW6" s="63"/>
      <c r="BX6" s="64">
        <v>0.0180534</v>
      </c>
      <c r="BY6" s="65"/>
      <c r="BZ6" s="47" t="s">
        <v>84</v>
      </c>
      <c r="CA6" s="47" t="s">
        <v>84</v>
      </c>
      <c r="CC6" s="53"/>
      <c r="CD6" s="38">
        <v>0.0515053</v>
      </c>
      <c r="CE6" s="54"/>
      <c r="CF6" s="47" t="s">
        <v>84</v>
      </c>
      <c r="CG6" s="47" t="s">
        <v>84</v>
      </c>
      <c r="CI6" s="53"/>
      <c r="CJ6" s="38">
        <v>0.1416042</v>
      </c>
      <c r="CK6" s="54"/>
      <c r="CL6" s="47" t="s">
        <v>84</v>
      </c>
      <c r="CM6" s="47" t="s">
        <v>84</v>
      </c>
      <c r="CN6" s="32"/>
      <c r="CO6" s="53"/>
      <c r="CP6" s="38">
        <v>0.0615602</v>
      </c>
      <c r="CQ6" s="54"/>
      <c r="CR6" s="47" t="s">
        <v>84</v>
      </c>
      <c r="CS6" s="47" t="s">
        <v>84</v>
      </c>
      <c r="CU6" s="53"/>
      <c r="CV6" s="38">
        <v>0.0537414</v>
      </c>
      <c r="CW6" s="54"/>
      <c r="CX6" s="47" t="s">
        <v>84</v>
      </c>
      <c r="CY6" s="47" t="s">
        <v>84</v>
      </c>
      <c r="CZ6" s="32"/>
      <c r="DA6" s="89"/>
      <c r="DB6" s="90">
        <v>0.0069717</v>
      </c>
      <c r="DC6" s="91"/>
      <c r="DD6" s="88" t="s">
        <v>84</v>
      </c>
      <c r="DE6" s="88" t="s">
        <v>84</v>
      </c>
      <c r="DF6" s="32"/>
      <c r="DG6" s="53"/>
      <c r="DH6" s="38">
        <v>0.0002011</v>
      </c>
      <c r="DI6" s="54"/>
      <c r="DJ6" s="47" t="s">
        <v>84</v>
      </c>
      <c r="DK6" s="47" t="s">
        <v>84</v>
      </c>
      <c r="DM6" s="53"/>
      <c r="DN6" s="38">
        <v>0.0470981</v>
      </c>
      <c r="DO6" s="54"/>
      <c r="DP6" s="47" t="s">
        <v>84</v>
      </c>
      <c r="DQ6" s="47" t="s">
        <v>84</v>
      </c>
      <c r="DS6" s="53"/>
      <c r="DT6" s="38">
        <v>0.0028727</v>
      </c>
      <c r="DU6" s="54"/>
      <c r="DV6" s="47" t="s">
        <v>84</v>
      </c>
      <c r="DW6" s="47" t="s">
        <v>84</v>
      </c>
      <c r="DY6" s="53"/>
      <c r="DZ6" s="38">
        <v>0.0487421</v>
      </c>
      <c r="EA6" s="54"/>
      <c r="EB6" s="47" t="s">
        <v>84</v>
      </c>
      <c r="EC6" s="47" t="s">
        <v>84</v>
      </c>
      <c r="EE6" s="53"/>
      <c r="EF6" s="38">
        <v>0.0060754</v>
      </c>
      <c r="EG6" s="54"/>
      <c r="EH6" s="47" t="s">
        <v>84</v>
      </c>
      <c r="EI6" s="47" t="s">
        <v>84</v>
      </c>
      <c r="EJ6" s="32"/>
      <c r="EK6" s="53"/>
      <c r="EL6" s="38">
        <v>0.0026185</v>
      </c>
      <c r="EM6" s="54"/>
      <c r="EN6" s="47" t="s">
        <v>84</v>
      </c>
      <c r="EO6" s="47" t="s">
        <v>84</v>
      </c>
      <c r="EP6" s="32"/>
      <c r="EQ6" s="53"/>
      <c r="ER6" s="38"/>
      <c r="ES6" s="54"/>
      <c r="ET6" s="47" t="s">
        <v>84</v>
      </c>
      <c r="EU6" s="47" t="s">
        <v>84</v>
      </c>
      <c r="EV6" s="32"/>
      <c r="EW6" s="53"/>
      <c r="EX6" s="38">
        <v>0.0008698</v>
      </c>
      <c r="EY6" s="54"/>
      <c r="EZ6" s="47" t="s">
        <v>84</v>
      </c>
      <c r="FA6" s="47" t="s">
        <v>84</v>
      </c>
      <c r="FC6" s="53"/>
      <c r="FD6" s="38">
        <v>0.0019505</v>
      </c>
      <c r="FE6" s="54"/>
      <c r="FF6" s="47" t="s">
        <v>84</v>
      </c>
      <c r="FG6" s="47" t="s">
        <v>84</v>
      </c>
    </row>
    <row r="7" spans="1:163" ht="12">
      <c r="A7" s="29"/>
      <c r="C7" s="47" t="s">
        <v>15</v>
      </c>
      <c r="D7" s="47" t="s">
        <v>16</v>
      </c>
      <c r="E7" s="47" t="s">
        <v>4</v>
      </c>
      <c r="F7" s="47" t="s">
        <v>86</v>
      </c>
      <c r="G7" s="47" t="s">
        <v>87</v>
      </c>
      <c r="I7" s="47" t="s">
        <v>15</v>
      </c>
      <c r="J7" s="47" t="s">
        <v>16</v>
      </c>
      <c r="K7" s="47" t="s">
        <v>4</v>
      </c>
      <c r="L7" s="47" t="s">
        <v>86</v>
      </c>
      <c r="M7" s="47" t="s">
        <v>87</v>
      </c>
      <c r="O7" s="47" t="s">
        <v>15</v>
      </c>
      <c r="P7" s="47" t="s">
        <v>16</v>
      </c>
      <c r="Q7" s="47" t="s">
        <v>4</v>
      </c>
      <c r="R7" s="47" t="s">
        <v>86</v>
      </c>
      <c r="S7" s="47" t="s">
        <v>87</v>
      </c>
      <c r="U7" s="30" t="s">
        <v>15</v>
      </c>
      <c r="V7" s="30" t="s">
        <v>16</v>
      </c>
      <c r="W7" s="30" t="s">
        <v>4</v>
      </c>
      <c r="X7" s="47" t="s">
        <v>86</v>
      </c>
      <c r="Y7" s="47" t="s">
        <v>87</v>
      </c>
      <c r="AA7" s="30" t="s">
        <v>15</v>
      </c>
      <c r="AB7" s="30" t="s">
        <v>16</v>
      </c>
      <c r="AC7" s="30" t="s">
        <v>4</v>
      </c>
      <c r="AD7" s="47" t="s">
        <v>86</v>
      </c>
      <c r="AE7" s="47" t="s">
        <v>87</v>
      </c>
      <c r="AG7" s="30" t="s">
        <v>15</v>
      </c>
      <c r="AH7" s="30" t="s">
        <v>16</v>
      </c>
      <c r="AI7" s="30" t="s">
        <v>4</v>
      </c>
      <c r="AJ7" s="47" t="s">
        <v>86</v>
      </c>
      <c r="AK7" s="47" t="s">
        <v>87</v>
      </c>
      <c r="AM7" s="30" t="s">
        <v>15</v>
      </c>
      <c r="AN7" s="30" t="s">
        <v>16</v>
      </c>
      <c r="AO7" s="30" t="s">
        <v>4</v>
      </c>
      <c r="AP7" s="47" t="s">
        <v>86</v>
      </c>
      <c r="AQ7" s="47" t="s">
        <v>87</v>
      </c>
      <c r="AR7" s="36"/>
      <c r="AS7" s="30" t="s">
        <v>15</v>
      </c>
      <c r="AT7" s="30" t="s">
        <v>16</v>
      </c>
      <c r="AU7" s="30" t="s">
        <v>4</v>
      </c>
      <c r="AV7" s="47" t="s">
        <v>86</v>
      </c>
      <c r="AW7" s="47" t="s">
        <v>87</v>
      </c>
      <c r="AX7" s="36"/>
      <c r="AY7" s="30" t="s">
        <v>15</v>
      </c>
      <c r="AZ7" s="30" t="s">
        <v>16</v>
      </c>
      <c r="BA7" s="30" t="s">
        <v>4</v>
      </c>
      <c r="BB7" s="47" t="s">
        <v>86</v>
      </c>
      <c r="BC7" s="47" t="s">
        <v>87</v>
      </c>
      <c r="BD7" s="36"/>
      <c r="BE7" s="30" t="s">
        <v>15</v>
      </c>
      <c r="BF7" s="30" t="s">
        <v>16</v>
      </c>
      <c r="BG7" s="30" t="s">
        <v>4</v>
      </c>
      <c r="BH7" s="47" t="s">
        <v>86</v>
      </c>
      <c r="BI7" s="47" t="s">
        <v>87</v>
      </c>
      <c r="BK7" s="30" t="s">
        <v>15</v>
      </c>
      <c r="BL7" s="30" t="s">
        <v>16</v>
      </c>
      <c r="BM7" s="30" t="s">
        <v>4</v>
      </c>
      <c r="BN7" s="47" t="s">
        <v>86</v>
      </c>
      <c r="BO7" s="47" t="s">
        <v>87</v>
      </c>
      <c r="BQ7" s="30" t="s">
        <v>15</v>
      </c>
      <c r="BR7" s="30" t="s">
        <v>16</v>
      </c>
      <c r="BS7" s="30" t="s">
        <v>4</v>
      </c>
      <c r="BT7" s="47" t="s">
        <v>86</v>
      </c>
      <c r="BU7" s="47" t="s">
        <v>87</v>
      </c>
      <c r="BW7" s="30" t="s">
        <v>15</v>
      </c>
      <c r="BX7" s="30" t="s">
        <v>16</v>
      </c>
      <c r="BY7" s="30" t="s">
        <v>4</v>
      </c>
      <c r="BZ7" s="47" t="s">
        <v>86</v>
      </c>
      <c r="CA7" s="47" t="s">
        <v>87</v>
      </c>
      <c r="CC7" s="30" t="s">
        <v>15</v>
      </c>
      <c r="CD7" s="30" t="s">
        <v>16</v>
      </c>
      <c r="CE7" s="30" t="s">
        <v>4</v>
      </c>
      <c r="CF7" s="47" t="s">
        <v>86</v>
      </c>
      <c r="CG7" s="47" t="s">
        <v>87</v>
      </c>
      <c r="CI7" s="30" t="s">
        <v>15</v>
      </c>
      <c r="CJ7" s="30" t="s">
        <v>16</v>
      </c>
      <c r="CK7" s="30" t="s">
        <v>4</v>
      </c>
      <c r="CL7" s="47" t="s">
        <v>86</v>
      </c>
      <c r="CM7" s="47" t="s">
        <v>87</v>
      </c>
      <c r="CN7" s="36"/>
      <c r="CO7" s="30" t="s">
        <v>15</v>
      </c>
      <c r="CP7" s="30" t="s">
        <v>16</v>
      </c>
      <c r="CQ7" s="30" t="s">
        <v>4</v>
      </c>
      <c r="CR7" s="47" t="s">
        <v>86</v>
      </c>
      <c r="CS7" s="47" t="s">
        <v>87</v>
      </c>
      <c r="CU7" s="30" t="s">
        <v>15</v>
      </c>
      <c r="CV7" s="30" t="s">
        <v>16</v>
      </c>
      <c r="CW7" s="30" t="s">
        <v>4</v>
      </c>
      <c r="CX7" s="47" t="s">
        <v>86</v>
      </c>
      <c r="CY7" s="47" t="s">
        <v>87</v>
      </c>
      <c r="CZ7" s="36"/>
      <c r="DA7" s="92" t="s">
        <v>15</v>
      </c>
      <c r="DB7" s="92" t="s">
        <v>16</v>
      </c>
      <c r="DC7" s="92" t="s">
        <v>4</v>
      </c>
      <c r="DD7" s="88" t="s">
        <v>86</v>
      </c>
      <c r="DE7" s="88" t="s">
        <v>87</v>
      </c>
      <c r="DF7" s="36"/>
      <c r="DG7" s="30" t="s">
        <v>15</v>
      </c>
      <c r="DH7" s="30" t="s">
        <v>16</v>
      </c>
      <c r="DI7" s="30" t="s">
        <v>4</v>
      </c>
      <c r="DJ7" s="47" t="s">
        <v>86</v>
      </c>
      <c r="DK7" s="47" t="s">
        <v>87</v>
      </c>
      <c r="DM7" s="30" t="s">
        <v>15</v>
      </c>
      <c r="DN7" s="30" t="s">
        <v>16</v>
      </c>
      <c r="DO7" s="30" t="s">
        <v>4</v>
      </c>
      <c r="DP7" s="47" t="s">
        <v>86</v>
      </c>
      <c r="DQ7" s="47" t="s">
        <v>87</v>
      </c>
      <c r="DS7" s="30" t="s">
        <v>15</v>
      </c>
      <c r="DT7" s="30" t="s">
        <v>16</v>
      </c>
      <c r="DU7" s="30" t="s">
        <v>4</v>
      </c>
      <c r="DV7" s="47" t="s">
        <v>86</v>
      </c>
      <c r="DW7" s="47" t="s">
        <v>87</v>
      </c>
      <c r="DY7" s="30" t="s">
        <v>15</v>
      </c>
      <c r="DZ7" s="30" t="s">
        <v>16</v>
      </c>
      <c r="EA7" s="30" t="s">
        <v>4</v>
      </c>
      <c r="EB7" s="47" t="s">
        <v>86</v>
      </c>
      <c r="EC7" s="47" t="s">
        <v>87</v>
      </c>
      <c r="EE7" s="30" t="s">
        <v>15</v>
      </c>
      <c r="EF7" s="30" t="s">
        <v>16</v>
      </c>
      <c r="EG7" s="30" t="s">
        <v>4</v>
      </c>
      <c r="EH7" s="47" t="s">
        <v>86</v>
      </c>
      <c r="EI7" s="47" t="s">
        <v>87</v>
      </c>
      <c r="EJ7" s="36"/>
      <c r="EK7" s="30" t="s">
        <v>15</v>
      </c>
      <c r="EL7" s="30" t="s">
        <v>16</v>
      </c>
      <c r="EM7" s="30" t="s">
        <v>4</v>
      </c>
      <c r="EN7" s="47" t="s">
        <v>86</v>
      </c>
      <c r="EO7" s="47" t="s">
        <v>87</v>
      </c>
      <c r="EP7" s="36"/>
      <c r="EQ7" s="30" t="s">
        <v>15</v>
      </c>
      <c r="ER7" s="30" t="s">
        <v>16</v>
      </c>
      <c r="ES7" s="30" t="s">
        <v>4</v>
      </c>
      <c r="ET7" s="47" t="s">
        <v>86</v>
      </c>
      <c r="EU7" s="47" t="s">
        <v>87</v>
      </c>
      <c r="EV7" s="36"/>
      <c r="EW7" s="30" t="s">
        <v>15</v>
      </c>
      <c r="EX7" s="30" t="s">
        <v>16</v>
      </c>
      <c r="EY7" s="30" t="s">
        <v>4</v>
      </c>
      <c r="EZ7" s="47" t="s">
        <v>86</v>
      </c>
      <c r="FA7" s="47" t="s">
        <v>87</v>
      </c>
      <c r="FB7" s="23"/>
      <c r="FC7" s="30" t="s">
        <v>15</v>
      </c>
      <c r="FD7" s="30" t="s">
        <v>16</v>
      </c>
      <c r="FE7" s="30" t="s">
        <v>4</v>
      </c>
      <c r="FF7" s="47" t="s">
        <v>86</v>
      </c>
      <c r="FG7" s="47" t="s">
        <v>87</v>
      </c>
    </row>
    <row r="8" spans="1:173" ht="12">
      <c r="A8" s="22">
        <v>40452</v>
      </c>
      <c r="C8" s="80"/>
      <c r="D8" s="80">
        <v>266950</v>
      </c>
      <c r="E8" s="81">
        <f aca="true" t="shared" si="0" ref="E8:E29">C8+D8</f>
        <v>266950</v>
      </c>
      <c r="F8" s="81">
        <v>87801</v>
      </c>
      <c r="G8" s="81">
        <v>86061</v>
      </c>
      <c r="H8" s="80"/>
      <c r="I8" s="81">
        <f aca="true" t="shared" si="1" ref="I8:J29">EW8+FC8</f>
        <v>0</v>
      </c>
      <c r="J8" s="82">
        <f t="shared" si="1"/>
        <v>752.879085</v>
      </c>
      <c r="K8" s="81">
        <f aca="true" t="shared" si="2" ref="K8:K29">I8+J8</f>
        <v>752.879085</v>
      </c>
      <c r="L8" s="81">
        <f aca="true" t="shared" si="3" ref="L8:M29">EZ8+FF8</f>
        <v>247.6251603</v>
      </c>
      <c r="M8" s="81">
        <f t="shared" si="3"/>
        <v>242.71783829999998</v>
      </c>
      <c r="N8" s="80"/>
      <c r="O8" s="80"/>
      <c r="P8" s="80">
        <f aca="true" t="shared" si="4" ref="P8:P29">V8+AB8+AH8+AN8+AT8+AZ8+BF8+BL8+BR8+BX8+CD8+CJ8+CP8+CV8+DB8+DH8+DN8+DT8+DZ8+EF8+ER8+EL8</f>
        <v>266197.12091500004</v>
      </c>
      <c r="Q8" s="80">
        <f aca="true" t="shared" si="5" ref="Q8:Q29">O8+P8</f>
        <v>266197.12091500004</v>
      </c>
      <c r="R8" s="80">
        <f aca="true" t="shared" si="6" ref="R8:S29">X8+AD8+AJ8+AP8+AV8+BB8+BH8+BN8+BT8+BZ8+CF8+CL8+CR8+CX8+DD8+DJ8+DP8+DV8+EB8+EH8+EN8+ET8</f>
        <v>87553.3748397</v>
      </c>
      <c r="S8" s="80">
        <f t="shared" si="6"/>
        <v>85818.28216170002</v>
      </c>
      <c r="T8" s="80"/>
      <c r="U8" s="83"/>
      <c r="V8" s="83">
        <f aca="true" t="shared" si="7" ref="V8:V29">D8*15.05006/100</f>
        <v>40176.13517</v>
      </c>
      <c r="W8" s="80">
        <f aca="true" t="shared" si="8" ref="W8:W29">U8+V8</f>
        <v>40176.13517</v>
      </c>
      <c r="X8" s="80">
        <f aca="true" t="shared" si="9" ref="X8:X29">V$6*$F8</f>
        <v>13214.103180600001</v>
      </c>
      <c r="Y8" s="80">
        <f aca="true" t="shared" si="10" ref="Y8:Y29">V$6*$G8</f>
        <v>12952.232136600001</v>
      </c>
      <c r="Z8" s="80"/>
      <c r="AA8" s="80"/>
      <c r="AB8" s="80">
        <f aca="true" t="shared" si="11" ref="AB8:AB29">D8*16.92584/100</f>
        <v>45183.52988</v>
      </c>
      <c r="AC8" s="80">
        <f aca="true" t="shared" si="12" ref="AC8:AC29">AA8+AB8</f>
        <v>45183.52988</v>
      </c>
      <c r="AD8" s="80">
        <f aca="true" t="shared" si="13" ref="AD8:AD29">AB$6*$F8</f>
        <v>14861.0567784</v>
      </c>
      <c r="AE8" s="80">
        <f aca="true" t="shared" si="14" ref="AE8:AE29">AB$6*$G8</f>
        <v>14566.5471624</v>
      </c>
      <c r="AF8" s="80"/>
      <c r="AG8" s="80"/>
      <c r="AH8" s="80">
        <f aca="true" t="shared" si="15" ref="AH8:AH29">D8*9.75766/100</f>
        <v>26048.07337</v>
      </c>
      <c r="AI8" s="80">
        <f aca="true" t="shared" si="16" ref="AI8:AI29">AG8+AH8</f>
        <v>26048.07337</v>
      </c>
      <c r="AJ8" s="80">
        <f aca="true" t="shared" si="17" ref="AJ8:AJ29">AH$6*$F8</f>
        <v>8567.3230566</v>
      </c>
      <c r="AK8" s="80">
        <f aca="true" t="shared" si="18" ref="AK8:AK29">AH$6*$G8</f>
        <v>8397.5397726</v>
      </c>
      <c r="AL8" s="80"/>
      <c r="AM8" s="80"/>
      <c r="AN8" s="80">
        <f aca="true" t="shared" si="19" ref="AN8:AN29">D8*7.48131/100</f>
        <v>19971.357045</v>
      </c>
      <c r="AO8" s="80">
        <f aca="true" t="shared" si="20" ref="AO8:AO29">AM8+AN8</f>
        <v>19971.357045</v>
      </c>
      <c r="AP8" s="80">
        <f aca="true" t="shared" si="21" ref="AP8:AP29">AN$6*$F8</f>
        <v>6568.664993099999</v>
      </c>
      <c r="AQ8" s="80">
        <f aca="true" t="shared" si="22" ref="AQ8:AQ29">AN$6*$G8</f>
        <v>6438.4901991</v>
      </c>
      <c r="AR8" s="80"/>
      <c r="AS8" s="80"/>
      <c r="AT8" s="80">
        <f aca="true" t="shared" si="23" ref="AT8:AT29">D8*0.21612/100</f>
        <v>576.9323400000001</v>
      </c>
      <c r="AU8" s="80">
        <f aca="true" t="shared" si="24" ref="AU8:AU29">AS8+AT8</f>
        <v>576.9323400000001</v>
      </c>
      <c r="AV8" s="80">
        <f aca="true" t="shared" si="25" ref="AV8:AV29">AT$6*$F8</f>
        <v>189.75552119999998</v>
      </c>
      <c r="AW8" s="80">
        <f aca="true" t="shared" si="26" ref="AW8:AW29">AT$6*$G8</f>
        <v>185.9950332</v>
      </c>
      <c r="AX8" s="80"/>
      <c r="AY8" s="80"/>
      <c r="AZ8" s="80">
        <f aca="true" t="shared" si="27" ref="AZ8:AZ29">D8*0.01906/100</f>
        <v>50.88067</v>
      </c>
      <c r="BA8" s="80">
        <f aca="true" t="shared" si="28" ref="BA8:BA29">AY8+AZ8</f>
        <v>50.88067</v>
      </c>
      <c r="BB8" s="80">
        <f aca="true" t="shared" si="29" ref="BB8:BB29">AZ$6*$F8</f>
        <v>16.7348706</v>
      </c>
      <c r="BC8" s="80">
        <f aca="true" t="shared" si="30" ref="BC8:BC29">AZ$6*$G8</f>
        <v>16.4032266</v>
      </c>
      <c r="BD8" s="80"/>
      <c r="BE8" s="80"/>
      <c r="BF8" s="80">
        <f aca="true" t="shared" si="31" ref="BF8:BF29">D8*0.01369/100</f>
        <v>36.545455000000004</v>
      </c>
      <c r="BG8" s="80">
        <f aca="true" t="shared" si="32" ref="BG8:BG29">BE8+BF8</f>
        <v>36.545455000000004</v>
      </c>
      <c r="BH8" s="80">
        <f aca="true" t="shared" si="33" ref="BH8:BH29">BF$6*$F8</f>
        <v>12.019956899999999</v>
      </c>
      <c r="BI8" s="80">
        <f aca="true" t="shared" si="34" ref="BI8:BI29">BF$6*$G8</f>
        <v>11.781750899999999</v>
      </c>
      <c r="BJ8" s="80"/>
      <c r="BK8" s="80"/>
      <c r="BL8" s="80">
        <f aca="true" t="shared" si="35" ref="BL8:BL29">D8*0.23757/100</f>
        <v>634.193115</v>
      </c>
      <c r="BM8" s="80">
        <f aca="true" t="shared" si="36" ref="BM8:BM29">BK8+BL8</f>
        <v>634.193115</v>
      </c>
      <c r="BN8" s="80">
        <f aca="true" t="shared" si="37" ref="BN8:BN29">BL$6*$F8</f>
        <v>208.5888357</v>
      </c>
      <c r="BO8" s="80">
        <f aca="true" t="shared" si="38" ref="BO8:BO29">BL$6*$G8</f>
        <v>204.45511770000002</v>
      </c>
      <c r="BP8" s="80"/>
      <c r="BQ8" s="80"/>
      <c r="BR8" s="80">
        <f aca="true" t="shared" si="39" ref="BR8:BR29">D8*5.91225/100</f>
        <v>15782.751375</v>
      </c>
      <c r="BS8" s="80">
        <f aca="true" t="shared" si="40" ref="BS8:BS29">BQ8+BR8</f>
        <v>15782.751375</v>
      </c>
      <c r="BT8" s="80">
        <f aca="true" t="shared" si="41" ref="BT8:BT29">BR$6*$F8</f>
        <v>5191.0146225</v>
      </c>
      <c r="BU8" s="80">
        <f aca="true" t="shared" si="42" ref="BU8:BU29">BR$6*$G8</f>
        <v>5088.1414725</v>
      </c>
      <c r="BV8" s="80"/>
      <c r="BW8" s="80"/>
      <c r="BX8" s="80">
        <f aca="true" t="shared" si="43" ref="BX8:BX29">D8*1.80534/100</f>
        <v>4819.35513</v>
      </c>
      <c r="BY8" s="80">
        <f aca="true" t="shared" si="44" ref="BY8:BY29">BW8+BX8</f>
        <v>4819.35513</v>
      </c>
      <c r="BZ8" s="80">
        <f aca="true" t="shared" si="45" ref="BZ8:BZ29">BX$6*$F8</f>
        <v>1585.1065734000001</v>
      </c>
      <c r="CA8" s="80">
        <f aca="true" t="shared" si="46" ref="CA8:CA29">BX$6*$G8</f>
        <v>1553.6936574000001</v>
      </c>
      <c r="CB8" s="80"/>
      <c r="CC8" s="80"/>
      <c r="CD8" s="80">
        <f aca="true" t="shared" si="47" ref="CD8:CD29">D8*5.15053/100</f>
        <v>13749.339834999999</v>
      </c>
      <c r="CE8" s="80">
        <f aca="true" t="shared" si="48" ref="CE8:CE29">CC8+CD8</f>
        <v>13749.339834999999</v>
      </c>
      <c r="CF8" s="80">
        <f aca="true" t="shared" si="49" ref="CF8:CF29">CD$6*$F8</f>
        <v>4522.2168452999995</v>
      </c>
      <c r="CG8" s="80">
        <f aca="true" t="shared" si="50" ref="CG8:CG29">CD$6*$G8</f>
        <v>4432.5976233</v>
      </c>
      <c r="CH8" s="80"/>
      <c r="CI8" s="80"/>
      <c r="CJ8" s="80">
        <f aca="true" t="shared" si="51" ref="CJ8:CJ29">D8*14.16042/100</f>
        <v>37801.24119</v>
      </c>
      <c r="CK8" s="80">
        <f aca="true" t="shared" si="52" ref="CK8:CK29">CI8+CJ8</f>
        <v>37801.24119</v>
      </c>
      <c r="CL8" s="80">
        <f aca="true" t="shared" si="53" ref="CL8:CL29">CJ$6*$F8</f>
        <v>12432.9903642</v>
      </c>
      <c r="CM8" s="80">
        <f aca="true" t="shared" si="54" ref="CM8:CM29">CJ$6*$G8</f>
        <v>12186.5990562</v>
      </c>
      <c r="CN8" s="80"/>
      <c r="CO8" s="80"/>
      <c r="CP8" s="80">
        <f aca="true" t="shared" si="55" ref="CP8:CP29">D8*6.15602/100</f>
        <v>16433.49539</v>
      </c>
      <c r="CQ8" s="80">
        <f aca="true" t="shared" si="56" ref="CQ8:CQ29">CO8+CP8</f>
        <v>16433.49539</v>
      </c>
      <c r="CR8" s="80">
        <f aca="true" t="shared" si="57" ref="CR8:CR29">CP$6*$F8</f>
        <v>5405.0471202</v>
      </c>
      <c r="CS8" s="80">
        <f aca="true" t="shared" si="58" ref="CS8:CS29">CP$6*$G8</f>
        <v>5297.9323722</v>
      </c>
      <c r="CT8" s="80"/>
      <c r="CU8" s="80"/>
      <c r="CV8" s="80">
        <f aca="true" t="shared" si="59" ref="CV8:CV29">D8*5.37414/100</f>
        <v>14346.26673</v>
      </c>
      <c r="CW8" s="80">
        <f aca="true" t="shared" si="60" ref="CW8:CW29">CU8+CV8</f>
        <v>14346.26673</v>
      </c>
      <c r="CX8" s="80">
        <f aca="true" t="shared" si="61" ref="CX8:CX29">CV$6*$F8</f>
        <v>4718.5486614</v>
      </c>
      <c r="CY8" s="80">
        <f aca="true" t="shared" si="62" ref="CY8:CY29">CV$6*$G8</f>
        <v>4625.0386254000005</v>
      </c>
      <c r="CZ8" s="80"/>
      <c r="DA8" s="100"/>
      <c r="DB8" s="100">
        <f aca="true" t="shared" si="63" ref="DB8:DB29">D8*0.69717/100</f>
        <v>1861.0953149999998</v>
      </c>
      <c r="DC8" s="100">
        <f aca="true" t="shared" si="64" ref="DC8:DC29">DA8+DB8</f>
        <v>1861.0953149999998</v>
      </c>
      <c r="DD8" s="100">
        <f aca="true" t="shared" si="65" ref="DD8:DD29">DB$6*$F8</f>
        <v>612.1222317</v>
      </c>
      <c r="DE8" s="100">
        <f aca="true" t="shared" si="66" ref="DE8:DE29">DB$6*$G8</f>
        <v>599.9914737</v>
      </c>
      <c r="DF8" s="80"/>
      <c r="DG8" s="80"/>
      <c r="DH8" s="80">
        <f aca="true" t="shared" si="67" ref="DH8:DH29">D8*0.02011/100</f>
        <v>53.683645</v>
      </c>
      <c r="DI8" s="80">
        <f aca="true" t="shared" si="68" ref="DI8:DI29">DG8+DH8</f>
        <v>53.683645</v>
      </c>
      <c r="DJ8" s="80">
        <f aca="true" t="shared" si="69" ref="DJ8:DJ29">DH$6*$F8</f>
        <v>17.6567811</v>
      </c>
      <c r="DK8" s="80">
        <f aca="true" t="shared" si="70" ref="DK8:DK29">DH$6*$G8</f>
        <v>17.3068671</v>
      </c>
      <c r="DL8" s="80"/>
      <c r="DM8" s="80"/>
      <c r="DN8" s="80">
        <f aca="true" t="shared" si="71" ref="DN8:DN29">D8*4.70981/100</f>
        <v>12572.837795</v>
      </c>
      <c r="DO8" s="80">
        <f aca="true" t="shared" si="72" ref="DO8:DO29">DM8+DN8</f>
        <v>12572.837795</v>
      </c>
      <c r="DP8" s="80">
        <f aca="true" t="shared" si="73" ref="DP8:DP29">DN$6*$F8</f>
        <v>4135.2602781</v>
      </c>
      <c r="DQ8" s="80">
        <f aca="true" t="shared" si="74" ref="DQ8:DQ29">DN$6*$G8</f>
        <v>4053.3095841</v>
      </c>
      <c r="DR8" s="80"/>
      <c r="DS8" s="80"/>
      <c r="DT8" s="80">
        <f aca="true" t="shared" si="75" ref="DT8:DT29">D8*0.28727/100</f>
        <v>766.8672650000001</v>
      </c>
      <c r="DU8" s="80">
        <f aca="true" t="shared" si="76" ref="DU8:DU29">DS8+DT8</f>
        <v>766.8672650000001</v>
      </c>
      <c r="DV8" s="80">
        <f aca="true" t="shared" si="77" ref="DV8:DV29">DT$6*$F8</f>
        <v>252.22593270000002</v>
      </c>
      <c r="DW8" s="80">
        <f aca="true" t="shared" si="78" ref="DW8:DW29">DT$6*$G8</f>
        <v>247.2274347</v>
      </c>
      <c r="DX8" s="80"/>
      <c r="DY8" s="80"/>
      <c r="DZ8" s="80">
        <f aca="true" t="shared" si="79" ref="DZ8:DZ29">D8*4.87421/100</f>
        <v>13011.703595</v>
      </c>
      <c r="EA8" s="80">
        <f aca="true" t="shared" si="80" ref="EA8:EA29">DY8+DZ8</f>
        <v>13011.703595</v>
      </c>
      <c r="EB8" s="80">
        <f aca="true" t="shared" si="81" ref="EB8:EB29">DZ$6*$F8</f>
        <v>4279.6051221</v>
      </c>
      <c r="EC8" s="80">
        <f aca="true" t="shared" si="82" ref="EC8:EC29">DZ$6*$G8</f>
        <v>4194.7938681</v>
      </c>
      <c r="ED8" s="80"/>
      <c r="EE8" s="80"/>
      <c r="EF8" s="80">
        <f aca="true" t="shared" si="83" ref="EF8:EF29">D8*0.60754/100</f>
        <v>1621.82803</v>
      </c>
      <c r="EG8" s="80">
        <f aca="true" t="shared" si="84" ref="EG8:EG29">EE8+EF8</f>
        <v>1621.82803</v>
      </c>
      <c r="EH8" s="80">
        <f aca="true" t="shared" si="85" ref="EH8:EH29">EF$6*$F8</f>
        <v>533.4261954</v>
      </c>
      <c r="EI8" s="80">
        <f aca="true" t="shared" si="86" ref="EI8:EI29">EF$6*$G8</f>
        <v>522.8549994</v>
      </c>
      <c r="EJ8" s="80"/>
      <c r="EK8" s="80"/>
      <c r="EL8" s="80">
        <f aca="true" t="shared" si="87" ref="EL8:EL29">D8*0.26185/100</f>
        <v>699.0085750000002</v>
      </c>
      <c r="EM8" s="80">
        <f aca="true" t="shared" si="88" ref="EM8:EM29">EK8+EL8</f>
        <v>699.0085750000002</v>
      </c>
      <c r="EN8" s="80">
        <f aca="true" t="shared" si="89" ref="EN8:EN29">EL$6*$F8</f>
        <v>229.90691850000002</v>
      </c>
      <c r="EO8" s="80">
        <f aca="true" t="shared" si="90" ref="EO8:EO29">EL$6*$G8</f>
        <v>225.3507285</v>
      </c>
      <c r="EP8" s="80"/>
      <c r="EQ8" s="80"/>
      <c r="ER8" s="80"/>
      <c r="ES8" s="80"/>
      <c r="ET8" s="80"/>
      <c r="EU8" s="80"/>
      <c r="EV8" s="80"/>
      <c r="EW8" s="83">
        <f aca="true" t="shared" si="91" ref="EW8:EX29">C8*0.08698/100</f>
        <v>0</v>
      </c>
      <c r="EX8" s="83">
        <f t="shared" si="91"/>
        <v>232.19311000000002</v>
      </c>
      <c r="EY8" s="80">
        <f aca="true" t="shared" si="92" ref="EY8:EY29">EW8+EX8</f>
        <v>232.19311000000002</v>
      </c>
      <c r="EZ8" s="80">
        <f aca="true" t="shared" si="93" ref="EZ8:EZ29">EX$6*$F8</f>
        <v>76.3693098</v>
      </c>
      <c r="FA8" s="80">
        <f aca="true" t="shared" si="94" ref="FA8:FA29">EX$6*$G8</f>
        <v>74.8558578</v>
      </c>
      <c r="FB8" s="80"/>
      <c r="FC8" s="80">
        <f aca="true" t="shared" si="95" ref="FC8:FD29">C8*0.19505/100</f>
        <v>0</v>
      </c>
      <c r="FD8" s="80">
        <f t="shared" si="95"/>
        <v>520.685975</v>
      </c>
      <c r="FE8" s="80">
        <f aca="true" t="shared" si="96" ref="FE8:FE29">FC8+FD8</f>
        <v>520.685975</v>
      </c>
      <c r="FF8" s="80">
        <f aca="true" t="shared" si="97" ref="FF8:FF29">FD$6*$F8</f>
        <v>171.2558505</v>
      </c>
      <c r="FG8" s="80">
        <f aca="true" t="shared" si="98" ref="FG8:FG29">FD$6*$G8</f>
        <v>167.8619805</v>
      </c>
      <c r="FH8" s="80"/>
      <c r="FI8" s="80"/>
      <c r="FJ8" s="80"/>
      <c r="FK8" s="80"/>
      <c r="FL8" s="39"/>
      <c r="FM8" s="39"/>
      <c r="FN8" s="39"/>
      <c r="FO8" s="39"/>
      <c r="FP8" s="39"/>
      <c r="FQ8" s="39"/>
    </row>
    <row r="9" spans="1:173" ht="12">
      <c r="A9" s="22">
        <v>40634</v>
      </c>
      <c r="C9" s="80">
        <v>40000</v>
      </c>
      <c r="D9" s="80">
        <v>266950</v>
      </c>
      <c r="E9" s="81">
        <f t="shared" si="0"/>
        <v>306950</v>
      </c>
      <c r="F9" s="81">
        <v>87801</v>
      </c>
      <c r="G9" s="81">
        <v>86061</v>
      </c>
      <c r="H9" s="80"/>
      <c r="I9" s="81">
        <f t="shared" si="1"/>
        <v>112.812</v>
      </c>
      <c r="J9" s="82">
        <f t="shared" si="1"/>
        <v>752.879085</v>
      </c>
      <c r="K9" s="81">
        <f t="shared" si="2"/>
        <v>865.691085</v>
      </c>
      <c r="L9" s="81">
        <f t="shared" si="3"/>
        <v>247.6251603</v>
      </c>
      <c r="M9" s="81">
        <f t="shared" si="3"/>
        <v>242.71783829999998</v>
      </c>
      <c r="N9" s="80"/>
      <c r="O9" s="80">
        <f aca="true" t="shared" si="99" ref="O9:O29">U9+AA9+AG9+AM9+AS9+AY9+BE9+BK9+BQ9+BW9+CC9+CI9+CO9+CU9+DA9+DG9+DM9+DS9+DY9+EE9+EQ9+EK9</f>
        <v>39887.18800000001</v>
      </c>
      <c r="P9" s="80">
        <f t="shared" si="4"/>
        <v>266197.12091500004</v>
      </c>
      <c r="Q9" s="80">
        <f t="shared" si="5"/>
        <v>306084.30891500006</v>
      </c>
      <c r="R9" s="80">
        <f t="shared" si="6"/>
        <v>87553.3748397</v>
      </c>
      <c r="S9" s="80">
        <f t="shared" si="6"/>
        <v>85818.28216170002</v>
      </c>
      <c r="T9" s="80"/>
      <c r="U9" s="83">
        <f>C9*15.05006/100</f>
        <v>6020.024</v>
      </c>
      <c r="V9" s="83">
        <f t="shared" si="7"/>
        <v>40176.13517</v>
      </c>
      <c r="W9" s="80">
        <f t="shared" si="8"/>
        <v>46196.15917</v>
      </c>
      <c r="X9" s="80">
        <f t="shared" si="9"/>
        <v>13214.103180600001</v>
      </c>
      <c r="Y9" s="80">
        <f t="shared" si="10"/>
        <v>12952.232136600001</v>
      </c>
      <c r="Z9" s="80"/>
      <c r="AA9" s="80">
        <f>C9*16.92584/100</f>
        <v>6770.336000000001</v>
      </c>
      <c r="AB9" s="80">
        <f t="shared" si="11"/>
        <v>45183.52988</v>
      </c>
      <c r="AC9" s="80">
        <f t="shared" si="12"/>
        <v>51953.865880000005</v>
      </c>
      <c r="AD9" s="80">
        <f t="shared" si="13"/>
        <v>14861.0567784</v>
      </c>
      <c r="AE9" s="80">
        <f t="shared" si="14"/>
        <v>14566.5471624</v>
      </c>
      <c r="AF9" s="80"/>
      <c r="AG9" s="80">
        <f>C9*9.75766/100</f>
        <v>3903.064</v>
      </c>
      <c r="AH9" s="80">
        <f t="shared" si="15"/>
        <v>26048.07337</v>
      </c>
      <c r="AI9" s="80">
        <f t="shared" si="16"/>
        <v>29951.137369999997</v>
      </c>
      <c r="AJ9" s="80">
        <f t="shared" si="17"/>
        <v>8567.3230566</v>
      </c>
      <c r="AK9" s="80">
        <f t="shared" si="18"/>
        <v>8397.5397726</v>
      </c>
      <c r="AL9" s="80"/>
      <c r="AM9" s="80">
        <f>C9*7.48131/100</f>
        <v>2992.5239999999994</v>
      </c>
      <c r="AN9" s="80">
        <f t="shared" si="19"/>
        <v>19971.357045</v>
      </c>
      <c r="AO9" s="80">
        <f t="shared" si="20"/>
        <v>22963.881045000002</v>
      </c>
      <c r="AP9" s="80">
        <f t="shared" si="21"/>
        <v>6568.664993099999</v>
      </c>
      <c r="AQ9" s="80">
        <f t="shared" si="22"/>
        <v>6438.4901991</v>
      </c>
      <c r="AR9" s="80"/>
      <c r="AS9" s="80">
        <f>C9*0.21612/100</f>
        <v>86.44800000000001</v>
      </c>
      <c r="AT9" s="80">
        <f t="shared" si="23"/>
        <v>576.9323400000001</v>
      </c>
      <c r="AU9" s="80">
        <f t="shared" si="24"/>
        <v>663.38034</v>
      </c>
      <c r="AV9" s="80">
        <f t="shared" si="25"/>
        <v>189.75552119999998</v>
      </c>
      <c r="AW9" s="80">
        <f t="shared" si="26"/>
        <v>185.9950332</v>
      </c>
      <c r="AX9" s="80"/>
      <c r="AY9" s="80">
        <f>C9*0.01906/100</f>
        <v>7.624</v>
      </c>
      <c r="AZ9" s="80">
        <f t="shared" si="27"/>
        <v>50.88067</v>
      </c>
      <c r="BA9" s="80">
        <f t="shared" si="28"/>
        <v>58.504670000000004</v>
      </c>
      <c r="BB9" s="80">
        <f t="shared" si="29"/>
        <v>16.7348706</v>
      </c>
      <c r="BC9" s="80">
        <f t="shared" si="30"/>
        <v>16.4032266</v>
      </c>
      <c r="BD9" s="80"/>
      <c r="BE9" s="80">
        <f>C9*0.01369/100</f>
        <v>5.476</v>
      </c>
      <c r="BF9" s="80">
        <f t="shared" si="31"/>
        <v>36.545455000000004</v>
      </c>
      <c r="BG9" s="80">
        <f t="shared" si="32"/>
        <v>42.021455</v>
      </c>
      <c r="BH9" s="80">
        <f t="shared" si="33"/>
        <v>12.019956899999999</v>
      </c>
      <c r="BI9" s="80">
        <f t="shared" si="34"/>
        <v>11.781750899999999</v>
      </c>
      <c r="BJ9" s="80"/>
      <c r="BK9" s="80">
        <f>C9*0.23757/100</f>
        <v>95.02799999999999</v>
      </c>
      <c r="BL9" s="80">
        <f t="shared" si="35"/>
        <v>634.193115</v>
      </c>
      <c r="BM9" s="80">
        <f t="shared" si="36"/>
        <v>729.221115</v>
      </c>
      <c r="BN9" s="80">
        <f t="shared" si="37"/>
        <v>208.5888357</v>
      </c>
      <c r="BO9" s="80">
        <f t="shared" si="38"/>
        <v>204.45511770000002</v>
      </c>
      <c r="BP9" s="80"/>
      <c r="BQ9" s="80">
        <f>C9*5.91225/100</f>
        <v>2364.9</v>
      </c>
      <c r="BR9" s="80">
        <f t="shared" si="39"/>
        <v>15782.751375</v>
      </c>
      <c r="BS9" s="80">
        <f t="shared" si="40"/>
        <v>18147.651375</v>
      </c>
      <c r="BT9" s="80">
        <f t="shared" si="41"/>
        <v>5191.0146225</v>
      </c>
      <c r="BU9" s="80">
        <f t="shared" si="42"/>
        <v>5088.1414725</v>
      </c>
      <c r="BV9" s="80"/>
      <c r="BW9" s="80">
        <f>C9*1.80534/100</f>
        <v>722.136</v>
      </c>
      <c r="BX9" s="80">
        <f t="shared" si="43"/>
        <v>4819.35513</v>
      </c>
      <c r="BY9" s="80">
        <f t="shared" si="44"/>
        <v>5541.49113</v>
      </c>
      <c r="BZ9" s="80">
        <f t="shared" si="45"/>
        <v>1585.1065734000001</v>
      </c>
      <c r="CA9" s="80">
        <f t="shared" si="46"/>
        <v>1553.6936574000001</v>
      </c>
      <c r="CB9" s="80"/>
      <c r="CC9" s="80">
        <f>C9*5.15053/100</f>
        <v>2060.212</v>
      </c>
      <c r="CD9" s="80">
        <f t="shared" si="47"/>
        <v>13749.339834999999</v>
      </c>
      <c r="CE9" s="80">
        <f t="shared" si="48"/>
        <v>15809.551834999998</v>
      </c>
      <c r="CF9" s="80">
        <f t="shared" si="49"/>
        <v>4522.2168452999995</v>
      </c>
      <c r="CG9" s="80">
        <f t="shared" si="50"/>
        <v>4432.5976233</v>
      </c>
      <c r="CH9" s="80"/>
      <c r="CI9" s="80">
        <f>C9*14.16042/100</f>
        <v>5664.168000000001</v>
      </c>
      <c r="CJ9" s="80">
        <f t="shared" si="51"/>
        <v>37801.24119</v>
      </c>
      <c r="CK9" s="80">
        <f t="shared" si="52"/>
        <v>43465.40919</v>
      </c>
      <c r="CL9" s="80">
        <f t="shared" si="53"/>
        <v>12432.9903642</v>
      </c>
      <c r="CM9" s="80">
        <f t="shared" si="54"/>
        <v>12186.5990562</v>
      </c>
      <c r="CN9" s="80"/>
      <c r="CO9" s="80">
        <f>C9*6.15602/100</f>
        <v>2462.408</v>
      </c>
      <c r="CP9" s="80">
        <f t="shared" si="55"/>
        <v>16433.49539</v>
      </c>
      <c r="CQ9" s="80">
        <f t="shared" si="56"/>
        <v>18895.90339</v>
      </c>
      <c r="CR9" s="80">
        <f t="shared" si="57"/>
        <v>5405.0471202</v>
      </c>
      <c r="CS9" s="80">
        <f t="shared" si="58"/>
        <v>5297.9323722</v>
      </c>
      <c r="CT9" s="80"/>
      <c r="CU9" s="80">
        <f>C9*5.37414/100</f>
        <v>2149.656</v>
      </c>
      <c r="CV9" s="80">
        <f t="shared" si="59"/>
        <v>14346.26673</v>
      </c>
      <c r="CW9" s="80">
        <f t="shared" si="60"/>
        <v>16495.92273</v>
      </c>
      <c r="CX9" s="80">
        <f t="shared" si="61"/>
        <v>4718.5486614</v>
      </c>
      <c r="CY9" s="80">
        <f t="shared" si="62"/>
        <v>4625.0386254000005</v>
      </c>
      <c r="CZ9" s="80"/>
      <c r="DA9" s="100">
        <f>C9*0.69717/100</f>
        <v>278.868</v>
      </c>
      <c r="DB9" s="100">
        <f t="shared" si="63"/>
        <v>1861.0953149999998</v>
      </c>
      <c r="DC9" s="100">
        <f t="shared" si="64"/>
        <v>2139.963315</v>
      </c>
      <c r="DD9" s="100">
        <f t="shared" si="65"/>
        <v>612.1222317</v>
      </c>
      <c r="DE9" s="100">
        <f t="shared" si="66"/>
        <v>599.9914737</v>
      </c>
      <c r="DF9" s="80"/>
      <c r="DG9" s="80">
        <f>C9*0.02011/100</f>
        <v>8.044</v>
      </c>
      <c r="DH9" s="80">
        <f t="shared" si="67"/>
        <v>53.683645</v>
      </c>
      <c r="DI9" s="80">
        <f t="shared" si="68"/>
        <v>61.727644999999995</v>
      </c>
      <c r="DJ9" s="80">
        <f t="shared" si="69"/>
        <v>17.6567811</v>
      </c>
      <c r="DK9" s="80">
        <f t="shared" si="70"/>
        <v>17.3068671</v>
      </c>
      <c r="DL9" s="80"/>
      <c r="DM9" s="80">
        <f>C9*4.70981/100</f>
        <v>1883.924</v>
      </c>
      <c r="DN9" s="80">
        <f t="shared" si="71"/>
        <v>12572.837795</v>
      </c>
      <c r="DO9" s="80">
        <f t="shared" si="72"/>
        <v>14456.761794999999</v>
      </c>
      <c r="DP9" s="80">
        <f t="shared" si="73"/>
        <v>4135.2602781</v>
      </c>
      <c r="DQ9" s="80">
        <f t="shared" si="74"/>
        <v>4053.3095841</v>
      </c>
      <c r="DR9" s="80"/>
      <c r="DS9" s="80">
        <f>C9*0.28727/100</f>
        <v>114.90800000000002</v>
      </c>
      <c r="DT9" s="80">
        <f t="shared" si="75"/>
        <v>766.8672650000001</v>
      </c>
      <c r="DU9" s="80">
        <f t="shared" si="76"/>
        <v>881.7752650000001</v>
      </c>
      <c r="DV9" s="80">
        <f t="shared" si="77"/>
        <v>252.22593270000002</v>
      </c>
      <c r="DW9" s="80">
        <f t="shared" si="78"/>
        <v>247.2274347</v>
      </c>
      <c r="DX9" s="80"/>
      <c r="DY9" s="80">
        <f>C9*4.87421/100</f>
        <v>1949.684</v>
      </c>
      <c r="DZ9" s="80">
        <f t="shared" si="79"/>
        <v>13011.703595</v>
      </c>
      <c r="EA9" s="80">
        <f t="shared" si="80"/>
        <v>14961.387595</v>
      </c>
      <c r="EB9" s="80">
        <f t="shared" si="81"/>
        <v>4279.6051221</v>
      </c>
      <c r="EC9" s="80">
        <f t="shared" si="82"/>
        <v>4194.7938681</v>
      </c>
      <c r="ED9" s="80"/>
      <c r="EE9" s="80">
        <f>C9*0.60754/100</f>
        <v>243.016</v>
      </c>
      <c r="EF9" s="80">
        <f t="shared" si="83"/>
        <v>1621.82803</v>
      </c>
      <c r="EG9" s="80">
        <f t="shared" si="84"/>
        <v>1864.84403</v>
      </c>
      <c r="EH9" s="80">
        <f t="shared" si="85"/>
        <v>533.4261954</v>
      </c>
      <c r="EI9" s="80">
        <f t="shared" si="86"/>
        <v>522.8549994</v>
      </c>
      <c r="EJ9" s="80"/>
      <c r="EK9" s="80">
        <f>C9*0.26185/100</f>
        <v>104.74000000000002</v>
      </c>
      <c r="EL9" s="80">
        <f t="shared" si="87"/>
        <v>699.0085750000002</v>
      </c>
      <c r="EM9" s="80">
        <f t="shared" si="88"/>
        <v>803.7485750000002</v>
      </c>
      <c r="EN9" s="80">
        <f t="shared" si="89"/>
        <v>229.90691850000002</v>
      </c>
      <c r="EO9" s="80">
        <f t="shared" si="90"/>
        <v>225.3507285</v>
      </c>
      <c r="EP9" s="80"/>
      <c r="EQ9" s="80"/>
      <c r="ER9" s="80"/>
      <c r="ES9" s="80"/>
      <c r="ET9" s="80"/>
      <c r="EU9" s="80"/>
      <c r="EV9" s="80"/>
      <c r="EW9" s="83">
        <f t="shared" si="91"/>
        <v>34.792</v>
      </c>
      <c r="EX9" s="83">
        <f t="shared" si="91"/>
        <v>232.19311000000002</v>
      </c>
      <c r="EY9" s="80">
        <f t="shared" si="92"/>
        <v>266.98511</v>
      </c>
      <c r="EZ9" s="80">
        <f t="shared" si="93"/>
        <v>76.3693098</v>
      </c>
      <c r="FA9" s="80">
        <f t="shared" si="94"/>
        <v>74.8558578</v>
      </c>
      <c r="FB9" s="80"/>
      <c r="FC9" s="80">
        <f t="shared" si="95"/>
        <v>78.02</v>
      </c>
      <c r="FD9" s="80">
        <f t="shared" si="95"/>
        <v>520.685975</v>
      </c>
      <c r="FE9" s="80">
        <f t="shared" si="96"/>
        <v>598.705975</v>
      </c>
      <c r="FF9" s="80">
        <f t="shared" si="97"/>
        <v>171.2558505</v>
      </c>
      <c r="FG9" s="80">
        <f t="shared" si="98"/>
        <v>167.8619805</v>
      </c>
      <c r="FH9" s="80"/>
      <c r="FI9" s="80"/>
      <c r="FJ9" s="80"/>
      <c r="FK9" s="80"/>
      <c r="FL9" s="39"/>
      <c r="FM9" s="39"/>
      <c r="FN9" s="39"/>
      <c r="FO9" s="39"/>
      <c r="FP9" s="39"/>
      <c r="FQ9" s="39"/>
    </row>
    <row r="10" spans="1:173" ht="12">
      <c r="A10" s="22">
        <v>40817</v>
      </c>
      <c r="C10" s="80"/>
      <c r="D10" s="80">
        <v>266550</v>
      </c>
      <c r="E10" s="81">
        <f t="shared" si="0"/>
        <v>266550</v>
      </c>
      <c r="F10" s="81">
        <v>87801</v>
      </c>
      <c r="G10" s="81">
        <v>86061</v>
      </c>
      <c r="H10" s="80"/>
      <c r="I10" s="81">
        <f t="shared" si="1"/>
        <v>0</v>
      </c>
      <c r="J10" s="82">
        <f t="shared" si="1"/>
        <v>751.750965</v>
      </c>
      <c r="K10" s="81">
        <f t="shared" si="2"/>
        <v>751.750965</v>
      </c>
      <c r="L10" s="81">
        <f t="shared" si="3"/>
        <v>247.6251603</v>
      </c>
      <c r="M10" s="81">
        <f t="shared" si="3"/>
        <v>242.71783829999998</v>
      </c>
      <c r="N10" s="80"/>
      <c r="O10" s="80"/>
      <c r="P10" s="80">
        <f t="shared" si="4"/>
        <v>265798.249035</v>
      </c>
      <c r="Q10" s="80">
        <f t="shared" si="5"/>
        <v>265798.249035</v>
      </c>
      <c r="R10" s="80">
        <f t="shared" si="6"/>
        <v>87553.3748397</v>
      </c>
      <c r="S10" s="80">
        <f t="shared" si="6"/>
        <v>85818.28216170002</v>
      </c>
      <c r="T10" s="80"/>
      <c r="U10" s="83"/>
      <c r="V10" s="83">
        <f t="shared" si="7"/>
        <v>40115.93493</v>
      </c>
      <c r="W10" s="80">
        <f t="shared" si="8"/>
        <v>40115.93493</v>
      </c>
      <c r="X10" s="80">
        <f t="shared" si="9"/>
        <v>13214.103180600001</v>
      </c>
      <c r="Y10" s="80">
        <f t="shared" si="10"/>
        <v>12952.232136600001</v>
      </c>
      <c r="Z10" s="80"/>
      <c r="AA10" s="80"/>
      <c r="AB10" s="80">
        <f t="shared" si="11"/>
        <v>45115.82652000001</v>
      </c>
      <c r="AC10" s="80">
        <f t="shared" si="12"/>
        <v>45115.82652000001</v>
      </c>
      <c r="AD10" s="80">
        <f t="shared" si="13"/>
        <v>14861.0567784</v>
      </c>
      <c r="AE10" s="80">
        <f t="shared" si="14"/>
        <v>14566.5471624</v>
      </c>
      <c r="AF10" s="80"/>
      <c r="AG10" s="80"/>
      <c r="AH10" s="80">
        <f t="shared" si="15"/>
        <v>26009.04273</v>
      </c>
      <c r="AI10" s="80">
        <f t="shared" si="16"/>
        <v>26009.04273</v>
      </c>
      <c r="AJ10" s="80">
        <f t="shared" si="17"/>
        <v>8567.3230566</v>
      </c>
      <c r="AK10" s="80">
        <f t="shared" si="18"/>
        <v>8397.5397726</v>
      </c>
      <c r="AL10" s="80"/>
      <c r="AM10" s="80"/>
      <c r="AN10" s="80">
        <f t="shared" si="19"/>
        <v>19941.431805</v>
      </c>
      <c r="AO10" s="80">
        <f t="shared" si="20"/>
        <v>19941.431805</v>
      </c>
      <c r="AP10" s="80">
        <f t="shared" si="21"/>
        <v>6568.664993099999</v>
      </c>
      <c r="AQ10" s="80">
        <f t="shared" si="22"/>
        <v>6438.4901991</v>
      </c>
      <c r="AR10" s="80"/>
      <c r="AS10" s="80"/>
      <c r="AT10" s="80">
        <f t="shared" si="23"/>
        <v>576.06786</v>
      </c>
      <c r="AU10" s="80">
        <f t="shared" si="24"/>
        <v>576.06786</v>
      </c>
      <c r="AV10" s="80">
        <f t="shared" si="25"/>
        <v>189.75552119999998</v>
      </c>
      <c r="AW10" s="80">
        <f t="shared" si="26"/>
        <v>185.9950332</v>
      </c>
      <c r="AX10" s="80"/>
      <c r="AY10" s="80"/>
      <c r="AZ10" s="80">
        <f t="shared" si="27"/>
        <v>50.80443</v>
      </c>
      <c r="BA10" s="80">
        <f t="shared" si="28"/>
        <v>50.80443</v>
      </c>
      <c r="BB10" s="80">
        <f t="shared" si="29"/>
        <v>16.7348706</v>
      </c>
      <c r="BC10" s="80">
        <f t="shared" si="30"/>
        <v>16.4032266</v>
      </c>
      <c r="BD10" s="80"/>
      <c r="BE10" s="80"/>
      <c r="BF10" s="80">
        <f t="shared" si="31"/>
        <v>36.490695</v>
      </c>
      <c r="BG10" s="80">
        <f t="shared" si="32"/>
        <v>36.490695</v>
      </c>
      <c r="BH10" s="80">
        <f t="shared" si="33"/>
        <v>12.019956899999999</v>
      </c>
      <c r="BI10" s="80">
        <f t="shared" si="34"/>
        <v>11.781750899999999</v>
      </c>
      <c r="BJ10" s="80"/>
      <c r="BK10" s="80"/>
      <c r="BL10" s="80">
        <f t="shared" si="35"/>
        <v>633.242835</v>
      </c>
      <c r="BM10" s="80">
        <f t="shared" si="36"/>
        <v>633.242835</v>
      </c>
      <c r="BN10" s="80">
        <f t="shared" si="37"/>
        <v>208.5888357</v>
      </c>
      <c r="BO10" s="80">
        <f t="shared" si="38"/>
        <v>204.45511770000002</v>
      </c>
      <c r="BP10" s="80"/>
      <c r="BQ10" s="80"/>
      <c r="BR10" s="80">
        <f t="shared" si="39"/>
        <v>15759.102375</v>
      </c>
      <c r="BS10" s="80">
        <f t="shared" si="40"/>
        <v>15759.102375</v>
      </c>
      <c r="BT10" s="80">
        <f t="shared" si="41"/>
        <v>5191.0146225</v>
      </c>
      <c r="BU10" s="80">
        <f t="shared" si="42"/>
        <v>5088.1414725</v>
      </c>
      <c r="BV10" s="80"/>
      <c r="BW10" s="80"/>
      <c r="BX10" s="80">
        <f t="shared" si="43"/>
        <v>4812.1337699999995</v>
      </c>
      <c r="BY10" s="80">
        <f t="shared" si="44"/>
        <v>4812.1337699999995</v>
      </c>
      <c r="BZ10" s="80">
        <f t="shared" si="45"/>
        <v>1585.1065734000001</v>
      </c>
      <c r="CA10" s="80">
        <f t="shared" si="46"/>
        <v>1553.6936574000001</v>
      </c>
      <c r="CB10" s="80"/>
      <c r="CC10" s="80"/>
      <c r="CD10" s="80">
        <f t="shared" si="47"/>
        <v>13728.737715000001</v>
      </c>
      <c r="CE10" s="80">
        <f t="shared" si="48"/>
        <v>13728.737715000001</v>
      </c>
      <c r="CF10" s="80">
        <f t="shared" si="49"/>
        <v>4522.2168452999995</v>
      </c>
      <c r="CG10" s="80">
        <f t="shared" si="50"/>
        <v>4432.5976233</v>
      </c>
      <c r="CH10" s="80"/>
      <c r="CI10" s="80"/>
      <c r="CJ10" s="80">
        <f t="shared" si="51"/>
        <v>37744.59951</v>
      </c>
      <c r="CK10" s="80">
        <f t="shared" si="52"/>
        <v>37744.59951</v>
      </c>
      <c r="CL10" s="80">
        <f t="shared" si="53"/>
        <v>12432.9903642</v>
      </c>
      <c r="CM10" s="80">
        <f t="shared" si="54"/>
        <v>12186.5990562</v>
      </c>
      <c r="CN10" s="80"/>
      <c r="CO10" s="80"/>
      <c r="CP10" s="80">
        <f t="shared" si="55"/>
        <v>16408.871310000002</v>
      </c>
      <c r="CQ10" s="80">
        <f t="shared" si="56"/>
        <v>16408.871310000002</v>
      </c>
      <c r="CR10" s="80">
        <f t="shared" si="57"/>
        <v>5405.0471202</v>
      </c>
      <c r="CS10" s="80">
        <f t="shared" si="58"/>
        <v>5297.9323722</v>
      </c>
      <c r="CT10" s="80"/>
      <c r="CU10" s="80"/>
      <c r="CV10" s="80">
        <f t="shared" si="59"/>
        <v>14324.77017</v>
      </c>
      <c r="CW10" s="80">
        <f t="shared" si="60"/>
        <v>14324.77017</v>
      </c>
      <c r="CX10" s="80">
        <f t="shared" si="61"/>
        <v>4718.5486614</v>
      </c>
      <c r="CY10" s="80">
        <f t="shared" si="62"/>
        <v>4625.0386254000005</v>
      </c>
      <c r="CZ10" s="80"/>
      <c r="DA10" s="100"/>
      <c r="DB10" s="100">
        <f t="shared" si="63"/>
        <v>1858.306635</v>
      </c>
      <c r="DC10" s="100">
        <f t="shared" si="64"/>
        <v>1858.306635</v>
      </c>
      <c r="DD10" s="100">
        <f t="shared" si="65"/>
        <v>612.1222317</v>
      </c>
      <c r="DE10" s="100">
        <f t="shared" si="66"/>
        <v>599.9914737</v>
      </c>
      <c r="DF10" s="80"/>
      <c r="DG10" s="80"/>
      <c r="DH10" s="80">
        <f t="shared" si="67"/>
        <v>53.603204999999996</v>
      </c>
      <c r="DI10" s="80">
        <f t="shared" si="68"/>
        <v>53.603204999999996</v>
      </c>
      <c r="DJ10" s="80">
        <f t="shared" si="69"/>
        <v>17.6567811</v>
      </c>
      <c r="DK10" s="80">
        <f t="shared" si="70"/>
        <v>17.3068671</v>
      </c>
      <c r="DL10" s="80"/>
      <c r="DM10" s="80"/>
      <c r="DN10" s="80">
        <f t="shared" si="71"/>
        <v>12553.998555</v>
      </c>
      <c r="DO10" s="80">
        <f t="shared" si="72"/>
        <v>12553.998555</v>
      </c>
      <c r="DP10" s="80">
        <f t="shared" si="73"/>
        <v>4135.2602781</v>
      </c>
      <c r="DQ10" s="80">
        <f t="shared" si="74"/>
        <v>4053.3095841</v>
      </c>
      <c r="DR10" s="80"/>
      <c r="DS10" s="80"/>
      <c r="DT10" s="80">
        <f t="shared" si="75"/>
        <v>765.7181850000001</v>
      </c>
      <c r="DU10" s="80">
        <f t="shared" si="76"/>
        <v>765.7181850000001</v>
      </c>
      <c r="DV10" s="80">
        <f t="shared" si="77"/>
        <v>252.22593270000002</v>
      </c>
      <c r="DW10" s="80">
        <f t="shared" si="78"/>
        <v>247.2274347</v>
      </c>
      <c r="DX10" s="80"/>
      <c r="DY10" s="80"/>
      <c r="DZ10" s="80">
        <f t="shared" si="79"/>
        <v>12992.206755</v>
      </c>
      <c r="EA10" s="80">
        <f t="shared" si="80"/>
        <v>12992.206755</v>
      </c>
      <c r="EB10" s="80">
        <f t="shared" si="81"/>
        <v>4279.6051221</v>
      </c>
      <c r="EC10" s="80">
        <f t="shared" si="82"/>
        <v>4194.7938681</v>
      </c>
      <c r="ED10" s="80"/>
      <c r="EE10" s="80"/>
      <c r="EF10" s="80">
        <f t="shared" si="83"/>
        <v>1619.3978699999998</v>
      </c>
      <c r="EG10" s="80">
        <f t="shared" si="84"/>
        <v>1619.3978699999998</v>
      </c>
      <c r="EH10" s="80">
        <f t="shared" si="85"/>
        <v>533.4261954</v>
      </c>
      <c r="EI10" s="80">
        <f t="shared" si="86"/>
        <v>522.8549994</v>
      </c>
      <c r="EJ10" s="80"/>
      <c r="EK10" s="80"/>
      <c r="EL10" s="80">
        <f t="shared" si="87"/>
        <v>697.961175</v>
      </c>
      <c r="EM10" s="80">
        <f t="shared" si="88"/>
        <v>697.961175</v>
      </c>
      <c r="EN10" s="80">
        <f t="shared" si="89"/>
        <v>229.90691850000002</v>
      </c>
      <c r="EO10" s="80">
        <f t="shared" si="90"/>
        <v>225.3507285</v>
      </c>
      <c r="EP10" s="80"/>
      <c r="EQ10" s="80"/>
      <c r="ER10" s="80"/>
      <c r="ES10" s="80"/>
      <c r="ET10" s="80"/>
      <c r="EU10" s="80"/>
      <c r="EV10" s="80"/>
      <c r="EW10" s="83">
        <f t="shared" si="91"/>
        <v>0</v>
      </c>
      <c r="EX10" s="83">
        <f t="shared" si="91"/>
        <v>231.84519</v>
      </c>
      <c r="EY10" s="80">
        <f t="shared" si="92"/>
        <v>231.84519</v>
      </c>
      <c r="EZ10" s="80">
        <f t="shared" si="93"/>
        <v>76.3693098</v>
      </c>
      <c r="FA10" s="80">
        <f t="shared" si="94"/>
        <v>74.8558578</v>
      </c>
      <c r="FB10" s="80"/>
      <c r="FC10" s="80">
        <f t="shared" si="95"/>
        <v>0</v>
      </c>
      <c r="FD10" s="80">
        <f t="shared" si="95"/>
        <v>519.905775</v>
      </c>
      <c r="FE10" s="80">
        <f t="shared" si="96"/>
        <v>519.905775</v>
      </c>
      <c r="FF10" s="80">
        <f t="shared" si="97"/>
        <v>171.2558505</v>
      </c>
      <c r="FG10" s="80">
        <f t="shared" si="98"/>
        <v>167.8619805</v>
      </c>
      <c r="FH10" s="80"/>
      <c r="FI10" s="80"/>
      <c r="FJ10" s="80"/>
      <c r="FK10" s="80"/>
      <c r="FL10" s="39"/>
      <c r="FM10" s="39"/>
      <c r="FN10" s="39"/>
      <c r="FO10" s="39"/>
      <c r="FP10" s="39"/>
      <c r="FQ10" s="39"/>
    </row>
    <row r="11" spans="1:173" ht="12">
      <c r="A11" s="22">
        <v>41000</v>
      </c>
      <c r="C11" s="80">
        <v>45000</v>
      </c>
      <c r="D11" s="80">
        <v>266550</v>
      </c>
      <c r="E11" s="81">
        <f t="shared" si="0"/>
        <v>311550</v>
      </c>
      <c r="F11" s="81">
        <v>87801</v>
      </c>
      <c r="G11" s="81">
        <v>86061</v>
      </c>
      <c r="H11" s="80"/>
      <c r="I11" s="81">
        <f t="shared" si="1"/>
        <v>126.9135</v>
      </c>
      <c r="J11" s="82">
        <f t="shared" si="1"/>
        <v>751.750965</v>
      </c>
      <c r="K11" s="81">
        <f t="shared" si="2"/>
        <v>878.664465</v>
      </c>
      <c r="L11" s="81">
        <f t="shared" si="3"/>
        <v>247.6251603</v>
      </c>
      <c r="M11" s="81">
        <f t="shared" si="3"/>
        <v>242.71783829999998</v>
      </c>
      <c r="N11" s="80"/>
      <c r="O11" s="80">
        <f t="shared" si="99"/>
        <v>44873.0865</v>
      </c>
      <c r="P11" s="80">
        <f t="shared" si="4"/>
        <v>265798.249035</v>
      </c>
      <c r="Q11" s="80">
        <f t="shared" si="5"/>
        <v>310671.33553499996</v>
      </c>
      <c r="R11" s="80">
        <f t="shared" si="6"/>
        <v>87553.3748397</v>
      </c>
      <c r="S11" s="80">
        <f t="shared" si="6"/>
        <v>85818.28216170002</v>
      </c>
      <c r="T11" s="80"/>
      <c r="U11" s="83">
        <f>C11*15.05006/100</f>
        <v>6772.526999999999</v>
      </c>
      <c r="V11" s="83">
        <f t="shared" si="7"/>
        <v>40115.93493</v>
      </c>
      <c r="W11" s="80">
        <f t="shared" si="8"/>
        <v>46888.461930000005</v>
      </c>
      <c r="X11" s="80">
        <f t="shared" si="9"/>
        <v>13214.103180600001</v>
      </c>
      <c r="Y11" s="80">
        <f t="shared" si="10"/>
        <v>12952.232136600001</v>
      </c>
      <c r="Z11" s="80"/>
      <c r="AA11" s="80">
        <f>C11*16.92584/100</f>
        <v>7616.628000000001</v>
      </c>
      <c r="AB11" s="80">
        <f t="shared" si="11"/>
        <v>45115.82652000001</v>
      </c>
      <c r="AC11" s="80">
        <f t="shared" si="12"/>
        <v>52732.454520000014</v>
      </c>
      <c r="AD11" s="80">
        <f t="shared" si="13"/>
        <v>14861.0567784</v>
      </c>
      <c r="AE11" s="80">
        <f t="shared" si="14"/>
        <v>14566.5471624</v>
      </c>
      <c r="AF11" s="80"/>
      <c r="AG11" s="80">
        <f>C11*9.75766/100</f>
        <v>4390.946999999999</v>
      </c>
      <c r="AH11" s="80">
        <f t="shared" si="15"/>
        <v>26009.04273</v>
      </c>
      <c r="AI11" s="80">
        <f t="shared" si="16"/>
        <v>30399.98973</v>
      </c>
      <c r="AJ11" s="80">
        <f t="shared" si="17"/>
        <v>8567.3230566</v>
      </c>
      <c r="AK11" s="80">
        <f t="shared" si="18"/>
        <v>8397.5397726</v>
      </c>
      <c r="AL11" s="80"/>
      <c r="AM11" s="80">
        <f>C11*7.48131/100</f>
        <v>3366.5895</v>
      </c>
      <c r="AN11" s="80">
        <f t="shared" si="19"/>
        <v>19941.431805</v>
      </c>
      <c r="AO11" s="80">
        <f t="shared" si="20"/>
        <v>23308.021305000002</v>
      </c>
      <c r="AP11" s="80">
        <f t="shared" si="21"/>
        <v>6568.664993099999</v>
      </c>
      <c r="AQ11" s="80">
        <f t="shared" si="22"/>
        <v>6438.4901991</v>
      </c>
      <c r="AR11" s="80"/>
      <c r="AS11" s="80">
        <f>C11*0.21612/100</f>
        <v>97.25399999999999</v>
      </c>
      <c r="AT11" s="80">
        <f t="shared" si="23"/>
        <v>576.06786</v>
      </c>
      <c r="AU11" s="80">
        <f t="shared" si="24"/>
        <v>673.32186</v>
      </c>
      <c r="AV11" s="80">
        <f t="shared" si="25"/>
        <v>189.75552119999998</v>
      </c>
      <c r="AW11" s="80">
        <f t="shared" si="26"/>
        <v>185.9950332</v>
      </c>
      <c r="AX11" s="80"/>
      <c r="AY11" s="80">
        <f>C11*0.01906/100</f>
        <v>8.577</v>
      </c>
      <c r="AZ11" s="80">
        <f t="shared" si="27"/>
        <v>50.80443</v>
      </c>
      <c r="BA11" s="80">
        <f t="shared" si="28"/>
        <v>59.38143</v>
      </c>
      <c r="BB11" s="80">
        <f t="shared" si="29"/>
        <v>16.7348706</v>
      </c>
      <c r="BC11" s="80">
        <f t="shared" si="30"/>
        <v>16.4032266</v>
      </c>
      <c r="BD11" s="80"/>
      <c r="BE11" s="80">
        <f>C11*0.01369/100</f>
        <v>6.160500000000001</v>
      </c>
      <c r="BF11" s="80">
        <f t="shared" si="31"/>
        <v>36.490695</v>
      </c>
      <c r="BG11" s="80">
        <f t="shared" si="32"/>
        <v>42.651195</v>
      </c>
      <c r="BH11" s="80">
        <f t="shared" si="33"/>
        <v>12.019956899999999</v>
      </c>
      <c r="BI11" s="80">
        <f t="shared" si="34"/>
        <v>11.781750899999999</v>
      </c>
      <c r="BJ11" s="80"/>
      <c r="BK11" s="80">
        <f>C11*0.23757/100</f>
        <v>106.9065</v>
      </c>
      <c r="BL11" s="80">
        <f t="shared" si="35"/>
        <v>633.242835</v>
      </c>
      <c r="BM11" s="80">
        <f t="shared" si="36"/>
        <v>740.1493350000001</v>
      </c>
      <c r="BN11" s="80">
        <f t="shared" si="37"/>
        <v>208.5888357</v>
      </c>
      <c r="BO11" s="80">
        <f t="shared" si="38"/>
        <v>204.45511770000002</v>
      </c>
      <c r="BP11" s="80"/>
      <c r="BQ11" s="80">
        <f>C11*5.91225/100</f>
        <v>2660.5125</v>
      </c>
      <c r="BR11" s="80">
        <f t="shared" si="39"/>
        <v>15759.102375</v>
      </c>
      <c r="BS11" s="80">
        <f t="shared" si="40"/>
        <v>18419.614875</v>
      </c>
      <c r="BT11" s="80">
        <f t="shared" si="41"/>
        <v>5191.0146225</v>
      </c>
      <c r="BU11" s="80">
        <f t="shared" si="42"/>
        <v>5088.1414725</v>
      </c>
      <c r="BV11" s="80"/>
      <c r="BW11" s="80">
        <f>C11*1.80534/100</f>
        <v>812.403</v>
      </c>
      <c r="BX11" s="80">
        <f t="shared" si="43"/>
        <v>4812.1337699999995</v>
      </c>
      <c r="BY11" s="80">
        <f t="shared" si="44"/>
        <v>5624.53677</v>
      </c>
      <c r="BZ11" s="80">
        <f t="shared" si="45"/>
        <v>1585.1065734000001</v>
      </c>
      <c r="CA11" s="80">
        <f t="shared" si="46"/>
        <v>1553.6936574000001</v>
      </c>
      <c r="CB11" s="80"/>
      <c r="CC11" s="80">
        <f>C11*5.15053/100</f>
        <v>2317.7385</v>
      </c>
      <c r="CD11" s="80">
        <f t="shared" si="47"/>
        <v>13728.737715000001</v>
      </c>
      <c r="CE11" s="80">
        <f t="shared" si="48"/>
        <v>16046.476215</v>
      </c>
      <c r="CF11" s="80">
        <f t="shared" si="49"/>
        <v>4522.2168452999995</v>
      </c>
      <c r="CG11" s="80">
        <f t="shared" si="50"/>
        <v>4432.5976233</v>
      </c>
      <c r="CH11" s="80"/>
      <c r="CI11" s="80">
        <f>C11*14.16042/100</f>
        <v>6372.189</v>
      </c>
      <c r="CJ11" s="80">
        <f t="shared" si="51"/>
        <v>37744.59951</v>
      </c>
      <c r="CK11" s="80">
        <f t="shared" si="52"/>
        <v>44116.78851</v>
      </c>
      <c r="CL11" s="80">
        <f t="shared" si="53"/>
        <v>12432.9903642</v>
      </c>
      <c r="CM11" s="80">
        <f t="shared" si="54"/>
        <v>12186.5990562</v>
      </c>
      <c r="CN11" s="80"/>
      <c r="CO11" s="80">
        <f>C11*6.15602/100</f>
        <v>2770.209</v>
      </c>
      <c r="CP11" s="80">
        <f t="shared" si="55"/>
        <v>16408.871310000002</v>
      </c>
      <c r="CQ11" s="80">
        <f t="shared" si="56"/>
        <v>19179.08031</v>
      </c>
      <c r="CR11" s="80">
        <f t="shared" si="57"/>
        <v>5405.0471202</v>
      </c>
      <c r="CS11" s="80">
        <f t="shared" si="58"/>
        <v>5297.9323722</v>
      </c>
      <c r="CT11" s="80"/>
      <c r="CU11" s="80">
        <f>C11*5.37414/100</f>
        <v>2418.363</v>
      </c>
      <c r="CV11" s="80">
        <f t="shared" si="59"/>
        <v>14324.77017</v>
      </c>
      <c r="CW11" s="80">
        <f t="shared" si="60"/>
        <v>16743.13317</v>
      </c>
      <c r="CX11" s="80">
        <f t="shared" si="61"/>
        <v>4718.5486614</v>
      </c>
      <c r="CY11" s="80">
        <f t="shared" si="62"/>
        <v>4625.0386254000005</v>
      </c>
      <c r="CZ11" s="80"/>
      <c r="DA11" s="100">
        <f>C11*0.69717/100</f>
        <v>313.7265</v>
      </c>
      <c r="DB11" s="100">
        <f t="shared" si="63"/>
        <v>1858.306635</v>
      </c>
      <c r="DC11" s="100">
        <f t="shared" si="64"/>
        <v>2172.0331349999997</v>
      </c>
      <c r="DD11" s="100">
        <f t="shared" si="65"/>
        <v>612.1222317</v>
      </c>
      <c r="DE11" s="100">
        <f t="shared" si="66"/>
        <v>599.9914737</v>
      </c>
      <c r="DF11" s="80"/>
      <c r="DG11" s="80">
        <f>C11*0.02011/100</f>
        <v>9.0495</v>
      </c>
      <c r="DH11" s="80">
        <f t="shared" si="67"/>
        <v>53.603204999999996</v>
      </c>
      <c r="DI11" s="80">
        <f t="shared" si="68"/>
        <v>62.652705</v>
      </c>
      <c r="DJ11" s="80">
        <f t="shared" si="69"/>
        <v>17.6567811</v>
      </c>
      <c r="DK11" s="80">
        <f t="shared" si="70"/>
        <v>17.3068671</v>
      </c>
      <c r="DL11" s="80"/>
      <c r="DM11" s="80">
        <f>C11*4.70981/100</f>
        <v>2119.4145000000003</v>
      </c>
      <c r="DN11" s="80">
        <f t="shared" si="71"/>
        <v>12553.998555</v>
      </c>
      <c r="DO11" s="80">
        <f t="shared" si="72"/>
        <v>14673.413055</v>
      </c>
      <c r="DP11" s="80">
        <f t="shared" si="73"/>
        <v>4135.2602781</v>
      </c>
      <c r="DQ11" s="80">
        <f t="shared" si="74"/>
        <v>4053.3095841</v>
      </c>
      <c r="DR11" s="80"/>
      <c r="DS11" s="80">
        <f>C11*0.28727/100</f>
        <v>129.2715</v>
      </c>
      <c r="DT11" s="80">
        <f t="shared" si="75"/>
        <v>765.7181850000001</v>
      </c>
      <c r="DU11" s="80">
        <f t="shared" si="76"/>
        <v>894.989685</v>
      </c>
      <c r="DV11" s="80">
        <f t="shared" si="77"/>
        <v>252.22593270000002</v>
      </c>
      <c r="DW11" s="80">
        <f t="shared" si="78"/>
        <v>247.2274347</v>
      </c>
      <c r="DX11" s="80"/>
      <c r="DY11" s="80">
        <f>C11*4.87421/100</f>
        <v>2193.3945</v>
      </c>
      <c r="DZ11" s="80">
        <f t="shared" si="79"/>
        <v>12992.206755</v>
      </c>
      <c r="EA11" s="80">
        <f t="shared" si="80"/>
        <v>15185.601255</v>
      </c>
      <c r="EB11" s="80">
        <f t="shared" si="81"/>
        <v>4279.6051221</v>
      </c>
      <c r="EC11" s="80">
        <f t="shared" si="82"/>
        <v>4194.7938681</v>
      </c>
      <c r="ED11" s="80"/>
      <c r="EE11" s="80">
        <f>C11*0.60754/100</f>
        <v>273.393</v>
      </c>
      <c r="EF11" s="80">
        <f t="shared" si="83"/>
        <v>1619.3978699999998</v>
      </c>
      <c r="EG11" s="80">
        <f t="shared" si="84"/>
        <v>1892.7908699999998</v>
      </c>
      <c r="EH11" s="80">
        <f t="shared" si="85"/>
        <v>533.4261954</v>
      </c>
      <c r="EI11" s="80">
        <f t="shared" si="86"/>
        <v>522.8549994</v>
      </c>
      <c r="EJ11" s="80"/>
      <c r="EK11" s="80">
        <f>C11*0.26185/100</f>
        <v>117.83250000000002</v>
      </c>
      <c r="EL11" s="80">
        <f t="shared" si="87"/>
        <v>697.961175</v>
      </c>
      <c r="EM11" s="80">
        <f t="shared" si="88"/>
        <v>815.793675</v>
      </c>
      <c r="EN11" s="80">
        <f t="shared" si="89"/>
        <v>229.90691850000002</v>
      </c>
      <c r="EO11" s="80">
        <f t="shared" si="90"/>
        <v>225.3507285</v>
      </c>
      <c r="EP11" s="80"/>
      <c r="EQ11" s="80"/>
      <c r="ER11" s="80"/>
      <c r="ES11" s="80"/>
      <c r="ET11" s="80"/>
      <c r="EU11" s="80"/>
      <c r="EV11" s="80"/>
      <c r="EW11" s="83">
        <f t="shared" si="91"/>
        <v>39.141</v>
      </c>
      <c r="EX11" s="83">
        <f t="shared" si="91"/>
        <v>231.84519</v>
      </c>
      <c r="EY11" s="80">
        <f t="shared" si="92"/>
        <v>270.98619</v>
      </c>
      <c r="EZ11" s="80">
        <f t="shared" si="93"/>
        <v>76.3693098</v>
      </c>
      <c r="FA11" s="80">
        <f t="shared" si="94"/>
        <v>74.8558578</v>
      </c>
      <c r="FB11" s="80"/>
      <c r="FC11" s="80">
        <f t="shared" si="95"/>
        <v>87.7725</v>
      </c>
      <c r="FD11" s="80">
        <f t="shared" si="95"/>
        <v>519.905775</v>
      </c>
      <c r="FE11" s="80">
        <f t="shared" si="96"/>
        <v>607.678275</v>
      </c>
      <c r="FF11" s="80">
        <f t="shared" si="97"/>
        <v>171.2558505</v>
      </c>
      <c r="FG11" s="80">
        <f t="shared" si="98"/>
        <v>167.8619805</v>
      </c>
      <c r="FH11" s="80"/>
      <c r="FI11" s="80"/>
      <c r="FJ11" s="80"/>
      <c r="FK11" s="80"/>
      <c r="FL11" s="39"/>
      <c r="FM11" s="39"/>
      <c r="FN11" s="39"/>
      <c r="FO11" s="39"/>
      <c r="FP11" s="39"/>
      <c r="FQ11" s="39"/>
    </row>
    <row r="12" spans="1:173" ht="12">
      <c r="A12" s="22">
        <v>41183</v>
      </c>
      <c r="C12" s="80"/>
      <c r="D12" s="80">
        <v>266100</v>
      </c>
      <c r="E12" s="81">
        <f t="shared" si="0"/>
        <v>266100</v>
      </c>
      <c r="F12" s="81">
        <v>87801</v>
      </c>
      <c r="G12" s="81">
        <v>86061</v>
      </c>
      <c r="H12" s="80"/>
      <c r="I12" s="81">
        <f t="shared" si="1"/>
        <v>0</v>
      </c>
      <c r="J12" s="82">
        <f t="shared" si="1"/>
        <v>750.48183</v>
      </c>
      <c r="K12" s="81">
        <f t="shared" si="2"/>
        <v>750.48183</v>
      </c>
      <c r="L12" s="81">
        <f t="shared" si="3"/>
        <v>247.6251603</v>
      </c>
      <c r="M12" s="81">
        <f t="shared" si="3"/>
        <v>242.71783829999998</v>
      </c>
      <c r="N12" s="80"/>
      <c r="O12" s="80"/>
      <c r="P12" s="80">
        <f t="shared" si="4"/>
        <v>265349.51817000005</v>
      </c>
      <c r="Q12" s="80">
        <f t="shared" si="5"/>
        <v>265349.51817000005</v>
      </c>
      <c r="R12" s="80">
        <f t="shared" si="6"/>
        <v>87553.3748397</v>
      </c>
      <c r="S12" s="80">
        <f t="shared" si="6"/>
        <v>85818.28216170002</v>
      </c>
      <c r="T12" s="80"/>
      <c r="U12" s="83"/>
      <c r="V12" s="83">
        <f t="shared" si="7"/>
        <v>40048.20966</v>
      </c>
      <c r="W12" s="80">
        <f t="shared" si="8"/>
        <v>40048.20966</v>
      </c>
      <c r="X12" s="80">
        <f t="shared" si="9"/>
        <v>13214.103180600001</v>
      </c>
      <c r="Y12" s="80">
        <f t="shared" si="10"/>
        <v>12952.232136600001</v>
      </c>
      <c r="Z12" s="80"/>
      <c r="AA12" s="80"/>
      <c r="AB12" s="80">
        <f t="shared" si="11"/>
        <v>45039.660240000005</v>
      </c>
      <c r="AC12" s="80">
        <f t="shared" si="12"/>
        <v>45039.660240000005</v>
      </c>
      <c r="AD12" s="80">
        <f t="shared" si="13"/>
        <v>14861.0567784</v>
      </c>
      <c r="AE12" s="80">
        <f t="shared" si="14"/>
        <v>14566.5471624</v>
      </c>
      <c r="AF12" s="80"/>
      <c r="AG12" s="80"/>
      <c r="AH12" s="80">
        <f t="shared" si="15"/>
        <v>25965.13326</v>
      </c>
      <c r="AI12" s="80">
        <f t="shared" si="16"/>
        <v>25965.13326</v>
      </c>
      <c r="AJ12" s="80">
        <f t="shared" si="17"/>
        <v>8567.3230566</v>
      </c>
      <c r="AK12" s="80">
        <f t="shared" si="18"/>
        <v>8397.5397726</v>
      </c>
      <c r="AL12" s="80"/>
      <c r="AM12" s="80"/>
      <c r="AN12" s="80">
        <f t="shared" si="19"/>
        <v>19907.765910000002</v>
      </c>
      <c r="AO12" s="80">
        <f t="shared" si="20"/>
        <v>19907.765910000002</v>
      </c>
      <c r="AP12" s="80">
        <f t="shared" si="21"/>
        <v>6568.664993099999</v>
      </c>
      <c r="AQ12" s="80">
        <f t="shared" si="22"/>
        <v>6438.4901991</v>
      </c>
      <c r="AR12" s="80"/>
      <c r="AS12" s="80"/>
      <c r="AT12" s="80">
        <f t="shared" si="23"/>
        <v>575.09532</v>
      </c>
      <c r="AU12" s="80">
        <f t="shared" si="24"/>
        <v>575.09532</v>
      </c>
      <c r="AV12" s="80">
        <f t="shared" si="25"/>
        <v>189.75552119999998</v>
      </c>
      <c r="AW12" s="80">
        <f t="shared" si="26"/>
        <v>185.9950332</v>
      </c>
      <c r="AX12" s="80"/>
      <c r="AY12" s="80"/>
      <c r="AZ12" s="80">
        <f t="shared" si="27"/>
        <v>50.71866</v>
      </c>
      <c r="BA12" s="80">
        <f t="shared" si="28"/>
        <v>50.71866</v>
      </c>
      <c r="BB12" s="80">
        <f t="shared" si="29"/>
        <v>16.7348706</v>
      </c>
      <c r="BC12" s="80">
        <f t="shared" si="30"/>
        <v>16.4032266</v>
      </c>
      <c r="BD12" s="80"/>
      <c r="BE12" s="80"/>
      <c r="BF12" s="80">
        <f t="shared" si="31"/>
        <v>36.42909</v>
      </c>
      <c r="BG12" s="80">
        <f t="shared" si="32"/>
        <v>36.42909</v>
      </c>
      <c r="BH12" s="80">
        <f t="shared" si="33"/>
        <v>12.019956899999999</v>
      </c>
      <c r="BI12" s="80">
        <f t="shared" si="34"/>
        <v>11.781750899999999</v>
      </c>
      <c r="BJ12" s="80"/>
      <c r="BK12" s="80"/>
      <c r="BL12" s="80">
        <f t="shared" si="35"/>
        <v>632.17377</v>
      </c>
      <c r="BM12" s="80">
        <f t="shared" si="36"/>
        <v>632.17377</v>
      </c>
      <c r="BN12" s="80">
        <f t="shared" si="37"/>
        <v>208.5888357</v>
      </c>
      <c r="BO12" s="80">
        <f t="shared" si="38"/>
        <v>204.45511770000002</v>
      </c>
      <c r="BP12" s="80"/>
      <c r="BQ12" s="80"/>
      <c r="BR12" s="80">
        <f t="shared" si="39"/>
        <v>15732.49725</v>
      </c>
      <c r="BS12" s="80">
        <f t="shared" si="40"/>
        <v>15732.49725</v>
      </c>
      <c r="BT12" s="80">
        <f t="shared" si="41"/>
        <v>5191.0146225</v>
      </c>
      <c r="BU12" s="80">
        <f t="shared" si="42"/>
        <v>5088.1414725</v>
      </c>
      <c r="BV12" s="80"/>
      <c r="BW12" s="80"/>
      <c r="BX12" s="80">
        <f t="shared" si="43"/>
        <v>4804.0097399999995</v>
      </c>
      <c r="BY12" s="80">
        <f t="shared" si="44"/>
        <v>4804.0097399999995</v>
      </c>
      <c r="BZ12" s="80">
        <f t="shared" si="45"/>
        <v>1585.1065734000001</v>
      </c>
      <c r="CA12" s="80">
        <f t="shared" si="46"/>
        <v>1553.6936574000001</v>
      </c>
      <c r="CB12" s="80"/>
      <c r="CC12" s="80"/>
      <c r="CD12" s="80">
        <f t="shared" si="47"/>
        <v>13705.56033</v>
      </c>
      <c r="CE12" s="80">
        <f t="shared" si="48"/>
        <v>13705.56033</v>
      </c>
      <c r="CF12" s="80">
        <f t="shared" si="49"/>
        <v>4522.2168452999995</v>
      </c>
      <c r="CG12" s="80">
        <f t="shared" si="50"/>
        <v>4432.5976233</v>
      </c>
      <c r="CH12" s="80"/>
      <c r="CI12" s="80"/>
      <c r="CJ12" s="80">
        <f t="shared" si="51"/>
        <v>37680.87762</v>
      </c>
      <c r="CK12" s="80">
        <f t="shared" si="52"/>
        <v>37680.87762</v>
      </c>
      <c r="CL12" s="80">
        <f t="shared" si="53"/>
        <v>12432.9903642</v>
      </c>
      <c r="CM12" s="80">
        <f t="shared" si="54"/>
        <v>12186.5990562</v>
      </c>
      <c r="CN12" s="80"/>
      <c r="CO12" s="80"/>
      <c r="CP12" s="80">
        <f t="shared" si="55"/>
        <v>16381.16922</v>
      </c>
      <c r="CQ12" s="80">
        <f t="shared" si="56"/>
        <v>16381.16922</v>
      </c>
      <c r="CR12" s="80">
        <f t="shared" si="57"/>
        <v>5405.0471202</v>
      </c>
      <c r="CS12" s="80">
        <f t="shared" si="58"/>
        <v>5297.9323722</v>
      </c>
      <c r="CT12" s="80"/>
      <c r="CU12" s="80"/>
      <c r="CV12" s="80">
        <f t="shared" si="59"/>
        <v>14300.586539999998</v>
      </c>
      <c r="CW12" s="80">
        <f t="shared" si="60"/>
        <v>14300.586539999998</v>
      </c>
      <c r="CX12" s="80">
        <f t="shared" si="61"/>
        <v>4718.5486614</v>
      </c>
      <c r="CY12" s="80">
        <f t="shared" si="62"/>
        <v>4625.0386254000005</v>
      </c>
      <c r="CZ12" s="80"/>
      <c r="DA12" s="100"/>
      <c r="DB12" s="100">
        <f t="shared" si="63"/>
        <v>1855.1693699999998</v>
      </c>
      <c r="DC12" s="100">
        <f t="shared" si="64"/>
        <v>1855.1693699999998</v>
      </c>
      <c r="DD12" s="100">
        <f t="shared" si="65"/>
        <v>612.1222317</v>
      </c>
      <c r="DE12" s="100">
        <f t="shared" si="66"/>
        <v>599.9914737</v>
      </c>
      <c r="DF12" s="80"/>
      <c r="DG12" s="80"/>
      <c r="DH12" s="80">
        <f t="shared" si="67"/>
        <v>53.51271</v>
      </c>
      <c r="DI12" s="80">
        <f t="shared" si="68"/>
        <v>53.51271</v>
      </c>
      <c r="DJ12" s="80">
        <f t="shared" si="69"/>
        <v>17.6567811</v>
      </c>
      <c r="DK12" s="80">
        <f t="shared" si="70"/>
        <v>17.3068671</v>
      </c>
      <c r="DL12" s="80"/>
      <c r="DM12" s="80"/>
      <c r="DN12" s="80">
        <f t="shared" si="71"/>
        <v>12532.80441</v>
      </c>
      <c r="DO12" s="80">
        <f t="shared" si="72"/>
        <v>12532.80441</v>
      </c>
      <c r="DP12" s="80">
        <f t="shared" si="73"/>
        <v>4135.2602781</v>
      </c>
      <c r="DQ12" s="80">
        <f t="shared" si="74"/>
        <v>4053.3095841</v>
      </c>
      <c r="DR12" s="80"/>
      <c r="DS12" s="80"/>
      <c r="DT12" s="80">
        <f t="shared" si="75"/>
        <v>764.42547</v>
      </c>
      <c r="DU12" s="80">
        <f t="shared" si="76"/>
        <v>764.42547</v>
      </c>
      <c r="DV12" s="80">
        <f t="shared" si="77"/>
        <v>252.22593270000002</v>
      </c>
      <c r="DW12" s="80">
        <f t="shared" si="78"/>
        <v>247.2274347</v>
      </c>
      <c r="DX12" s="80"/>
      <c r="DY12" s="80"/>
      <c r="DZ12" s="80">
        <f t="shared" si="79"/>
        <v>12970.27281</v>
      </c>
      <c r="EA12" s="80">
        <f t="shared" si="80"/>
        <v>12970.27281</v>
      </c>
      <c r="EB12" s="80">
        <f t="shared" si="81"/>
        <v>4279.6051221</v>
      </c>
      <c r="EC12" s="80">
        <f t="shared" si="82"/>
        <v>4194.7938681</v>
      </c>
      <c r="ED12" s="80"/>
      <c r="EE12" s="80"/>
      <c r="EF12" s="80">
        <f t="shared" si="83"/>
        <v>1616.66394</v>
      </c>
      <c r="EG12" s="80">
        <f t="shared" si="84"/>
        <v>1616.66394</v>
      </c>
      <c r="EH12" s="80">
        <f t="shared" si="85"/>
        <v>533.4261954</v>
      </c>
      <c r="EI12" s="80">
        <f t="shared" si="86"/>
        <v>522.8549994</v>
      </c>
      <c r="EJ12" s="80"/>
      <c r="EK12" s="80"/>
      <c r="EL12" s="80">
        <f t="shared" si="87"/>
        <v>696.78285</v>
      </c>
      <c r="EM12" s="80">
        <f t="shared" si="88"/>
        <v>696.78285</v>
      </c>
      <c r="EN12" s="80">
        <f t="shared" si="89"/>
        <v>229.90691850000002</v>
      </c>
      <c r="EO12" s="80">
        <f t="shared" si="90"/>
        <v>225.3507285</v>
      </c>
      <c r="EP12" s="80"/>
      <c r="EQ12" s="80"/>
      <c r="ER12" s="80"/>
      <c r="ES12" s="80"/>
      <c r="ET12" s="80"/>
      <c r="EU12" s="80"/>
      <c r="EV12" s="80"/>
      <c r="EW12" s="83">
        <f t="shared" si="91"/>
        <v>0</v>
      </c>
      <c r="EX12" s="83">
        <f t="shared" si="91"/>
        <v>231.45378</v>
      </c>
      <c r="EY12" s="80">
        <f t="shared" si="92"/>
        <v>231.45378</v>
      </c>
      <c r="EZ12" s="80">
        <f t="shared" si="93"/>
        <v>76.3693098</v>
      </c>
      <c r="FA12" s="80">
        <f t="shared" si="94"/>
        <v>74.8558578</v>
      </c>
      <c r="FB12" s="80"/>
      <c r="FC12" s="80">
        <f t="shared" si="95"/>
        <v>0</v>
      </c>
      <c r="FD12" s="80">
        <f t="shared" si="95"/>
        <v>519.02805</v>
      </c>
      <c r="FE12" s="80">
        <f t="shared" si="96"/>
        <v>519.02805</v>
      </c>
      <c r="FF12" s="80">
        <f t="shared" si="97"/>
        <v>171.2558505</v>
      </c>
      <c r="FG12" s="80">
        <f t="shared" si="98"/>
        <v>167.8619805</v>
      </c>
      <c r="FH12" s="80"/>
      <c r="FI12" s="80"/>
      <c r="FJ12" s="80"/>
      <c r="FK12" s="80"/>
      <c r="FL12" s="39"/>
      <c r="FM12" s="39"/>
      <c r="FN12" s="39"/>
      <c r="FO12" s="39"/>
      <c r="FP12" s="39"/>
      <c r="FQ12" s="39"/>
    </row>
    <row r="13" spans="1:173" ht="12">
      <c r="A13" s="22">
        <v>41365</v>
      </c>
      <c r="C13" s="80">
        <v>3900000</v>
      </c>
      <c r="D13" s="80">
        <v>266100</v>
      </c>
      <c r="E13" s="81">
        <f t="shared" si="0"/>
        <v>4166100</v>
      </c>
      <c r="F13" s="81">
        <v>87801</v>
      </c>
      <c r="G13" s="81">
        <v>86061</v>
      </c>
      <c r="H13" s="80"/>
      <c r="I13" s="81">
        <f t="shared" si="1"/>
        <v>10999.17</v>
      </c>
      <c r="J13" s="82">
        <f t="shared" si="1"/>
        <v>750.48183</v>
      </c>
      <c r="K13" s="81">
        <f t="shared" si="2"/>
        <v>11749.65183</v>
      </c>
      <c r="L13" s="81">
        <f t="shared" si="3"/>
        <v>247.6251603</v>
      </c>
      <c r="M13" s="81">
        <f t="shared" si="3"/>
        <v>242.71783829999998</v>
      </c>
      <c r="N13" s="80"/>
      <c r="O13" s="80">
        <f t="shared" si="99"/>
        <v>3889000.8299999987</v>
      </c>
      <c r="P13" s="80">
        <f t="shared" si="4"/>
        <v>265349.51817000005</v>
      </c>
      <c r="Q13" s="80">
        <f t="shared" si="5"/>
        <v>4154350.3481699987</v>
      </c>
      <c r="R13" s="80">
        <f t="shared" si="6"/>
        <v>87553.3748397</v>
      </c>
      <c r="S13" s="80">
        <f t="shared" si="6"/>
        <v>85818.28216170002</v>
      </c>
      <c r="T13" s="80"/>
      <c r="U13" s="83">
        <f>C13*15.05006/100</f>
        <v>586952.34</v>
      </c>
      <c r="V13" s="83">
        <f t="shared" si="7"/>
        <v>40048.20966</v>
      </c>
      <c r="W13" s="80">
        <f t="shared" si="8"/>
        <v>627000.54966</v>
      </c>
      <c r="X13" s="80">
        <f t="shared" si="9"/>
        <v>13214.103180600001</v>
      </c>
      <c r="Y13" s="80">
        <f t="shared" si="10"/>
        <v>12952.232136600001</v>
      </c>
      <c r="Z13" s="80"/>
      <c r="AA13" s="80">
        <f>C13*16.92584/100</f>
        <v>660107.76</v>
      </c>
      <c r="AB13" s="80">
        <f t="shared" si="11"/>
        <v>45039.660240000005</v>
      </c>
      <c r="AC13" s="80">
        <f t="shared" si="12"/>
        <v>705147.42024</v>
      </c>
      <c r="AD13" s="80">
        <f t="shared" si="13"/>
        <v>14861.0567784</v>
      </c>
      <c r="AE13" s="80">
        <f t="shared" si="14"/>
        <v>14566.5471624</v>
      </c>
      <c r="AF13" s="80"/>
      <c r="AG13" s="80">
        <f>C13*9.75766/100</f>
        <v>380548.74</v>
      </c>
      <c r="AH13" s="80">
        <f t="shared" si="15"/>
        <v>25965.13326</v>
      </c>
      <c r="AI13" s="80">
        <f t="shared" si="16"/>
        <v>406513.87325999996</v>
      </c>
      <c r="AJ13" s="80">
        <f t="shared" si="17"/>
        <v>8567.3230566</v>
      </c>
      <c r="AK13" s="80">
        <f t="shared" si="18"/>
        <v>8397.5397726</v>
      </c>
      <c r="AL13" s="80"/>
      <c r="AM13" s="80">
        <f>C13*7.48131/100</f>
        <v>291771.09</v>
      </c>
      <c r="AN13" s="80">
        <f t="shared" si="19"/>
        <v>19907.765910000002</v>
      </c>
      <c r="AO13" s="80">
        <f t="shared" si="20"/>
        <v>311678.85591000004</v>
      </c>
      <c r="AP13" s="80">
        <f t="shared" si="21"/>
        <v>6568.664993099999</v>
      </c>
      <c r="AQ13" s="80">
        <f t="shared" si="22"/>
        <v>6438.4901991</v>
      </c>
      <c r="AR13" s="80"/>
      <c r="AS13" s="80">
        <f>C13*0.21612/100</f>
        <v>8428.68</v>
      </c>
      <c r="AT13" s="80">
        <f t="shared" si="23"/>
        <v>575.09532</v>
      </c>
      <c r="AU13" s="80">
        <f t="shared" si="24"/>
        <v>9003.77532</v>
      </c>
      <c r="AV13" s="80">
        <f t="shared" si="25"/>
        <v>189.75552119999998</v>
      </c>
      <c r="AW13" s="80">
        <f t="shared" si="26"/>
        <v>185.9950332</v>
      </c>
      <c r="AX13" s="80"/>
      <c r="AY13" s="80">
        <f>C13*0.01906/100</f>
        <v>743.34</v>
      </c>
      <c r="AZ13" s="80">
        <f t="shared" si="27"/>
        <v>50.71866</v>
      </c>
      <c r="BA13" s="80">
        <f t="shared" si="28"/>
        <v>794.05866</v>
      </c>
      <c r="BB13" s="80">
        <f t="shared" si="29"/>
        <v>16.7348706</v>
      </c>
      <c r="BC13" s="80">
        <f t="shared" si="30"/>
        <v>16.4032266</v>
      </c>
      <c r="BD13" s="80"/>
      <c r="BE13" s="80">
        <f>C13*0.01369/100</f>
        <v>533.91</v>
      </c>
      <c r="BF13" s="80">
        <f t="shared" si="31"/>
        <v>36.42909</v>
      </c>
      <c r="BG13" s="80">
        <f t="shared" si="32"/>
        <v>570.3390899999999</v>
      </c>
      <c r="BH13" s="80">
        <f t="shared" si="33"/>
        <v>12.019956899999999</v>
      </c>
      <c r="BI13" s="80">
        <f t="shared" si="34"/>
        <v>11.781750899999999</v>
      </c>
      <c r="BJ13" s="80"/>
      <c r="BK13" s="80">
        <f>C13*0.23757/100</f>
        <v>9265.23</v>
      </c>
      <c r="BL13" s="80">
        <f t="shared" si="35"/>
        <v>632.17377</v>
      </c>
      <c r="BM13" s="80">
        <f t="shared" si="36"/>
        <v>9897.403769999999</v>
      </c>
      <c r="BN13" s="80">
        <f t="shared" si="37"/>
        <v>208.5888357</v>
      </c>
      <c r="BO13" s="80">
        <f t="shared" si="38"/>
        <v>204.45511770000002</v>
      </c>
      <c r="BP13" s="80"/>
      <c r="BQ13" s="80">
        <f>C13*5.91225/100</f>
        <v>230577.75</v>
      </c>
      <c r="BR13" s="80">
        <f t="shared" si="39"/>
        <v>15732.49725</v>
      </c>
      <c r="BS13" s="80">
        <f t="shared" si="40"/>
        <v>246310.24725000001</v>
      </c>
      <c r="BT13" s="80">
        <f t="shared" si="41"/>
        <v>5191.0146225</v>
      </c>
      <c r="BU13" s="80">
        <f t="shared" si="42"/>
        <v>5088.1414725</v>
      </c>
      <c r="BV13" s="80"/>
      <c r="BW13" s="80">
        <f>C13*1.80534/100</f>
        <v>70408.26</v>
      </c>
      <c r="BX13" s="80">
        <f t="shared" si="43"/>
        <v>4804.0097399999995</v>
      </c>
      <c r="BY13" s="80">
        <f t="shared" si="44"/>
        <v>75212.26973999999</v>
      </c>
      <c r="BZ13" s="80">
        <f t="shared" si="45"/>
        <v>1585.1065734000001</v>
      </c>
      <c r="CA13" s="80">
        <f t="shared" si="46"/>
        <v>1553.6936574000001</v>
      </c>
      <c r="CB13" s="80"/>
      <c r="CC13" s="80">
        <f>C13*5.15053/100</f>
        <v>200870.67</v>
      </c>
      <c r="CD13" s="80">
        <f t="shared" si="47"/>
        <v>13705.56033</v>
      </c>
      <c r="CE13" s="80">
        <f t="shared" si="48"/>
        <v>214576.23033000002</v>
      </c>
      <c r="CF13" s="80">
        <f t="shared" si="49"/>
        <v>4522.2168452999995</v>
      </c>
      <c r="CG13" s="80">
        <f t="shared" si="50"/>
        <v>4432.5976233</v>
      </c>
      <c r="CH13" s="80"/>
      <c r="CI13" s="80">
        <f>C13*14.16042/100</f>
        <v>552256.38</v>
      </c>
      <c r="CJ13" s="80">
        <f t="shared" si="51"/>
        <v>37680.87762</v>
      </c>
      <c r="CK13" s="80">
        <f t="shared" si="52"/>
        <v>589937.25762</v>
      </c>
      <c r="CL13" s="80">
        <f t="shared" si="53"/>
        <v>12432.9903642</v>
      </c>
      <c r="CM13" s="80">
        <f t="shared" si="54"/>
        <v>12186.5990562</v>
      </c>
      <c r="CN13" s="80"/>
      <c r="CO13" s="80">
        <f>C13*6.15602/100</f>
        <v>240084.78</v>
      </c>
      <c r="CP13" s="80">
        <f t="shared" si="55"/>
        <v>16381.16922</v>
      </c>
      <c r="CQ13" s="80">
        <f t="shared" si="56"/>
        <v>256465.94922</v>
      </c>
      <c r="CR13" s="80">
        <f t="shared" si="57"/>
        <v>5405.0471202</v>
      </c>
      <c r="CS13" s="80">
        <f t="shared" si="58"/>
        <v>5297.9323722</v>
      </c>
      <c r="CT13" s="80"/>
      <c r="CU13" s="80">
        <f>C13*5.37414/100</f>
        <v>209591.46</v>
      </c>
      <c r="CV13" s="80">
        <f t="shared" si="59"/>
        <v>14300.586539999998</v>
      </c>
      <c r="CW13" s="80">
        <f t="shared" si="60"/>
        <v>223892.04653999998</v>
      </c>
      <c r="CX13" s="80">
        <f t="shared" si="61"/>
        <v>4718.5486614</v>
      </c>
      <c r="CY13" s="80">
        <f t="shared" si="62"/>
        <v>4625.0386254000005</v>
      </c>
      <c r="CZ13" s="80"/>
      <c r="DA13" s="100">
        <f>C13*0.69717/100</f>
        <v>27189.63</v>
      </c>
      <c r="DB13" s="100">
        <f t="shared" si="63"/>
        <v>1855.1693699999998</v>
      </c>
      <c r="DC13" s="100">
        <f t="shared" si="64"/>
        <v>29044.79937</v>
      </c>
      <c r="DD13" s="100">
        <f t="shared" si="65"/>
        <v>612.1222317</v>
      </c>
      <c r="DE13" s="100">
        <f t="shared" si="66"/>
        <v>599.9914737</v>
      </c>
      <c r="DF13" s="80"/>
      <c r="DG13" s="80">
        <f>C13*0.02011/100</f>
        <v>784.29</v>
      </c>
      <c r="DH13" s="80">
        <f t="shared" si="67"/>
        <v>53.51271</v>
      </c>
      <c r="DI13" s="80">
        <f t="shared" si="68"/>
        <v>837.8027099999999</v>
      </c>
      <c r="DJ13" s="80">
        <f t="shared" si="69"/>
        <v>17.6567811</v>
      </c>
      <c r="DK13" s="80">
        <f t="shared" si="70"/>
        <v>17.3068671</v>
      </c>
      <c r="DL13" s="80"/>
      <c r="DM13" s="80">
        <f>C13*4.70981/100</f>
        <v>183682.59</v>
      </c>
      <c r="DN13" s="80">
        <f t="shared" si="71"/>
        <v>12532.80441</v>
      </c>
      <c r="DO13" s="80">
        <f t="shared" si="72"/>
        <v>196215.39441</v>
      </c>
      <c r="DP13" s="80">
        <f t="shared" si="73"/>
        <v>4135.2602781</v>
      </c>
      <c r="DQ13" s="80">
        <f t="shared" si="74"/>
        <v>4053.3095841</v>
      </c>
      <c r="DR13" s="80"/>
      <c r="DS13" s="80">
        <f>C13*0.28727/100</f>
        <v>11203.53</v>
      </c>
      <c r="DT13" s="80">
        <f t="shared" si="75"/>
        <v>764.42547</v>
      </c>
      <c r="DU13" s="80">
        <f t="shared" si="76"/>
        <v>11967.95547</v>
      </c>
      <c r="DV13" s="80">
        <f t="shared" si="77"/>
        <v>252.22593270000002</v>
      </c>
      <c r="DW13" s="80">
        <f t="shared" si="78"/>
        <v>247.2274347</v>
      </c>
      <c r="DX13" s="80"/>
      <c r="DY13" s="80">
        <f>C13*4.87421/100</f>
        <v>190094.19</v>
      </c>
      <c r="DZ13" s="80">
        <f t="shared" si="79"/>
        <v>12970.27281</v>
      </c>
      <c r="EA13" s="80">
        <f t="shared" si="80"/>
        <v>203064.46281</v>
      </c>
      <c r="EB13" s="80">
        <f t="shared" si="81"/>
        <v>4279.6051221</v>
      </c>
      <c r="EC13" s="80">
        <f t="shared" si="82"/>
        <v>4194.7938681</v>
      </c>
      <c r="ED13" s="80"/>
      <c r="EE13" s="80">
        <f>C13*0.60754/100</f>
        <v>23694.06</v>
      </c>
      <c r="EF13" s="80">
        <f t="shared" si="83"/>
        <v>1616.66394</v>
      </c>
      <c r="EG13" s="80">
        <f t="shared" si="84"/>
        <v>25310.72394</v>
      </c>
      <c r="EH13" s="80">
        <f t="shared" si="85"/>
        <v>533.4261954</v>
      </c>
      <c r="EI13" s="80">
        <f t="shared" si="86"/>
        <v>522.8549994</v>
      </c>
      <c r="EJ13" s="80"/>
      <c r="EK13" s="80">
        <f>C13*0.26185/100</f>
        <v>10212.150000000001</v>
      </c>
      <c r="EL13" s="80">
        <f t="shared" si="87"/>
        <v>696.78285</v>
      </c>
      <c r="EM13" s="80">
        <f t="shared" si="88"/>
        <v>10908.932850000001</v>
      </c>
      <c r="EN13" s="80">
        <f t="shared" si="89"/>
        <v>229.90691850000002</v>
      </c>
      <c r="EO13" s="80">
        <f t="shared" si="90"/>
        <v>225.3507285</v>
      </c>
      <c r="EP13" s="80"/>
      <c r="EQ13" s="80"/>
      <c r="ER13" s="80"/>
      <c r="ES13" s="80"/>
      <c r="ET13" s="80"/>
      <c r="EU13" s="80"/>
      <c r="EV13" s="80"/>
      <c r="EW13" s="83">
        <f t="shared" si="91"/>
        <v>3392.22</v>
      </c>
      <c r="EX13" s="83">
        <f t="shared" si="91"/>
        <v>231.45378</v>
      </c>
      <c r="EY13" s="80">
        <f t="shared" si="92"/>
        <v>3623.6737799999996</v>
      </c>
      <c r="EZ13" s="80">
        <f t="shared" si="93"/>
        <v>76.3693098</v>
      </c>
      <c r="FA13" s="80">
        <f t="shared" si="94"/>
        <v>74.8558578</v>
      </c>
      <c r="FB13" s="80"/>
      <c r="FC13" s="80">
        <f t="shared" si="95"/>
        <v>7606.95</v>
      </c>
      <c r="FD13" s="80">
        <f t="shared" si="95"/>
        <v>519.02805</v>
      </c>
      <c r="FE13" s="80">
        <f t="shared" si="96"/>
        <v>8125.97805</v>
      </c>
      <c r="FF13" s="80">
        <f t="shared" si="97"/>
        <v>171.2558505</v>
      </c>
      <c r="FG13" s="80">
        <f t="shared" si="98"/>
        <v>167.8619805</v>
      </c>
      <c r="FH13" s="80"/>
      <c r="FI13" s="80"/>
      <c r="FJ13" s="80"/>
      <c r="FK13" s="80"/>
      <c r="FL13" s="39"/>
      <c r="FM13" s="39"/>
      <c r="FN13" s="39"/>
      <c r="FO13" s="39"/>
      <c r="FP13" s="39"/>
      <c r="FQ13" s="39"/>
    </row>
    <row r="14" spans="1:173" ht="12">
      <c r="A14" s="22">
        <v>41548</v>
      </c>
      <c r="C14" s="80"/>
      <c r="D14" s="80">
        <v>207600</v>
      </c>
      <c r="E14" s="81">
        <f t="shared" si="0"/>
        <v>207600</v>
      </c>
      <c r="F14" s="81">
        <v>87801</v>
      </c>
      <c r="G14" s="81">
        <v>86061</v>
      </c>
      <c r="H14" s="80"/>
      <c r="I14" s="81">
        <f t="shared" si="1"/>
        <v>0</v>
      </c>
      <c r="J14" s="82">
        <f t="shared" si="1"/>
        <v>585.4942799999999</v>
      </c>
      <c r="K14" s="81">
        <f t="shared" si="2"/>
        <v>585.4942799999999</v>
      </c>
      <c r="L14" s="81">
        <f t="shared" si="3"/>
        <v>247.6251603</v>
      </c>
      <c r="M14" s="81">
        <f t="shared" si="3"/>
        <v>242.71783829999998</v>
      </c>
      <c r="N14" s="80"/>
      <c r="O14" s="80"/>
      <c r="P14" s="80">
        <f t="shared" si="4"/>
        <v>207014.50572000002</v>
      </c>
      <c r="Q14" s="80">
        <f t="shared" si="5"/>
        <v>207014.50572000002</v>
      </c>
      <c r="R14" s="80">
        <f t="shared" si="6"/>
        <v>87553.3748397</v>
      </c>
      <c r="S14" s="80">
        <f t="shared" si="6"/>
        <v>85818.28216170002</v>
      </c>
      <c r="T14" s="80"/>
      <c r="U14" s="83"/>
      <c r="V14" s="83">
        <f t="shared" si="7"/>
        <v>31243.924560000003</v>
      </c>
      <c r="W14" s="80">
        <f t="shared" si="8"/>
        <v>31243.924560000003</v>
      </c>
      <c r="X14" s="80">
        <f t="shared" si="9"/>
        <v>13214.103180600001</v>
      </c>
      <c r="Y14" s="80">
        <f t="shared" si="10"/>
        <v>12952.232136600001</v>
      </c>
      <c r="Z14" s="80"/>
      <c r="AA14" s="80"/>
      <c r="AB14" s="80">
        <f t="shared" si="11"/>
        <v>35138.04384</v>
      </c>
      <c r="AC14" s="80">
        <f t="shared" si="12"/>
        <v>35138.04384</v>
      </c>
      <c r="AD14" s="80">
        <f t="shared" si="13"/>
        <v>14861.0567784</v>
      </c>
      <c r="AE14" s="80">
        <f t="shared" si="14"/>
        <v>14566.5471624</v>
      </c>
      <c r="AF14" s="80"/>
      <c r="AG14" s="80"/>
      <c r="AH14" s="80">
        <f t="shared" si="15"/>
        <v>20256.90216</v>
      </c>
      <c r="AI14" s="80">
        <f t="shared" si="16"/>
        <v>20256.90216</v>
      </c>
      <c r="AJ14" s="80">
        <f t="shared" si="17"/>
        <v>8567.3230566</v>
      </c>
      <c r="AK14" s="80">
        <f t="shared" si="18"/>
        <v>8397.5397726</v>
      </c>
      <c r="AL14" s="80"/>
      <c r="AM14" s="80"/>
      <c r="AN14" s="80">
        <f t="shared" si="19"/>
        <v>15531.199560000001</v>
      </c>
      <c r="AO14" s="80">
        <f t="shared" si="20"/>
        <v>15531.199560000001</v>
      </c>
      <c r="AP14" s="80">
        <f t="shared" si="21"/>
        <v>6568.664993099999</v>
      </c>
      <c r="AQ14" s="80">
        <f t="shared" si="22"/>
        <v>6438.4901991</v>
      </c>
      <c r="AR14" s="80"/>
      <c r="AS14" s="80"/>
      <c r="AT14" s="80">
        <f t="shared" si="23"/>
        <v>448.66512</v>
      </c>
      <c r="AU14" s="80">
        <f t="shared" si="24"/>
        <v>448.66512</v>
      </c>
      <c r="AV14" s="80">
        <f t="shared" si="25"/>
        <v>189.75552119999998</v>
      </c>
      <c r="AW14" s="80">
        <f t="shared" si="26"/>
        <v>185.9950332</v>
      </c>
      <c r="AX14" s="80"/>
      <c r="AY14" s="80"/>
      <c r="AZ14" s="80">
        <f t="shared" si="27"/>
        <v>39.568560000000005</v>
      </c>
      <c r="BA14" s="80">
        <f t="shared" si="28"/>
        <v>39.568560000000005</v>
      </c>
      <c r="BB14" s="80">
        <f t="shared" si="29"/>
        <v>16.7348706</v>
      </c>
      <c r="BC14" s="80">
        <f t="shared" si="30"/>
        <v>16.4032266</v>
      </c>
      <c r="BD14" s="80"/>
      <c r="BE14" s="80"/>
      <c r="BF14" s="80">
        <f t="shared" si="31"/>
        <v>28.420440000000003</v>
      </c>
      <c r="BG14" s="80">
        <f t="shared" si="32"/>
        <v>28.420440000000003</v>
      </c>
      <c r="BH14" s="80">
        <f t="shared" si="33"/>
        <v>12.019956899999999</v>
      </c>
      <c r="BI14" s="80">
        <f t="shared" si="34"/>
        <v>11.781750899999999</v>
      </c>
      <c r="BJ14" s="80"/>
      <c r="BK14" s="80"/>
      <c r="BL14" s="80">
        <f t="shared" si="35"/>
        <v>493.19532</v>
      </c>
      <c r="BM14" s="80">
        <f t="shared" si="36"/>
        <v>493.19532</v>
      </c>
      <c r="BN14" s="80">
        <f t="shared" si="37"/>
        <v>208.5888357</v>
      </c>
      <c r="BO14" s="80">
        <f t="shared" si="38"/>
        <v>204.45511770000002</v>
      </c>
      <c r="BP14" s="80"/>
      <c r="BQ14" s="80"/>
      <c r="BR14" s="80">
        <f t="shared" si="39"/>
        <v>12273.831</v>
      </c>
      <c r="BS14" s="80">
        <f t="shared" si="40"/>
        <v>12273.831</v>
      </c>
      <c r="BT14" s="80">
        <f t="shared" si="41"/>
        <v>5191.0146225</v>
      </c>
      <c r="BU14" s="80">
        <f t="shared" si="42"/>
        <v>5088.1414725</v>
      </c>
      <c r="BV14" s="80"/>
      <c r="BW14" s="80"/>
      <c r="BX14" s="80">
        <f t="shared" si="43"/>
        <v>3747.88584</v>
      </c>
      <c r="BY14" s="80">
        <f t="shared" si="44"/>
        <v>3747.88584</v>
      </c>
      <c r="BZ14" s="80">
        <f t="shared" si="45"/>
        <v>1585.1065734000001</v>
      </c>
      <c r="CA14" s="80">
        <f t="shared" si="46"/>
        <v>1553.6936574000001</v>
      </c>
      <c r="CB14" s="80"/>
      <c r="CC14" s="80"/>
      <c r="CD14" s="80">
        <f t="shared" si="47"/>
        <v>10692.50028</v>
      </c>
      <c r="CE14" s="80">
        <f t="shared" si="48"/>
        <v>10692.50028</v>
      </c>
      <c r="CF14" s="80">
        <f t="shared" si="49"/>
        <v>4522.2168452999995</v>
      </c>
      <c r="CG14" s="80">
        <f t="shared" si="50"/>
        <v>4432.5976233</v>
      </c>
      <c r="CH14" s="80"/>
      <c r="CI14" s="80"/>
      <c r="CJ14" s="80">
        <f t="shared" si="51"/>
        <v>29397.03192</v>
      </c>
      <c r="CK14" s="80">
        <f t="shared" si="52"/>
        <v>29397.03192</v>
      </c>
      <c r="CL14" s="80">
        <f t="shared" si="53"/>
        <v>12432.9903642</v>
      </c>
      <c r="CM14" s="80">
        <f t="shared" si="54"/>
        <v>12186.5990562</v>
      </c>
      <c r="CN14" s="80"/>
      <c r="CO14" s="80"/>
      <c r="CP14" s="80">
        <f t="shared" si="55"/>
        <v>12779.897519999999</v>
      </c>
      <c r="CQ14" s="80">
        <f t="shared" si="56"/>
        <v>12779.897519999999</v>
      </c>
      <c r="CR14" s="80">
        <f t="shared" si="57"/>
        <v>5405.0471202</v>
      </c>
      <c r="CS14" s="80">
        <f t="shared" si="58"/>
        <v>5297.9323722</v>
      </c>
      <c r="CT14" s="80"/>
      <c r="CU14" s="80"/>
      <c r="CV14" s="80">
        <f t="shared" si="59"/>
        <v>11156.714639999998</v>
      </c>
      <c r="CW14" s="80">
        <f t="shared" si="60"/>
        <v>11156.714639999998</v>
      </c>
      <c r="CX14" s="80">
        <f t="shared" si="61"/>
        <v>4718.5486614</v>
      </c>
      <c r="CY14" s="80">
        <f t="shared" si="62"/>
        <v>4625.0386254000005</v>
      </c>
      <c r="CZ14" s="80"/>
      <c r="DA14" s="100"/>
      <c r="DB14" s="100">
        <f t="shared" si="63"/>
        <v>1447.32492</v>
      </c>
      <c r="DC14" s="100">
        <f t="shared" si="64"/>
        <v>1447.32492</v>
      </c>
      <c r="DD14" s="100">
        <f t="shared" si="65"/>
        <v>612.1222317</v>
      </c>
      <c r="DE14" s="100">
        <f t="shared" si="66"/>
        <v>599.9914737</v>
      </c>
      <c r="DF14" s="80"/>
      <c r="DG14" s="80"/>
      <c r="DH14" s="80">
        <f t="shared" si="67"/>
        <v>41.748360000000005</v>
      </c>
      <c r="DI14" s="80">
        <f t="shared" si="68"/>
        <v>41.748360000000005</v>
      </c>
      <c r="DJ14" s="80">
        <f t="shared" si="69"/>
        <v>17.6567811</v>
      </c>
      <c r="DK14" s="80">
        <f t="shared" si="70"/>
        <v>17.3068671</v>
      </c>
      <c r="DL14" s="80"/>
      <c r="DM14" s="80"/>
      <c r="DN14" s="80">
        <f t="shared" si="71"/>
        <v>9777.56556</v>
      </c>
      <c r="DO14" s="80">
        <f t="shared" si="72"/>
        <v>9777.56556</v>
      </c>
      <c r="DP14" s="80">
        <f t="shared" si="73"/>
        <v>4135.2602781</v>
      </c>
      <c r="DQ14" s="80">
        <f t="shared" si="74"/>
        <v>4053.3095841</v>
      </c>
      <c r="DR14" s="80"/>
      <c r="DS14" s="80"/>
      <c r="DT14" s="80">
        <f t="shared" si="75"/>
        <v>596.3725200000001</v>
      </c>
      <c r="DU14" s="80">
        <f t="shared" si="76"/>
        <v>596.3725200000001</v>
      </c>
      <c r="DV14" s="80">
        <f t="shared" si="77"/>
        <v>252.22593270000002</v>
      </c>
      <c r="DW14" s="80">
        <f t="shared" si="78"/>
        <v>247.2274347</v>
      </c>
      <c r="DX14" s="80"/>
      <c r="DY14" s="80"/>
      <c r="DZ14" s="80">
        <f t="shared" si="79"/>
        <v>10118.85996</v>
      </c>
      <c r="EA14" s="80">
        <f t="shared" si="80"/>
        <v>10118.85996</v>
      </c>
      <c r="EB14" s="80">
        <f t="shared" si="81"/>
        <v>4279.6051221</v>
      </c>
      <c r="EC14" s="80">
        <f t="shared" si="82"/>
        <v>4194.7938681</v>
      </c>
      <c r="ED14" s="80"/>
      <c r="EE14" s="80"/>
      <c r="EF14" s="80">
        <f t="shared" si="83"/>
        <v>1261.2530399999998</v>
      </c>
      <c r="EG14" s="80">
        <f t="shared" si="84"/>
        <v>1261.2530399999998</v>
      </c>
      <c r="EH14" s="80">
        <f t="shared" si="85"/>
        <v>533.4261954</v>
      </c>
      <c r="EI14" s="80">
        <f t="shared" si="86"/>
        <v>522.8549994</v>
      </c>
      <c r="EJ14" s="80"/>
      <c r="EK14" s="80"/>
      <c r="EL14" s="80">
        <f t="shared" si="87"/>
        <v>543.6006000000001</v>
      </c>
      <c r="EM14" s="80">
        <f t="shared" si="88"/>
        <v>543.6006000000001</v>
      </c>
      <c r="EN14" s="80">
        <f t="shared" si="89"/>
        <v>229.90691850000002</v>
      </c>
      <c r="EO14" s="80">
        <f t="shared" si="90"/>
        <v>225.3507285</v>
      </c>
      <c r="EP14" s="80"/>
      <c r="EQ14" s="80"/>
      <c r="ER14" s="80"/>
      <c r="ES14" s="80"/>
      <c r="ET14" s="80"/>
      <c r="EU14" s="80"/>
      <c r="EV14" s="80"/>
      <c r="EW14" s="83">
        <f t="shared" si="91"/>
        <v>0</v>
      </c>
      <c r="EX14" s="83">
        <f t="shared" si="91"/>
        <v>180.57047999999998</v>
      </c>
      <c r="EY14" s="80">
        <f t="shared" si="92"/>
        <v>180.57047999999998</v>
      </c>
      <c r="EZ14" s="80">
        <f t="shared" si="93"/>
        <v>76.3693098</v>
      </c>
      <c r="FA14" s="80">
        <f t="shared" si="94"/>
        <v>74.8558578</v>
      </c>
      <c r="FB14" s="80"/>
      <c r="FC14" s="80">
        <f t="shared" si="95"/>
        <v>0</v>
      </c>
      <c r="FD14" s="80">
        <f t="shared" si="95"/>
        <v>404.92379999999997</v>
      </c>
      <c r="FE14" s="80">
        <f t="shared" si="96"/>
        <v>404.92379999999997</v>
      </c>
      <c r="FF14" s="80">
        <f t="shared" si="97"/>
        <v>171.2558505</v>
      </c>
      <c r="FG14" s="80">
        <f t="shared" si="98"/>
        <v>167.8619805</v>
      </c>
      <c r="FH14" s="80"/>
      <c r="FI14" s="80"/>
      <c r="FJ14" s="80"/>
      <c r="FK14" s="80"/>
      <c r="FL14" s="39"/>
      <c r="FM14" s="39"/>
      <c r="FN14" s="39"/>
      <c r="FO14" s="39"/>
      <c r="FP14" s="39"/>
      <c r="FQ14" s="39"/>
    </row>
    <row r="15" spans="1:173" ht="12">
      <c r="A15" s="22">
        <v>41730</v>
      </c>
      <c r="C15" s="80">
        <v>4020000</v>
      </c>
      <c r="D15" s="80">
        <v>207600</v>
      </c>
      <c r="E15" s="81">
        <f t="shared" si="0"/>
        <v>4227600</v>
      </c>
      <c r="F15" s="81">
        <v>87801</v>
      </c>
      <c r="G15" s="81">
        <v>86061</v>
      </c>
      <c r="H15" s="80"/>
      <c r="I15" s="81">
        <f t="shared" si="1"/>
        <v>11337.606</v>
      </c>
      <c r="J15" s="82">
        <f t="shared" si="1"/>
        <v>585.4942799999999</v>
      </c>
      <c r="K15" s="81">
        <f t="shared" si="2"/>
        <v>11923.100279999999</v>
      </c>
      <c r="L15" s="81">
        <f t="shared" si="3"/>
        <v>247.6251603</v>
      </c>
      <c r="M15" s="81">
        <f t="shared" si="3"/>
        <v>242.71783829999998</v>
      </c>
      <c r="N15" s="80"/>
      <c r="O15" s="80">
        <f t="shared" si="99"/>
        <v>4008662.394000001</v>
      </c>
      <c r="P15" s="80">
        <f t="shared" si="4"/>
        <v>207014.50572000002</v>
      </c>
      <c r="Q15" s="80">
        <f t="shared" si="5"/>
        <v>4215676.899720001</v>
      </c>
      <c r="R15" s="80">
        <f t="shared" si="6"/>
        <v>87553.3748397</v>
      </c>
      <c r="S15" s="80">
        <f t="shared" si="6"/>
        <v>85818.28216170002</v>
      </c>
      <c r="T15" s="80"/>
      <c r="U15" s="83">
        <f>C15*15.05006/100</f>
        <v>605012.412</v>
      </c>
      <c r="V15" s="83">
        <f t="shared" si="7"/>
        <v>31243.924560000003</v>
      </c>
      <c r="W15" s="80">
        <f t="shared" si="8"/>
        <v>636256.33656</v>
      </c>
      <c r="X15" s="80">
        <f t="shared" si="9"/>
        <v>13214.103180600001</v>
      </c>
      <c r="Y15" s="80">
        <f t="shared" si="10"/>
        <v>12952.232136600001</v>
      </c>
      <c r="Z15" s="80"/>
      <c r="AA15" s="80">
        <f>C15*16.92584/100</f>
        <v>680418.7679999999</v>
      </c>
      <c r="AB15" s="80">
        <f t="shared" si="11"/>
        <v>35138.04384</v>
      </c>
      <c r="AC15" s="80">
        <f t="shared" si="12"/>
        <v>715556.8118399999</v>
      </c>
      <c r="AD15" s="80">
        <f t="shared" si="13"/>
        <v>14861.0567784</v>
      </c>
      <c r="AE15" s="80">
        <f t="shared" si="14"/>
        <v>14566.5471624</v>
      </c>
      <c r="AF15" s="80"/>
      <c r="AG15" s="80">
        <f>C15*9.75766/100</f>
        <v>392257.932</v>
      </c>
      <c r="AH15" s="80">
        <f t="shared" si="15"/>
        <v>20256.90216</v>
      </c>
      <c r="AI15" s="80">
        <f t="shared" si="16"/>
        <v>412514.83415999997</v>
      </c>
      <c r="AJ15" s="80">
        <f t="shared" si="17"/>
        <v>8567.3230566</v>
      </c>
      <c r="AK15" s="80">
        <f t="shared" si="18"/>
        <v>8397.5397726</v>
      </c>
      <c r="AL15" s="80"/>
      <c r="AM15" s="80">
        <f>C15*7.48131/100</f>
        <v>300748.662</v>
      </c>
      <c r="AN15" s="80">
        <f t="shared" si="19"/>
        <v>15531.199560000001</v>
      </c>
      <c r="AO15" s="80">
        <f t="shared" si="20"/>
        <v>316279.86156</v>
      </c>
      <c r="AP15" s="80">
        <f t="shared" si="21"/>
        <v>6568.664993099999</v>
      </c>
      <c r="AQ15" s="80">
        <f t="shared" si="22"/>
        <v>6438.4901991</v>
      </c>
      <c r="AR15" s="80"/>
      <c r="AS15" s="80">
        <f>C15*0.21612/100</f>
        <v>8688.024</v>
      </c>
      <c r="AT15" s="80">
        <f t="shared" si="23"/>
        <v>448.66512</v>
      </c>
      <c r="AU15" s="80">
        <f t="shared" si="24"/>
        <v>9136.68912</v>
      </c>
      <c r="AV15" s="80">
        <f t="shared" si="25"/>
        <v>189.75552119999998</v>
      </c>
      <c r="AW15" s="80">
        <f t="shared" si="26"/>
        <v>185.9950332</v>
      </c>
      <c r="AX15" s="80"/>
      <c r="AY15" s="80">
        <f>C15*0.01906/100</f>
        <v>766.212</v>
      </c>
      <c r="AZ15" s="80">
        <f t="shared" si="27"/>
        <v>39.568560000000005</v>
      </c>
      <c r="BA15" s="80">
        <f t="shared" si="28"/>
        <v>805.78056</v>
      </c>
      <c r="BB15" s="80">
        <f t="shared" si="29"/>
        <v>16.7348706</v>
      </c>
      <c r="BC15" s="80">
        <f t="shared" si="30"/>
        <v>16.4032266</v>
      </c>
      <c r="BD15" s="80"/>
      <c r="BE15" s="80">
        <f>C15*0.01369/100</f>
        <v>550.3380000000001</v>
      </c>
      <c r="BF15" s="80">
        <f t="shared" si="31"/>
        <v>28.420440000000003</v>
      </c>
      <c r="BG15" s="80">
        <f t="shared" si="32"/>
        <v>578.7584400000001</v>
      </c>
      <c r="BH15" s="80">
        <f t="shared" si="33"/>
        <v>12.019956899999999</v>
      </c>
      <c r="BI15" s="80">
        <f t="shared" si="34"/>
        <v>11.781750899999999</v>
      </c>
      <c r="BJ15" s="80"/>
      <c r="BK15" s="80">
        <f>C15*0.23757/100</f>
        <v>9550.314</v>
      </c>
      <c r="BL15" s="80">
        <f t="shared" si="35"/>
        <v>493.19532</v>
      </c>
      <c r="BM15" s="80">
        <f t="shared" si="36"/>
        <v>10043.509320000001</v>
      </c>
      <c r="BN15" s="80">
        <f t="shared" si="37"/>
        <v>208.5888357</v>
      </c>
      <c r="BO15" s="80">
        <f t="shared" si="38"/>
        <v>204.45511770000002</v>
      </c>
      <c r="BP15" s="80"/>
      <c r="BQ15" s="80">
        <f>C15*5.91225/100</f>
        <v>237672.45</v>
      </c>
      <c r="BR15" s="80">
        <f t="shared" si="39"/>
        <v>12273.831</v>
      </c>
      <c r="BS15" s="80">
        <f t="shared" si="40"/>
        <v>249946.28100000002</v>
      </c>
      <c r="BT15" s="80">
        <f t="shared" si="41"/>
        <v>5191.0146225</v>
      </c>
      <c r="BU15" s="80">
        <f t="shared" si="42"/>
        <v>5088.1414725</v>
      </c>
      <c r="BV15" s="80"/>
      <c r="BW15" s="80">
        <f>C15*1.80534/100</f>
        <v>72574.668</v>
      </c>
      <c r="BX15" s="80">
        <f t="shared" si="43"/>
        <v>3747.88584</v>
      </c>
      <c r="BY15" s="80">
        <f t="shared" si="44"/>
        <v>76322.55384000001</v>
      </c>
      <c r="BZ15" s="80">
        <f t="shared" si="45"/>
        <v>1585.1065734000001</v>
      </c>
      <c r="CA15" s="80">
        <f t="shared" si="46"/>
        <v>1553.6936574000001</v>
      </c>
      <c r="CB15" s="80"/>
      <c r="CC15" s="80">
        <f>C15*5.15053/100</f>
        <v>207051.30599999998</v>
      </c>
      <c r="CD15" s="80">
        <f t="shared" si="47"/>
        <v>10692.50028</v>
      </c>
      <c r="CE15" s="80">
        <f t="shared" si="48"/>
        <v>217743.80628</v>
      </c>
      <c r="CF15" s="80">
        <f t="shared" si="49"/>
        <v>4522.2168452999995</v>
      </c>
      <c r="CG15" s="80">
        <f t="shared" si="50"/>
        <v>4432.5976233</v>
      </c>
      <c r="CH15" s="80"/>
      <c r="CI15" s="80">
        <f>C15*14.16042/100</f>
        <v>569248.884</v>
      </c>
      <c r="CJ15" s="80">
        <f t="shared" si="51"/>
        <v>29397.03192</v>
      </c>
      <c r="CK15" s="80">
        <f t="shared" si="52"/>
        <v>598645.9159199999</v>
      </c>
      <c r="CL15" s="80">
        <f t="shared" si="53"/>
        <v>12432.9903642</v>
      </c>
      <c r="CM15" s="80">
        <f t="shared" si="54"/>
        <v>12186.5990562</v>
      </c>
      <c r="CN15" s="80"/>
      <c r="CO15" s="80">
        <f>C15*6.15602/100</f>
        <v>247472.004</v>
      </c>
      <c r="CP15" s="80">
        <f t="shared" si="55"/>
        <v>12779.897519999999</v>
      </c>
      <c r="CQ15" s="80">
        <f t="shared" si="56"/>
        <v>260251.90151999998</v>
      </c>
      <c r="CR15" s="80">
        <f t="shared" si="57"/>
        <v>5405.0471202</v>
      </c>
      <c r="CS15" s="80">
        <f t="shared" si="58"/>
        <v>5297.9323722</v>
      </c>
      <c r="CT15" s="80"/>
      <c r="CU15" s="80">
        <f>C15*5.37414/100</f>
        <v>216040.42799999996</v>
      </c>
      <c r="CV15" s="80">
        <f t="shared" si="59"/>
        <v>11156.714639999998</v>
      </c>
      <c r="CW15" s="80">
        <f t="shared" si="60"/>
        <v>227197.14263999995</v>
      </c>
      <c r="CX15" s="80">
        <f t="shared" si="61"/>
        <v>4718.5486614</v>
      </c>
      <c r="CY15" s="80">
        <f t="shared" si="62"/>
        <v>4625.0386254000005</v>
      </c>
      <c r="CZ15" s="80"/>
      <c r="DA15" s="100">
        <f>C15*0.69717/100</f>
        <v>28026.234</v>
      </c>
      <c r="DB15" s="100">
        <f t="shared" si="63"/>
        <v>1447.32492</v>
      </c>
      <c r="DC15" s="100">
        <f t="shared" si="64"/>
        <v>29473.55892</v>
      </c>
      <c r="DD15" s="100">
        <f t="shared" si="65"/>
        <v>612.1222317</v>
      </c>
      <c r="DE15" s="100">
        <f t="shared" si="66"/>
        <v>599.9914737</v>
      </c>
      <c r="DF15" s="80"/>
      <c r="DG15" s="80">
        <f>C15*0.02011/100</f>
        <v>808.422</v>
      </c>
      <c r="DH15" s="80">
        <f t="shared" si="67"/>
        <v>41.748360000000005</v>
      </c>
      <c r="DI15" s="80">
        <f t="shared" si="68"/>
        <v>850.1703600000001</v>
      </c>
      <c r="DJ15" s="80">
        <f t="shared" si="69"/>
        <v>17.6567811</v>
      </c>
      <c r="DK15" s="80">
        <f t="shared" si="70"/>
        <v>17.3068671</v>
      </c>
      <c r="DL15" s="80"/>
      <c r="DM15" s="80">
        <f>C15*4.70981/100</f>
        <v>189334.362</v>
      </c>
      <c r="DN15" s="80">
        <f t="shared" si="71"/>
        <v>9777.56556</v>
      </c>
      <c r="DO15" s="80">
        <f t="shared" si="72"/>
        <v>199111.92755999998</v>
      </c>
      <c r="DP15" s="80">
        <f t="shared" si="73"/>
        <v>4135.2602781</v>
      </c>
      <c r="DQ15" s="80">
        <f t="shared" si="74"/>
        <v>4053.3095841</v>
      </c>
      <c r="DR15" s="80"/>
      <c r="DS15" s="80">
        <f>C15*0.28727/100</f>
        <v>11548.254</v>
      </c>
      <c r="DT15" s="80">
        <f t="shared" si="75"/>
        <v>596.3725200000001</v>
      </c>
      <c r="DU15" s="80">
        <f t="shared" si="76"/>
        <v>12144.626520000002</v>
      </c>
      <c r="DV15" s="80">
        <f t="shared" si="77"/>
        <v>252.22593270000002</v>
      </c>
      <c r="DW15" s="80">
        <f t="shared" si="78"/>
        <v>247.2274347</v>
      </c>
      <c r="DX15" s="80"/>
      <c r="DY15" s="80">
        <f>C15*4.87421/100</f>
        <v>195943.242</v>
      </c>
      <c r="DZ15" s="80">
        <f t="shared" si="79"/>
        <v>10118.85996</v>
      </c>
      <c r="EA15" s="80">
        <f t="shared" si="80"/>
        <v>206062.10196</v>
      </c>
      <c r="EB15" s="80">
        <f t="shared" si="81"/>
        <v>4279.6051221</v>
      </c>
      <c r="EC15" s="80">
        <f t="shared" si="82"/>
        <v>4194.7938681</v>
      </c>
      <c r="ED15" s="80"/>
      <c r="EE15" s="80">
        <f>C15*0.60754/100</f>
        <v>24423.107999999997</v>
      </c>
      <c r="EF15" s="80">
        <f t="shared" si="83"/>
        <v>1261.2530399999998</v>
      </c>
      <c r="EG15" s="80">
        <f t="shared" si="84"/>
        <v>25684.361039999996</v>
      </c>
      <c r="EH15" s="80">
        <f t="shared" si="85"/>
        <v>533.4261954</v>
      </c>
      <c r="EI15" s="80">
        <f t="shared" si="86"/>
        <v>522.8549994</v>
      </c>
      <c r="EJ15" s="80"/>
      <c r="EK15" s="80">
        <f>C15*0.26185/100</f>
        <v>10526.37</v>
      </c>
      <c r="EL15" s="80">
        <f t="shared" si="87"/>
        <v>543.6006000000001</v>
      </c>
      <c r="EM15" s="80">
        <f t="shared" si="88"/>
        <v>11069.9706</v>
      </c>
      <c r="EN15" s="80">
        <f t="shared" si="89"/>
        <v>229.90691850000002</v>
      </c>
      <c r="EO15" s="80">
        <f t="shared" si="90"/>
        <v>225.3507285</v>
      </c>
      <c r="EP15" s="80"/>
      <c r="EQ15" s="80"/>
      <c r="ER15" s="80"/>
      <c r="ES15" s="80"/>
      <c r="ET15" s="80"/>
      <c r="EU15" s="80"/>
      <c r="EV15" s="80"/>
      <c r="EW15" s="83">
        <f t="shared" si="91"/>
        <v>3496.5960000000005</v>
      </c>
      <c r="EX15" s="83">
        <f t="shared" si="91"/>
        <v>180.57047999999998</v>
      </c>
      <c r="EY15" s="80">
        <f t="shared" si="92"/>
        <v>3677.1664800000003</v>
      </c>
      <c r="EZ15" s="80">
        <f t="shared" si="93"/>
        <v>76.3693098</v>
      </c>
      <c r="FA15" s="80">
        <f t="shared" si="94"/>
        <v>74.8558578</v>
      </c>
      <c r="FB15" s="80"/>
      <c r="FC15" s="80">
        <f t="shared" si="95"/>
        <v>7841.01</v>
      </c>
      <c r="FD15" s="80">
        <f t="shared" si="95"/>
        <v>404.92379999999997</v>
      </c>
      <c r="FE15" s="80">
        <f t="shared" si="96"/>
        <v>8245.9338</v>
      </c>
      <c r="FF15" s="80">
        <f t="shared" si="97"/>
        <v>171.2558505</v>
      </c>
      <c r="FG15" s="80">
        <f t="shared" si="98"/>
        <v>167.8619805</v>
      </c>
      <c r="FH15" s="80"/>
      <c r="FI15" s="80"/>
      <c r="FJ15" s="80"/>
      <c r="FK15" s="80"/>
      <c r="FL15" s="39"/>
      <c r="FM15" s="39"/>
      <c r="FN15" s="39"/>
      <c r="FO15" s="39"/>
      <c r="FP15" s="39"/>
      <c r="FQ15" s="39"/>
    </row>
    <row r="16" spans="1:173" ht="12">
      <c r="A16" s="22">
        <v>41913</v>
      </c>
      <c r="B16" s="31"/>
      <c r="C16" s="80"/>
      <c r="D16" s="80">
        <v>147300</v>
      </c>
      <c r="E16" s="81">
        <f t="shared" si="0"/>
        <v>147300</v>
      </c>
      <c r="F16" s="81">
        <v>87801</v>
      </c>
      <c r="G16" s="81">
        <v>86061</v>
      </c>
      <c r="H16" s="80"/>
      <c r="I16" s="81">
        <f t="shared" si="1"/>
        <v>0</v>
      </c>
      <c r="J16" s="82">
        <f t="shared" si="1"/>
        <v>415.43019000000004</v>
      </c>
      <c r="K16" s="81">
        <f t="shared" si="2"/>
        <v>415.43019000000004</v>
      </c>
      <c r="L16" s="81">
        <f t="shared" si="3"/>
        <v>247.6251603</v>
      </c>
      <c r="M16" s="81">
        <f t="shared" si="3"/>
        <v>242.71783829999998</v>
      </c>
      <c r="N16" s="80"/>
      <c r="O16" s="80"/>
      <c r="P16" s="80">
        <f t="shared" si="4"/>
        <v>146884.56981000002</v>
      </c>
      <c r="Q16" s="80">
        <f t="shared" si="5"/>
        <v>146884.56981000002</v>
      </c>
      <c r="R16" s="80">
        <f t="shared" si="6"/>
        <v>87553.3748397</v>
      </c>
      <c r="S16" s="80">
        <f t="shared" si="6"/>
        <v>85818.28216170002</v>
      </c>
      <c r="T16" s="80"/>
      <c r="U16" s="83"/>
      <c r="V16" s="83">
        <f t="shared" si="7"/>
        <v>22168.73838</v>
      </c>
      <c r="W16" s="80">
        <f t="shared" si="8"/>
        <v>22168.73838</v>
      </c>
      <c r="X16" s="80">
        <f t="shared" si="9"/>
        <v>13214.103180600001</v>
      </c>
      <c r="Y16" s="80">
        <f t="shared" si="10"/>
        <v>12952.232136600001</v>
      </c>
      <c r="Z16" s="80"/>
      <c r="AA16" s="80"/>
      <c r="AB16" s="80">
        <f t="shared" si="11"/>
        <v>24931.76232</v>
      </c>
      <c r="AC16" s="80">
        <f t="shared" si="12"/>
        <v>24931.76232</v>
      </c>
      <c r="AD16" s="80">
        <f t="shared" si="13"/>
        <v>14861.0567784</v>
      </c>
      <c r="AE16" s="80">
        <f t="shared" si="14"/>
        <v>14566.5471624</v>
      </c>
      <c r="AF16" s="80"/>
      <c r="AG16" s="80"/>
      <c r="AH16" s="80">
        <f t="shared" si="15"/>
        <v>14373.03318</v>
      </c>
      <c r="AI16" s="80">
        <f t="shared" si="16"/>
        <v>14373.03318</v>
      </c>
      <c r="AJ16" s="80">
        <f t="shared" si="17"/>
        <v>8567.3230566</v>
      </c>
      <c r="AK16" s="80">
        <f t="shared" si="18"/>
        <v>8397.5397726</v>
      </c>
      <c r="AL16" s="80"/>
      <c r="AM16" s="80"/>
      <c r="AN16" s="80">
        <f t="shared" si="19"/>
        <v>11019.96963</v>
      </c>
      <c r="AO16" s="80">
        <f t="shared" si="20"/>
        <v>11019.96963</v>
      </c>
      <c r="AP16" s="80">
        <f t="shared" si="21"/>
        <v>6568.664993099999</v>
      </c>
      <c r="AQ16" s="80">
        <f t="shared" si="22"/>
        <v>6438.4901991</v>
      </c>
      <c r="AR16" s="80"/>
      <c r="AS16" s="80"/>
      <c r="AT16" s="80">
        <f t="shared" si="23"/>
        <v>318.34476</v>
      </c>
      <c r="AU16" s="80">
        <f t="shared" si="24"/>
        <v>318.34476</v>
      </c>
      <c r="AV16" s="80">
        <f t="shared" si="25"/>
        <v>189.75552119999998</v>
      </c>
      <c r="AW16" s="80">
        <f t="shared" si="26"/>
        <v>185.9950332</v>
      </c>
      <c r="AX16" s="80"/>
      <c r="AY16" s="80"/>
      <c r="AZ16" s="80">
        <f t="shared" si="27"/>
        <v>28.07538</v>
      </c>
      <c r="BA16" s="80">
        <f t="shared" si="28"/>
        <v>28.07538</v>
      </c>
      <c r="BB16" s="80">
        <f t="shared" si="29"/>
        <v>16.7348706</v>
      </c>
      <c r="BC16" s="80">
        <f t="shared" si="30"/>
        <v>16.4032266</v>
      </c>
      <c r="BD16" s="80"/>
      <c r="BE16" s="80"/>
      <c r="BF16" s="80">
        <f t="shared" si="31"/>
        <v>20.16537</v>
      </c>
      <c r="BG16" s="80">
        <f t="shared" si="32"/>
        <v>20.16537</v>
      </c>
      <c r="BH16" s="80">
        <f t="shared" si="33"/>
        <v>12.019956899999999</v>
      </c>
      <c r="BI16" s="80">
        <f t="shared" si="34"/>
        <v>11.781750899999999</v>
      </c>
      <c r="BJ16" s="80"/>
      <c r="BK16" s="80"/>
      <c r="BL16" s="80">
        <f t="shared" si="35"/>
        <v>349.94061</v>
      </c>
      <c r="BM16" s="80">
        <f t="shared" si="36"/>
        <v>349.94061</v>
      </c>
      <c r="BN16" s="80">
        <f t="shared" si="37"/>
        <v>208.5888357</v>
      </c>
      <c r="BO16" s="80">
        <f t="shared" si="38"/>
        <v>204.45511770000002</v>
      </c>
      <c r="BP16" s="80"/>
      <c r="BQ16" s="80"/>
      <c r="BR16" s="80">
        <f t="shared" si="39"/>
        <v>8708.74425</v>
      </c>
      <c r="BS16" s="80">
        <f t="shared" si="40"/>
        <v>8708.74425</v>
      </c>
      <c r="BT16" s="80">
        <f t="shared" si="41"/>
        <v>5191.0146225</v>
      </c>
      <c r="BU16" s="80">
        <f t="shared" si="42"/>
        <v>5088.1414725</v>
      </c>
      <c r="BV16" s="80"/>
      <c r="BW16" s="80"/>
      <c r="BX16" s="80">
        <f t="shared" si="43"/>
        <v>2659.26582</v>
      </c>
      <c r="BY16" s="80">
        <f t="shared" si="44"/>
        <v>2659.26582</v>
      </c>
      <c r="BZ16" s="80">
        <f t="shared" si="45"/>
        <v>1585.1065734000001</v>
      </c>
      <c r="CA16" s="80">
        <f t="shared" si="46"/>
        <v>1553.6936574000001</v>
      </c>
      <c r="CB16" s="80"/>
      <c r="CC16" s="80"/>
      <c r="CD16" s="80">
        <f t="shared" si="47"/>
        <v>7586.73069</v>
      </c>
      <c r="CE16" s="80">
        <f t="shared" si="48"/>
        <v>7586.73069</v>
      </c>
      <c r="CF16" s="80">
        <f t="shared" si="49"/>
        <v>4522.2168452999995</v>
      </c>
      <c r="CG16" s="80">
        <f t="shared" si="50"/>
        <v>4432.5976233</v>
      </c>
      <c r="CH16" s="80"/>
      <c r="CI16" s="80"/>
      <c r="CJ16" s="80">
        <f t="shared" si="51"/>
        <v>20858.29866</v>
      </c>
      <c r="CK16" s="80">
        <f t="shared" si="52"/>
        <v>20858.29866</v>
      </c>
      <c r="CL16" s="80">
        <f t="shared" si="53"/>
        <v>12432.9903642</v>
      </c>
      <c r="CM16" s="80">
        <f t="shared" si="54"/>
        <v>12186.5990562</v>
      </c>
      <c r="CN16" s="80"/>
      <c r="CO16" s="80"/>
      <c r="CP16" s="80">
        <f t="shared" si="55"/>
        <v>9067.817459999998</v>
      </c>
      <c r="CQ16" s="80">
        <f t="shared" si="56"/>
        <v>9067.817459999998</v>
      </c>
      <c r="CR16" s="80">
        <f t="shared" si="57"/>
        <v>5405.0471202</v>
      </c>
      <c r="CS16" s="80">
        <f t="shared" si="58"/>
        <v>5297.9323722</v>
      </c>
      <c r="CT16" s="80"/>
      <c r="CU16" s="80"/>
      <c r="CV16" s="80">
        <f t="shared" si="59"/>
        <v>7916.108219999999</v>
      </c>
      <c r="CW16" s="80">
        <f t="shared" si="60"/>
        <v>7916.108219999999</v>
      </c>
      <c r="CX16" s="80">
        <f t="shared" si="61"/>
        <v>4718.5486614</v>
      </c>
      <c r="CY16" s="80">
        <f t="shared" si="62"/>
        <v>4625.0386254000005</v>
      </c>
      <c r="CZ16" s="80"/>
      <c r="DA16" s="100"/>
      <c r="DB16" s="100">
        <f t="shared" si="63"/>
        <v>1026.93141</v>
      </c>
      <c r="DC16" s="100">
        <f t="shared" si="64"/>
        <v>1026.93141</v>
      </c>
      <c r="DD16" s="100">
        <f t="shared" si="65"/>
        <v>612.1222317</v>
      </c>
      <c r="DE16" s="100">
        <f t="shared" si="66"/>
        <v>599.9914737</v>
      </c>
      <c r="DF16" s="80"/>
      <c r="DG16" s="80"/>
      <c r="DH16" s="80">
        <f t="shared" si="67"/>
        <v>29.62203</v>
      </c>
      <c r="DI16" s="80">
        <f t="shared" si="68"/>
        <v>29.62203</v>
      </c>
      <c r="DJ16" s="80">
        <f t="shared" si="69"/>
        <v>17.6567811</v>
      </c>
      <c r="DK16" s="80">
        <f t="shared" si="70"/>
        <v>17.3068671</v>
      </c>
      <c r="DL16" s="80"/>
      <c r="DM16" s="80"/>
      <c r="DN16" s="80">
        <f t="shared" si="71"/>
        <v>6937.5501300000005</v>
      </c>
      <c r="DO16" s="80">
        <f t="shared" si="72"/>
        <v>6937.5501300000005</v>
      </c>
      <c r="DP16" s="80">
        <f t="shared" si="73"/>
        <v>4135.2602781</v>
      </c>
      <c r="DQ16" s="80">
        <f t="shared" si="74"/>
        <v>4053.3095841</v>
      </c>
      <c r="DR16" s="80"/>
      <c r="DS16" s="80"/>
      <c r="DT16" s="80">
        <f t="shared" si="75"/>
        <v>423.14871000000005</v>
      </c>
      <c r="DU16" s="80">
        <f t="shared" si="76"/>
        <v>423.14871000000005</v>
      </c>
      <c r="DV16" s="80">
        <f t="shared" si="77"/>
        <v>252.22593270000002</v>
      </c>
      <c r="DW16" s="80">
        <f t="shared" si="78"/>
        <v>247.2274347</v>
      </c>
      <c r="DX16" s="80"/>
      <c r="DY16" s="80"/>
      <c r="DZ16" s="80">
        <f t="shared" si="79"/>
        <v>7179.711329999999</v>
      </c>
      <c r="EA16" s="80">
        <f t="shared" si="80"/>
        <v>7179.711329999999</v>
      </c>
      <c r="EB16" s="80">
        <f t="shared" si="81"/>
        <v>4279.6051221</v>
      </c>
      <c r="EC16" s="80">
        <f t="shared" si="82"/>
        <v>4194.7938681</v>
      </c>
      <c r="ED16" s="80"/>
      <c r="EE16" s="80"/>
      <c r="EF16" s="80">
        <f t="shared" si="83"/>
        <v>894.9064199999999</v>
      </c>
      <c r="EG16" s="80">
        <f t="shared" si="84"/>
        <v>894.9064199999999</v>
      </c>
      <c r="EH16" s="80">
        <f t="shared" si="85"/>
        <v>533.4261954</v>
      </c>
      <c r="EI16" s="80">
        <f t="shared" si="86"/>
        <v>522.8549994</v>
      </c>
      <c r="EJ16" s="80"/>
      <c r="EK16" s="80"/>
      <c r="EL16" s="80">
        <f t="shared" si="87"/>
        <v>385.70505</v>
      </c>
      <c r="EM16" s="80">
        <f t="shared" si="88"/>
        <v>385.70505</v>
      </c>
      <c r="EN16" s="80">
        <f t="shared" si="89"/>
        <v>229.90691850000002</v>
      </c>
      <c r="EO16" s="80">
        <f t="shared" si="90"/>
        <v>225.3507285</v>
      </c>
      <c r="EP16" s="80"/>
      <c r="EQ16" s="80"/>
      <c r="ER16" s="80"/>
      <c r="ES16" s="80"/>
      <c r="ET16" s="80"/>
      <c r="EU16" s="80"/>
      <c r="EV16" s="80"/>
      <c r="EW16" s="83">
        <f t="shared" si="91"/>
        <v>0</v>
      </c>
      <c r="EX16" s="83">
        <f t="shared" si="91"/>
        <v>128.12154</v>
      </c>
      <c r="EY16" s="80">
        <f t="shared" si="92"/>
        <v>128.12154</v>
      </c>
      <c r="EZ16" s="80">
        <f t="shared" si="93"/>
        <v>76.3693098</v>
      </c>
      <c r="FA16" s="80">
        <f t="shared" si="94"/>
        <v>74.8558578</v>
      </c>
      <c r="FB16" s="80"/>
      <c r="FC16" s="80">
        <f t="shared" si="95"/>
        <v>0</v>
      </c>
      <c r="FD16" s="80">
        <f t="shared" si="95"/>
        <v>287.30865</v>
      </c>
      <c r="FE16" s="80">
        <f t="shared" si="96"/>
        <v>287.30865</v>
      </c>
      <c r="FF16" s="80">
        <f t="shared" si="97"/>
        <v>171.2558505</v>
      </c>
      <c r="FG16" s="80">
        <f t="shared" si="98"/>
        <v>167.8619805</v>
      </c>
      <c r="FH16" s="80"/>
      <c r="FI16" s="80"/>
      <c r="FJ16" s="80"/>
      <c r="FK16" s="80"/>
      <c r="FL16" s="39"/>
      <c r="FM16" s="39"/>
      <c r="FN16" s="39"/>
      <c r="FO16" s="39"/>
      <c r="FP16" s="39"/>
      <c r="FQ16" s="39"/>
    </row>
    <row r="17" spans="1:173" ht="12">
      <c r="A17" s="22">
        <v>42095</v>
      </c>
      <c r="C17" s="80">
        <v>4140000</v>
      </c>
      <c r="D17" s="80">
        <v>147300</v>
      </c>
      <c r="E17" s="81">
        <f t="shared" si="0"/>
        <v>4287300</v>
      </c>
      <c r="F17" s="81">
        <v>87801</v>
      </c>
      <c r="G17" s="81">
        <v>86061</v>
      </c>
      <c r="H17" s="80"/>
      <c r="I17" s="81">
        <f t="shared" si="1"/>
        <v>11676.042</v>
      </c>
      <c r="J17" s="82">
        <f t="shared" si="1"/>
        <v>415.43019000000004</v>
      </c>
      <c r="K17" s="81">
        <f t="shared" si="2"/>
        <v>12091.47219</v>
      </c>
      <c r="L17" s="81">
        <f t="shared" si="3"/>
        <v>247.6251603</v>
      </c>
      <c r="M17" s="81">
        <f t="shared" si="3"/>
        <v>242.71783829999998</v>
      </c>
      <c r="N17" s="80"/>
      <c r="O17" s="80">
        <f t="shared" si="99"/>
        <v>4128323.958</v>
      </c>
      <c r="P17" s="80">
        <f t="shared" si="4"/>
        <v>146884.56981000002</v>
      </c>
      <c r="Q17" s="80">
        <f t="shared" si="5"/>
        <v>4275208.52781</v>
      </c>
      <c r="R17" s="80">
        <f t="shared" si="6"/>
        <v>87553.3748397</v>
      </c>
      <c r="S17" s="80">
        <f t="shared" si="6"/>
        <v>85818.28216170002</v>
      </c>
      <c r="T17" s="80"/>
      <c r="U17" s="83">
        <f>C17*15.05006/100</f>
        <v>623072.4839999999</v>
      </c>
      <c r="V17" s="83">
        <f t="shared" si="7"/>
        <v>22168.73838</v>
      </c>
      <c r="W17" s="80">
        <f t="shared" si="8"/>
        <v>645241.2223799999</v>
      </c>
      <c r="X17" s="80">
        <f t="shared" si="9"/>
        <v>13214.103180600001</v>
      </c>
      <c r="Y17" s="80">
        <f t="shared" si="10"/>
        <v>12952.232136600001</v>
      </c>
      <c r="Z17" s="80"/>
      <c r="AA17" s="80">
        <f>C17*16.92584/100</f>
        <v>700729.7760000001</v>
      </c>
      <c r="AB17" s="80">
        <f t="shared" si="11"/>
        <v>24931.76232</v>
      </c>
      <c r="AC17" s="80">
        <f t="shared" si="12"/>
        <v>725661.53832</v>
      </c>
      <c r="AD17" s="80">
        <f t="shared" si="13"/>
        <v>14861.0567784</v>
      </c>
      <c r="AE17" s="80">
        <f t="shared" si="14"/>
        <v>14566.5471624</v>
      </c>
      <c r="AF17" s="80"/>
      <c r="AG17" s="80">
        <f>C17*9.75766/100</f>
        <v>403967.124</v>
      </c>
      <c r="AH17" s="80">
        <f t="shared" si="15"/>
        <v>14373.03318</v>
      </c>
      <c r="AI17" s="80">
        <f t="shared" si="16"/>
        <v>418340.15718000004</v>
      </c>
      <c r="AJ17" s="80">
        <f t="shared" si="17"/>
        <v>8567.3230566</v>
      </c>
      <c r="AK17" s="80">
        <f t="shared" si="18"/>
        <v>8397.5397726</v>
      </c>
      <c r="AL17" s="80"/>
      <c r="AM17" s="80">
        <f>C17*7.48131/100</f>
        <v>309726.234</v>
      </c>
      <c r="AN17" s="80">
        <f t="shared" si="19"/>
        <v>11019.96963</v>
      </c>
      <c r="AO17" s="80">
        <f t="shared" si="20"/>
        <v>320746.20363</v>
      </c>
      <c r="AP17" s="80">
        <f t="shared" si="21"/>
        <v>6568.664993099999</v>
      </c>
      <c r="AQ17" s="80">
        <f t="shared" si="22"/>
        <v>6438.4901991</v>
      </c>
      <c r="AR17" s="80"/>
      <c r="AS17" s="80">
        <f>C17*0.21612/100</f>
        <v>8947.368</v>
      </c>
      <c r="AT17" s="80">
        <f t="shared" si="23"/>
        <v>318.34476</v>
      </c>
      <c r="AU17" s="80">
        <f t="shared" si="24"/>
        <v>9265.71276</v>
      </c>
      <c r="AV17" s="80">
        <f t="shared" si="25"/>
        <v>189.75552119999998</v>
      </c>
      <c r="AW17" s="80">
        <f t="shared" si="26"/>
        <v>185.9950332</v>
      </c>
      <c r="AX17" s="80"/>
      <c r="AY17" s="80">
        <f>C17*0.01906/100</f>
        <v>789.0840000000001</v>
      </c>
      <c r="AZ17" s="80">
        <f t="shared" si="27"/>
        <v>28.07538</v>
      </c>
      <c r="BA17" s="80">
        <f t="shared" si="28"/>
        <v>817.15938</v>
      </c>
      <c r="BB17" s="80">
        <f t="shared" si="29"/>
        <v>16.7348706</v>
      </c>
      <c r="BC17" s="80">
        <f t="shared" si="30"/>
        <v>16.4032266</v>
      </c>
      <c r="BD17" s="80"/>
      <c r="BE17" s="80">
        <f>C17*0.01369/100</f>
        <v>566.7660000000001</v>
      </c>
      <c r="BF17" s="80">
        <f t="shared" si="31"/>
        <v>20.16537</v>
      </c>
      <c r="BG17" s="80">
        <f t="shared" si="32"/>
        <v>586.9313700000001</v>
      </c>
      <c r="BH17" s="80">
        <f t="shared" si="33"/>
        <v>12.019956899999999</v>
      </c>
      <c r="BI17" s="80">
        <f t="shared" si="34"/>
        <v>11.781750899999999</v>
      </c>
      <c r="BJ17" s="80"/>
      <c r="BK17" s="80">
        <f>C17*0.23757/100</f>
        <v>9835.398000000001</v>
      </c>
      <c r="BL17" s="80">
        <f t="shared" si="35"/>
        <v>349.94061</v>
      </c>
      <c r="BM17" s="80">
        <f t="shared" si="36"/>
        <v>10185.33861</v>
      </c>
      <c r="BN17" s="80">
        <f t="shared" si="37"/>
        <v>208.5888357</v>
      </c>
      <c r="BO17" s="80">
        <f t="shared" si="38"/>
        <v>204.45511770000002</v>
      </c>
      <c r="BP17" s="80"/>
      <c r="BQ17" s="80">
        <f>C17*5.91225/100</f>
        <v>244767.15</v>
      </c>
      <c r="BR17" s="80">
        <f t="shared" si="39"/>
        <v>8708.74425</v>
      </c>
      <c r="BS17" s="80">
        <f t="shared" si="40"/>
        <v>253475.89424999998</v>
      </c>
      <c r="BT17" s="80">
        <f t="shared" si="41"/>
        <v>5191.0146225</v>
      </c>
      <c r="BU17" s="80">
        <f t="shared" si="42"/>
        <v>5088.1414725</v>
      </c>
      <c r="BV17" s="80"/>
      <c r="BW17" s="80">
        <f>C17*1.80534/100</f>
        <v>74741.076</v>
      </c>
      <c r="BX17" s="80">
        <f t="shared" si="43"/>
        <v>2659.26582</v>
      </c>
      <c r="BY17" s="80">
        <f t="shared" si="44"/>
        <v>77400.34182</v>
      </c>
      <c r="BZ17" s="80">
        <f t="shared" si="45"/>
        <v>1585.1065734000001</v>
      </c>
      <c r="CA17" s="80">
        <f t="shared" si="46"/>
        <v>1553.6936574000001</v>
      </c>
      <c r="CB17" s="80"/>
      <c r="CC17" s="80">
        <f>C17*5.15053/100</f>
        <v>213231.94199999998</v>
      </c>
      <c r="CD17" s="80">
        <f t="shared" si="47"/>
        <v>7586.73069</v>
      </c>
      <c r="CE17" s="80">
        <f t="shared" si="48"/>
        <v>220818.67268999998</v>
      </c>
      <c r="CF17" s="80">
        <f t="shared" si="49"/>
        <v>4522.2168452999995</v>
      </c>
      <c r="CG17" s="80">
        <f t="shared" si="50"/>
        <v>4432.5976233</v>
      </c>
      <c r="CH17" s="80"/>
      <c r="CI17" s="80">
        <f>C17*14.16042/100</f>
        <v>586241.388</v>
      </c>
      <c r="CJ17" s="80">
        <f t="shared" si="51"/>
        <v>20858.29866</v>
      </c>
      <c r="CK17" s="80">
        <f t="shared" si="52"/>
        <v>607099.68666</v>
      </c>
      <c r="CL17" s="80">
        <f t="shared" si="53"/>
        <v>12432.9903642</v>
      </c>
      <c r="CM17" s="80">
        <f t="shared" si="54"/>
        <v>12186.5990562</v>
      </c>
      <c r="CN17" s="80"/>
      <c r="CO17" s="80">
        <f>C17*6.15602/100</f>
        <v>254859.228</v>
      </c>
      <c r="CP17" s="80">
        <f t="shared" si="55"/>
        <v>9067.817459999998</v>
      </c>
      <c r="CQ17" s="80">
        <f t="shared" si="56"/>
        <v>263927.04546</v>
      </c>
      <c r="CR17" s="80">
        <f t="shared" si="57"/>
        <v>5405.0471202</v>
      </c>
      <c r="CS17" s="80">
        <f t="shared" si="58"/>
        <v>5297.9323722</v>
      </c>
      <c r="CT17" s="80"/>
      <c r="CU17" s="80">
        <f>C17*5.37414/100</f>
        <v>222489.39599999998</v>
      </c>
      <c r="CV17" s="80">
        <f t="shared" si="59"/>
        <v>7916.108219999999</v>
      </c>
      <c r="CW17" s="80">
        <f t="shared" si="60"/>
        <v>230405.50421999997</v>
      </c>
      <c r="CX17" s="80">
        <f t="shared" si="61"/>
        <v>4718.5486614</v>
      </c>
      <c r="CY17" s="80">
        <f t="shared" si="62"/>
        <v>4625.0386254000005</v>
      </c>
      <c r="CZ17" s="80"/>
      <c r="DA17" s="100">
        <f>C17*0.69717/100</f>
        <v>28862.838</v>
      </c>
      <c r="DB17" s="100">
        <f t="shared" si="63"/>
        <v>1026.93141</v>
      </c>
      <c r="DC17" s="100">
        <f t="shared" si="64"/>
        <v>29889.76941</v>
      </c>
      <c r="DD17" s="100">
        <f t="shared" si="65"/>
        <v>612.1222317</v>
      </c>
      <c r="DE17" s="100">
        <f t="shared" si="66"/>
        <v>599.9914737</v>
      </c>
      <c r="DF17" s="80"/>
      <c r="DG17" s="80">
        <f>C17*0.02011/100</f>
        <v>832.554</v>
      </c>
      <c r="DH17" s="80">
        <f t="shared" si="67"/>
        <v>29.62203</v>
      </c>
      <c r="DI17" s="80">
        <f t="shared" si="68"/>
        <v>862.17603</v>
      </c>
      <c r="DJ17" s="80">
        <f t="shared" si="69"/>
        <v>17.6567811</v>
      </c>
      <c r="DK17" s="80">
        <f t="shared" si="70"/>
        <v>17.3068671</v>
      </c>
      <c r="DL17" s="80"/>
      <c r="DM17" s="80">
        <f>C17*4.70981/100</f>
        <v>194986.134</v>
      </c>
      <c r="DN17" s="80">
        <f t="shared" si="71"/>
        <v>6937.5501300000005</v>
      </c>
      <c r="DO17" s="80">
        <f t="shared" si="72"/>
        <v>201923.68412999998</v>
      </c>
      <c r="DP17" s="80">
        <f t="shared" si="73"/>
        <v>4135.2602781</v>
      </c>
      <c r="DQ17" s="80">
        <f t="shared" si="74"/>
        <v>4053.3095841</v>
      </c>
      <c r="DR17" s="80"/>
      <c r="DS17" s="80">
        <f>C17*0.28727/100</f>
        <v>11892.978000000001</v>
      </c>
      <c r="DT17" s="80">
        <f t="shared" si="75"/>
        <v>423.14871000000005</v>
      </c>
      <c r="DU17" s="80">
        <f t="shared" si="76"/>
        <v>12316.12671</v>
      </c>
      <c r="DV17" s="80">
        <f t="shared" si="77"/>
        <v>252.22593270000002</v>
      </c>
      <c r="DW17" s="80">
        <f t="shared" si="78"/>
        <v>247.2274347</v>
      </c>
      <c r="DX17" s="80"/>
      <c r="DY17" s="80">
        <f>C17*4.87421/100</f>
        <v>201792.294</v>
      </c>
      <c r="DZ17" s="80">
        <f t="shared" si="79"/>
        <v>7179.711329999999</v>
      </c>
      <c r="EA17" s="80">
        <f t="shared" si="80"/>
        <v>208972.00532999999</v>
      </c>
      <c r="EB17" s="80">
        <f t="shared" si="81"/>
        <v>4279.6051221</v>
      </c>
      <c r="EC17" s="80">
        <f t="shared" si="82"/>
        <v>4194.7938681</v>
      </c>
      <c r="ED17" s="80"/>
      <c r="EE17" s="80">
        <f>C17*0.60754/100</f>
        <v>25152.156000000003</v>
      </c>
      <c r="EF17" s="80">
        <f t="shared" si="83"/>
        <v>894.9064199999999</v>
      </c>
      <c r="EG17" s="80">
        <f t="shared" si="84"/>
        <v>26047.062420000002</v>
      </c>
      <c r="EH17" s="80">
        <f t="shared" si="85"/>
        <v>533.4261954</v>
      </c>
      <c r="EI17" s="80">
        <f t="shared" si="86"/>
        <v>522.8549994</v>
      </c>
      <c r="EJ17" s="80"/>
      <c r="EK17" s="80">
        <f>C17*0.26185/100</f>
        <v>10840.59</v>
      </c>
      <c r="EL17" s="80">
        <f t="shared" si="87"/>
        <v>385.70505</v>
      </c>
      <c r="EM17" s="80">
        <f t="shared" si="88"/>
        <v>11226.29505</v>
      </c>
      <c r="EN17" s="80">
        <f t="shared" si="89"/>
        <v>229.90691850000002</v>
      </c>
      <c r="EO17" s="80">
        <f t="shared" si="90"/>
        <v>225.3507285</v>
      </c>
      <c r="EP17" s="80"/>
      <c r="EQ17" s="80"/>
      <c r="ER17" s="80"/>
      <c r="ES17" s="80"/>
      <c r="ET17" s="80"/>
      <c r="EU17" s="80"/>
      <c r="EV17" s="80"/>
      <c r="EW17" s="83">
        <f t="shared" si="91"/>
        <v>3600.972</v>
      </c>
      <c r="EX17" s="83">
        <f t="shared" si="91"/>
        <v>128.12154</v>
      </c>
      <c r="EY17" s="80">
        <f t="shared" si="92"/>
        <v>3729.0935400000003</v>
      </c>
      <c r="EZ17" s="80">
        <f t="shared" si="93"/>
        <v>76.3693098</v>
      </c>
      <c r="FA17" s="80">
        <f t="shared" si="94"/>
        <v>74.8558578</v>
      </c>
      <c r="FB17" s="80"/>
      <c r="FC17" s="80">
        <f t="shared" si="95"/>
        <v>8075.07</v>
      </c>
      <c r="FD17" s="80">
        <f t="shared" si="95"/>
        <v>287.30865</v>
      </c>
      <c r="FE17" s="80">
        <f t="shared" si="96"/>
        <v>8362.37865</v>
      </c>
      <c r="FF17" s="80">
        <f t="shared" si="97"/>
        <v>171.2558505</v>
      </c>
      <c r="FG17" s="80">
        <f t="shared" si="98"/>
        <v>167.8619805</v>
      </c>
      <c r="FH17" s="80"/>
      <c r="FI17" s="80"/>
      <c r="FJ17" s="80"/>
      <c r="FK17" s="80"/>
      <c r="FL17" s="39"/>
      <c r="FM17" s="39"/>
      <c r="FN17" s="39"/>
      <c r="FO17" s="39"/>
      <c r="FP17" s="39"/>
      <c r="FQ17" s="39"/>
    </row>
    <row r="18" spans="1:173" ht="12">
      <c r="A18" s="22">
        <v>42278</v>
      </c>
      <c r="C18" s="80"/>
      <c r="D18" s="80">
        <v>85200</v>
      </c>
      <c r="E18" s="81">
        <f t="shared" si="0"/>
        <v>85200</v>
      </c>
      <c r="F18" s="81">
        <v>87801</v>
      </c>
      <c r="G18" s="81">
        <v>86061</v>
      </c>
      <c r="H18" s="80"/>
      <c r="I18" s="81">
        <f t="shared" si="1"/>
        <v>0</v>
      </c>
      <c r="J18" s="82">
        <f t="shared" si="1"/>
        <v>240.28956</v>
      </c>
      <c r="K18" s="81">
        <f t="shared" si="2"/>
        <v>240.28956</v>
      </c>
      <c r="L18" s="81">
        <f t="shared" si="3"/>
        <v>247.6251603</v>
      </c>
      <c r="M18" s="81">
        <f t="shared" si="3"/>
        <v>242.71783829999998</v>
      </c>
      <c r="N18" s="80"/>
      <c r="O18" s="80"/>
      <c r="P18" s="80">
        <f t="shared" si="4"/>
        <v>84959.71043999998</v>
      </c>
      <c r="Q18" s="80">
        <f t="shared" si="5"/>
        <v>84959.71043999998</v>
      </c>
      <c r="R18" s="80">
        <f t="shared" si="6"/>
        <v>87553.3748397</v>
      </c>
      <c r="S18" s="80">
        <f t="shared" si="6"/>
        <v>85818.28216170002</v>
      </c>
      <c r="T18" s="80"/>
      <c r="U18" s="83"/>
      <c r="V18" s="83">
        <f t="shared" si="7"/>
        <v>12822.65112</v>
      </c>
      <c r="W18" s="80">
        <f t="shared" si="8"/>
        <v>12822.65112</v>
      </c>
      <c r="X18" s="80">
        <f t="shared" si="9"/>
        <v>13214.103180600001</v>
      </c>
      <c r="Y18" s="80">
        <f t="shared" si="10"/>
        <v>12952.232136600001</v>
      </c>
      <c r="Z18" s="80"/>
      <c r="AA18" s="80"/>
      <c r="AB18" s="80">
        <f t="shared" si="11"/>
        <v>14420.81568</v>
      </c>
      <c r="AC18" s="80">
        <f t="shared" si="12"/>
        <v>14420.81568</v>
      </c>
      <c r="AD18" s="80">
        <f t="shared" si="13"/>
        <v>14861.0567784</v>
      </c>
      <c r="AE18" s="80">
        <f t="shared" si="14"/>
        <v>14566.5471624</v>
      </c>
      <c r="AF18" s="80"/>
      <c r="AG18" s="80"/>
      <c r="AH18" s="80">
        <f t="shared" si="15"/>
        <v>8313.526319999999</v>
      </c>
      <c r="AI18" s="80">
        <f t="shared" si="16"/>
        <v>8313.526319999999</v>
      </c>
      <c r="AJ18" s="80">
        <f t="shared" si="17"/>
        <v>8567.3230566</v>
      </c>
      <c r="AK18" s="80">
        <f t="shared" si="18"/>
        <v>8397.5397726</v>
      </c>
      <c r="AL18" s="80"/>
      <c r="AM18" s="80"/>
      <c r="AN18" s="80">
        <f t="shared" si="19"/>
        <v>6374.07612</v>
      </c>
      <c r="AO18" s="80">
        <f t="shared" si="20"/>
        <v>6374.07612</v>
      </c>
      <c r="AP18" s="80">
        <f t="shared" si="21"/>
        <v>6568.664993099999</v>
      </c>
      <c r="AQ18" s="80">
        <f t="shared" si="22"/>
        <v>6438.4901991</v>
      </c>
      <c r="AR18" s="80"/>
      <c r="AS18" s="80"/>
      <c r="AT18" s="80">
        <f t="shared" si="23"/>
        <v>184.13423999999998</v>
      </c>
      <c r="AU18" s="80">
        <f t="shared" si="24"/>
        <v>184.13423999999998</v>
      </c>
      <c r="AV18" s="80">
        <f t="shared" si="25"/>
        <v>189.75552119999998</v>
      </c>
      <c r="AW18" s="80">
        <f t="shared" si="26"/>
        <v>185.9950332</v>
      </c>
      <c r="AX18" s="80"/>
      <c r="AY18" s="80"/>
      <c r="AZ18" s="80">
        <f t="shared" si="27"/>
        <v>16.23912</v>
      </c>
      <c r="BA18" s="80">
        <f t="shared" si="28"/>
        <v>16.23912</v>
      </c>
      <c r="BB18" s="80">
        <f t="shared" si="29"/>
        <v>16.7348706</v>
      </c>
      <c r="BC18" s="80">
        <f t="shared" si="30"/>
        <v>16.4032266</v>
      </c>
      <c r="BD18" s="80"/>
      <c r="BE18" s="80"/>
      <c r="BF18" s="80">
        <f t="shared" si="31"/>
        <v>11.66388</v>
      </c>
      <c r="BG18" s="80">
        <f t="shared" si="32"/>
        <v>11.66388</v>
      </c>
      <c r="BH18" s="80">
        <f t="shared" si="33"/>
        <v>12.019956899999999</v>
      </c>
      <c r="BI18" s="80">
        <f t="shared" si="34"/>
        <v>11.781750899999999</v>
      </c>
      <c r="BJ18" s="80"/>
      <c r="BK18" s="80"/>
      <c r="BL18" s="80">
        <f t="shared" si="35"/>
        <v>202.40964</v>
      </c>
      <c r="BM18" s="80">
        <f t="shared" si="36"/>
        <v>202.40964</v>
      </c>
      <c r="BN18" s="80">
        <f t="shared" si="37"/>
        <v>208.5888357</v>
      </c>
      <c r="BO18" s="80">
        <f t="shared" si="38"/>
        <v>204.45511770000002</v>
      </c>
      <c r="BP18" s="80"/>
      <c r="BQ18" s="80"/>
      <c r="BR18" s="80">
        <f t="shared" si="39"/>
        <v>5037.237</v>
      </c>
      <c r="BS18" s="80">
        <f t="shared" si="40"/>
        <v>5037.237</v>
      </c>
      <c r="BT18" s="80">
        <f t="shared" si="41"/>
        <v>5191.0146225</v>
      </c>
      <c r="BU18" s="80">
        <f t="shared" si="42"/>
        <v>5088.1414725</v>
      </c>
      <c r="BV18" s="80"/>
      <c r="BW18" s="80"/>
      <c r="BX18" s="80">
        <f t="shared" si="43"/>
        <v>1538.14968</v>
      </c>
      <c r="BY18" s="80">
        <f t="shared" si="44"/>
        <v>1538.14968</v>
      </c>
      <c r="BZ18" s="80">
        <f t="shared" si="45"/>
        <v>1585.1065734000001</v>
      </c>
      <c r="CA18" s="80">
        <f t="shared" si="46"/>
        <v>1553.6936574000001</v>
      </c>
      <c r="CB18" s="80"/>
      <c r="CC18" s="80"/>
      <c r="CD18" s="80">
        <f t="shared" si="47"/>
        <v>4388.25156</v>
      </c>
      <c r="CE18" s="80">
        <f t="shared" si="48"/>
        <v>4388.25156</v>
      </c>
      <c r="CF18" s="80">
        <f t="shared" si="49"/>
        <v>4522.2168452999995</v>
      </c>
      <c r="CG18" s="80">
        <f t="shared" si="50"/>
        <v>4432.5976233</v>
      </c>
      <c r="CH18" s="80"/>
      <c r="CI18" s="80"/>
      <c r="CJ18" s="80">
        <f t="shared" si="51"/>
        <v>12064.67784</v>
      </c>
      <c r="CK18" s="80">
        <f t="shared" si="52"/>
        <v>12064.67784</v>
      </c>
      <c r="CL18" s="80">
        <f t="shared" si="53"/>
        <v>12432.9903642</v>
      </c>
      <c r="CM18" s="80">
        <f t="shared" si="54"/>
        <v>12186.5990562</v>
      </c>
      <c r="CN18" s="80"/>
      <c r="CO18" s="80"/>
      <c r="CP18" s="80">
        <f t="shared" si="55"/>
        <v>5244.92904</v>
      </c>
      <c r="CQ18" s="80">
        <f t="shared" si="56"/>
        <v>5244.92904</v>
      </c>
      <c r="CR18" s="80">
        <f t="shared" si="57"/>
        <v>5405.0471202</v>
      </c>
      <c r="CS18" s="80">
        <f t="shared" si="58"/>
        <v>5297.9323722</v>
      </c>
      <c r="CT18" s="80"/>
      <c r="CU18" s="80"/>
      <c r="CV18" s="80">
        <f t="shared" si="59"/>
        <v>4578.76728</v>
      </c>
      <c r="CW18" s="80">
        <f t="shared" si="60"/>
        <v>4578.76728</v>
      </c>
      <c r="CX18" s="80">
        <f t="shared" si="61"/>
        <v>4718.5486614</v>
      </c>
      <c r="CY18" s="80">
        <f t="shared" si="62"/>
        <v>4625.0386254000005</v>
      </c>
      <c r="CZ18" s="80"/>
      <c r="DA18" s="100"/>
      <c r="DB18" s="100">
        <f t="shared" si="63"/>
        <v>593.98884</v>
      </c>
      <c r="DC18" s="100">
        <f t="shared" si="64"/>
        <v>593.98884</v>
      </c>
      <c r="DD18" s="100">
        <f t="shared" si="65"/>
        <v>612.1222317</v>
      </c>
      <c r="DE18" s="100">
        <f t="shared" si="66"/>
        <v>599.9914737</v>
      </c>
      <c r="DF18" s="80"/>
      <c r="DG18" s="80"/>
      <c r="DH18" s="80">
        <f t="shared" si="67"/>
        <v>17.133719999999997</v>
      </c>
      <c r="DI18" s="80">
        <f t="shared" si="68"/>
        <v>17.133719999999997</v>
      </c>
      <c r="DJ18" s="80">
        <f t="shared" si="69"/>
        <v>17.6567811</v>
      </c>
      <c r="DK18" s="80">
        <f t="shared" si="70"/>
        <v>17.3068671</v>
      </c>
      <c r="DL18" s="80"/>
      <c r="DM18" s="80"/>
      <c r="DN18" s="80">
        <f t="shared" si="71"/>
        <v>4012.75812</v>
      </c>
      <c r="DO18" s="80">
        <f t="shared" si="72"/>
        <v>4012.75812</v>
      </c>
      <c r="DP18" s="80">
        <f t="shared" si="73"/>
        <v>4135.2602781</v>
      </c>
      <c r="DQ18" s="80">
        <f t="shared" si="74"/>
        <v>4053.3095841</v>
      </c>
      <c r="DR18" s="80"/>
      <c r="DS18" s="80"/>
      <c r="DT18" s="80">
        <f t="shared" si="75"/>
        <v>244.75404000000003</v>
      </c>
      <c r="DU18" s="80">
        <f t="shared" si="76"/>
        <v>244.75404000000003</v>
      </c>
      <c r="DV18" s="80">
        <f t="shared" si="77"/>
        <v>252.22593270000002</v>
      </c>
      <c r="DW18" s="80">
        <f t="shared" si="78"/>
        <v>247.2274347</v>
      </c>
      <c r="DX18" s="80"/>
      <c r="DY18" s="80"/>
      <c r="DZ18" s="80">
        <f t="shared" si="79"/>
        <v>4152.8269199999995</v>
      </c>
      <c r="EA18" s="80">
        <f t="shared" si="80"/>
        <v>4152.8269199999995</v>
      </c>
      <c r="EB18" s="80">
        <f t="shared" si="81"/>
        <v>4279.6051221</v>
      </c>
      <c r="EC18" s="80">
        <f t="shared" si="82"/>
        <v>4194.7938681</v>
      </c>
      <c r="ED18" s="80"/>
      <c r="EE18" s="80"/>
      <c r="EF18" s="80">
        <f t="shared" si="83"/>
        <v>517.6240799999999</v>
      </c>
      <c r="EG18" s="80">
        <f t="shared" si="84"/>
        <v>517.6240799999999</v>
      </c>
      <c r="EH18" s="80">
        <f t="shared" si="85"/>
        <v>533.4261954</v>
      </c>
      <c r="EI18" s="80">
        <f t="shared" si="86"/>
        <v>522.8549994</v>
      </c>
      <c r="EJ18" s="80"/>
      <c r="EK18" s="80"/>
      <c r="EL18" s="80">
        <f t="shared" si="87"/>
        <v>223.09620000000004</v>
      </c>
      <c r="EM18" s="80">
        <f t="shared" si="88"/>
        <v>223.09620000000004</v>
      </c>
      <c r="EN18" s="80">
        <f t="shared" si="89"/>
        <v>229.90691850000002</v>
      </c>
      <c r="EO18" s="80">
        <f t="shared" si="90"/>
        <v>225.3507285</v>
      </c>
      <c r="EP18" s="80"/>
      <c r="EQ18" s="80"/>
      <c r="ER18" s="80"/>
      <c r="ES18" s="80"/>
      <c r="ET18" s="80"/>
      <c r="EU18" s="80"/>
      <c r="EV18" s="80"/>
      <c r="EW18" s="83">
        <f t="shared" si="91"/>
        <v>0</v>
      </c>
      <c r="EX18" s="83">
        <f t="shared" si="91"/>
        <v>74.10696</v>
      </c>
      <c r="EY18" s="80">
        <f t="shared" si="92"/>
        <v>74.10696</v>
      </c>
      <c r="EZ18" s="80">
        <f t="shared" si="93"/>
        <v>76.3693098</v>
      </c>
      <c r="FA18" s="80">
        <f t="shared" si="94"/>
        <v>74.8558578</v>
      </c>
      <c r="FB18" s="80"/>
      <c r="FC18" s="80">
        <f t="shared" si="95"/>
        <v>0</v>
      </c>
      <c r="FD18" s="80">
        <f t="shared" si="95"/>
        <v>166.18259999999998</v>
      </c>
      <c r="FE18" s="80">
        <f t="shared" si="96"/>
        <v>166.18259999999998</v>
      </c>
      <c r="FF18" s="80">
        <f t="shared" si="97"/>
        <v>171.2558505</v>
      </c>
      <c r="FG18" s="80">
        <f t="shared" si="98"/>
        <v>167.8619805</v>
      </c>
      <c r="FH18" s="80"/>
      <c r="FI18" s="80"/>
      <c r="FJ18" s="80"/>
      <c r="FK18" s="80"/>
      <c r="FL18" s="39"/>
      <c r="FM18" s="39"/>
      <c r="FN18" s="39"/>
      <c r="FO18" s="39"/>
      <c r="FP18" s="39"/>
      <c r="FQ18" s="39"/>
    </row>
    <row r="19" spans="1:173" ht="12">
      <c r="A19" s="22">
        <v>42461</v>
      </c>
      <c r="C19" s="80">
        <v>4260000</v>
      </c>
      <c r="D19" s="80">
        <v>85200</v>
      </c>
      <c r="E19" s="81">
        <f t="shared" si="0"/>
        <v>4345200</v>
      </c>
      <c r="F19" s="81">
        <v>87796</v>
      </c>
      <c r="G19" s="81">
        <v>86065</v>
      </c>
      <c r="H19" s="80"/>
      <c r="I19" s="81">
        <f t="shared" si="1"/>
        <v>12014.478</v>
      </c>
      <c r="J19" s="82">
        <f t="shared" si="1"/>
        <v>240.28956</v>
      </c>
      <c r="K19" s="81">
        <f t="shared" si="2"/>
        <v>12254.767559999998</v>
      </c>
      <c r="L19" s="81">
        <f t="shared" si="3"/>
        <v>247.6110588</v>
      </c>
      <c r="M19" s="81">
        <f t="shared" si="3"/>
        <v>242.72911949999997</v>
      </c>
      <c r="N19" s="80"/>
      <c r="O19" s="80">
        <f t="shared" si="99"/>
        <v>4247985.522</v>
      </c>
      <c r="P19" s="80">
        <f t="shared" si="4"/>
        <v>84959.71043999998</v>
      </c>
      <c r="Q19" s="80">
        <f t="shared" si="5"/>
        <v>4332945.2324399995</v>
      </c>
      <c r="R19" s="80">
        <f t="shared" si="6"/>
        <v>87548.38894119998</v>
      </c>
      <c r="S19" s="80">
        <f t="shared" si="6"/>
        <v>85822.2708805</v>
      </c>
      <c r="T19" s="80"/>
      <c r="U19" s="83">
        <f>C19*15.05006/100</f>
        <v>641132.556</v>
      </c>
      <c r="V19" s="83">
        <f t="shared" si="7"/>
        <v>12822.65112</v>
      </c>
      <c r="W19" s="80">
        <f t="shared" si="8"/>
        <v>653955.20712</v>
      </c>
      <c r="X19" s="80">
        <f t="shared" si="9"/>
        <v>13213.350677600001</v>
      </c>
      <c r="Y19" s="80">
        <f t="shared" si="10"/>
        <v>12952.834139</v>
      </c>
      <c r="Z19" s="80"/>
      <c r="AA19" s="80">
        <f>C19*16.92584/100</f>
        <v>721040.7840000001</v>
      </c>
      <c r="AB19" s="80">
        <f t="shared" si="11"/>
        <v>14420.81568</v>
      </c>
      <c r="AC19" s="80">
        <f t="shared" si="12"/>
        <v>735461.5996800001</v>
      </c>
      <c r="AD19" s="80">
        <f t="shared" si="13"/>
        <v>14860.210486400001</v>
      </c>
      <c r="AE19" s="80">
        <f t="shared" si="14"/>
        <v>14567.224196000001</v>
      </c>
      <c r="AF19" s="80"/>
      <c r="AG19" s="80">
        <f>C19*9.75766/100</f>
        <v>415676.316</v>
      </c>
      <c r="AH19" s="80">
        <f t="shared" si="15"/>
        <v>8313.526319999999</v>
      </c>
      <c r="AI19" s="80">
        <f t="shared" si="16"/>
        <v>423989.84232</v>
      </c>
      <c r="AJ19" s="80">
        <f t="shared" si="17"/>
        <v>8566.8351736</v>
      </c>
      <c r="AK19" s="80">
        <f t="shared" si="18"/>
        <v>8397.930079</v>
      </c>
      <c r="AL19" s="80"/>
      <c r="AM19" s="80">
        <f>C19*7.48131/100</f>
        <v>318703.806</v>
      </c>
      <c r="AN19" s="80">
        <f t="shared" si="19"/>
        <v>6374.07612</v>
      </c>
      <c r="AO19" s="80">
        <f t="shared" si="20"/>
        <v>325077.88211999997</v>
      </c>
      <c r="AP19" s="80">
        <f t="shared" si="21"/>
        <v>6568.290927599999</v>
      </c>
      <c r="AQ19" s="80">
        <f t="shared" si="22"/>
        <v>6438.7894515</v>
      </c>
      <c r="AR19" s="80"/>
      <c r="AS19" s="80">
        <f>C19*0.21612/100</f>
        <v>9206.712000000001</v>
      </c>
      <c r="AT19" s="80">
        <f t="shared" si="23"/>
        <v>184.13423999999998</v>
      </c>
      <c r="AU19" s="80">
        <f t="shared" si="24"/>
        <v>9390.84624</v>
      </c>
      <c r="AV19" s="80">
        <f t="shared" si="25"/>
        <v>189.74471519999997</v>
      </c>
      <c r="AW19" s="80">
        <f t="shared" si="26"/>
        <v>186.00367799999998</v>
      </c>
      <c r="AX19" s="80"/>
      <c r="AY19" s="80">
        <f>C19*0.01906/100</f>
        <v>811.956</v>
      </c>
      <c r="AZ19" s="80">
        <f t="shared" si="27"/>
        <v>16.23912</v>
      </c>
      <c r="BA19" s="80">
        <f t="shared" si="28"/>
        <v>828.19512</v>
      </c>
      <c r="BB19" s="80">
        <f t="shared" si="29"/>
        <v>16.733917599999998</v>
      </c>
      <c r="BC19" s="80">
        <f t="shared" si="30"/>
        <v>16.403989</v>
      </c>
      <c r="BD19" s="80"/>
      <c r="BE19" s="80">
        <f>C19*0.01369/100</f>
        <v>583.194</v>
      </c>
      <c r="BF19" s="80">
        <f t="shared" si="31"/>
        <v>11.66388</v>
      </c>
      <c r="BG19" s="80">
        <f t="shared" si="32"/>
        <v>594.8578799999999</v>
      </c>
      <c r="BH19" s="80">
        <f t="shared" si="33"/>
        <v>12.0192724</v>
      </c>
      <c r="BI19" s="80">
        <f t="shared" si="34"/>
        <v>11.7822985</v>
      </c>
      <c r="BJ19" s="80"/>
      <c r="BK19" s="80">
        <f>C19*0.23757/100</f>
        <v>10120.482</v>
      </c>
      <c r="BL19" s="80">
        <f t="shared" si="35"/>
        <v>202.40964</v>
      </c>
      <c r="BM19" s="80">
        <f t="shared" si="36"/>
        <v>10322.89164</v>
      </c>
      <c r="BN19" s="80">
        <f t="shared" si="37"/>
        <v>208.5769572</v>
      </c>
      <c r="BO19" s="80">
        <f t="shared" si="38"/>
        <v>204.46462050000002</v>
      </c>
      <c r="BP19" s="80"/>
      <c r="BQ19" s="80">
        <f>C19*5.91225/100</f>
        <v>251861.85</v>
      </c>
      <c r="BR19" s="80">
        <f t="shared" si="39"/>
        <v>5037.237</v>
      </c>
      <c r="BS19" s="80">
        <f t="shared" si="40"/>
        <v>256899.087</v>
      </c>
      <c r="BT19" s="80">
        <f t="shared" si="41"/>
        <v>5190.71901</v>
      </c>
      <c r="BU19" s="80">
        <f t="shared" si="42"/>
        <v>5088.3779625</v>
      </c>
      <c r="BV19" s="80"/>
      <c r="BW19" s="80">
        <f>C19*1.80534/100</f>
        <v>76907.484</v>
      </c>
      <c r="BX19" s="80">
        <f t="shared" si="43"/>
        <v>1538.14968</v>
      </c>
      <c r="BY19" s="80">
        <f t="shared" si="44"/>
        <v>78445.63368</v>
      </c>
      <c r="BZ19" s="80">
        <f t="shared" si="45"/>
        <v>1585.0163064</v>
      </c>
      <c r="CA19" s="80">
        <f t="shared" si="46"/>
        <v>1553.765871</v>
      </c>
      <c r="CB19" s="80"/>
      <c r="CC19" s="80">
        <f>C19*5.15053/100</f>
        <v>219412.578</v>
      </c>
      <c r="CD19" s="80">
        <f t="shared" si="47"/>
        <v>4388.25156</v>
      </c>
      <c r="CE19" s="80">
        <f t="shared" si="48"/>
        <v>223800.82956</v>
      </c>
      <c r="CF19" s="80">
        <f t="shared" si="49"/>
        <v>4521.9593188</v>
      </c>
      <c r="CG19" s="80">
        <f t="shared" si="50"/>
        <v>4432.8036445</v>
      </c>
      <c r="CH19" s="80"/>
      <c r="CI19" s="80">
        <f>C19*14.16042/100</f>
        <v>603233.892</v>
      </c>
      <c r="CJ19" s="80">
        <f t="shared" si="51"/>
        <v>12064.67784</v>
      </c>
      <c r="CK19" s="80">
        <f t="shared" si="52"/>
        <v>615298.56984</v>
      </c>
      <c r="CL19" s="80">
        <f t="shared" si="53"/>
        <v>12432.2823432</v>
      </c>
      <c r="CM19" s="80">
        <f t="shared" si="54"/>
        <v>12187.165473000001</v>
      </c>
      <c r="CN19" s="80"/>
      <c r="CO19" s="80">
        <f>C19*6.15602/100</f>
        <v>262246.452</v>
      </c>
      <c r="CP19" s="80">
        <f t="shared" si="55"/>
        <v>5244.92904</v>
      </c>
      <c r="CQ19" s="80">
        <f t="shared" si="56"/>
        <v>267491.38104</v>
      </c>
      <c r="CR19" s="80">
        <f t="shared" si="57"/>
        <v>5404.7393192</v>
      </c>
      <c r="CS19" s="80">
        <f t="shared" si="58"/>
        <v>5298.178613</v>
      </c>
      <c r="CT19" s="80"/>
      <c r="CU19" s="80">
        <f>C19*5.37414/100</f>
        <v>228938.36399999997</v>
      </c>
      <c r="CV19" s="80">
        <f t="shared" si="59"/>
        <v>4578.76728</v>
      </c>
      <c r="CW19" s="80">
        <f t="shared" si="60"/>
        <v>233517.13127999997</v>
      </c>
      <c r="CX19" s="80">
        <f t="shared" si="61"/>
        <v>4718.2799544</v>
      </c>
      <c r="CY19" s="80">
        <f t="shared" si="62"/>
        <v>4625.253591000001</v>
      </c>
      <c r="CZ19" s="80"/>
      <c r="DA19" s="100">
        <f>C19*0.69717/100</f>
        <v>29699.441999999995</v>
      </c>
      <c r="DB19" s="100">
        <f t="shared" si="63"/>
        <v>593.98884</v>
      </c>
      <c r="DC19" s="100">
        <f t="shared" si="64"/>
        <v>30293.430839999994</v>
      </c>
      <c r="DD19" s="100">
        <f t="shared" si="65"/>
        <v>612.0873732</v>
      </c>
      <c r="DE19" s="100">
        <f t="shared" si="66"/>
        <v>600.0193605</v>
      </c>
      <c r="DF19" s="80"/>
      <c r="DG19" s="80">
        <f>C19*0.02011/100</f>
        <v>856.6859999999999</v>
      </c>
      <c r="DH19" s="80">
        <f t="shared" si="67"/>
        <v>17.133719999999997</v>
      </c>
      <c r="DI19" s="80">
        <f t="shared" si="68"/>
        <v>873.81972</v>
      </c>
      <c r="DJ19" s="80">
        <f t="shared" si="69"/>
        <v>17.655775600000002</v>
      </c>
      <c r="DK19" s="80">
        <f t="shared" si="70"/>
        <v>17.3076715</v>
      </c>
      <c r="DL19" s="80"/>
      <c r="DM19" s="80">
        <f>C19*4.70981/100</f>
        <v>200637.90600000002</v>
      </c>
      <c r="DN19" s="80">
        <f t="shared" si="71"/>
        <v>4012.75812</v>
      </c>
      <c r="DO19" s="80">
        <f t="shared" si="72"/>
        <v>204650.66412000003</v>
      </c>
      <c r="DP19" s="80">
        <f t="shared" si="73"/>
        <v>4135.024787599999</v>
      </c>
      <c r="DQ19" s="80">
        <f t="shared" si="74"/>
        <v>4053.4979765</v>
      </c>
      <c r="DR19" s="80"/>
      <c r="DS19" s="80">
        <f>C19*0.28727/100</f>
        <v>12237.702000000001</v>
      </c>
      <c r="DT19" s="80">
        <f t="shared" si="75"/>
        <v>244.75404000000003</v>
      </c>
      <c r="DU19" s="80">
        <f t="shared" si="76"/>
        <v>12482.456040000001</v>
      </c>
      <c r="DV19" s="80">
        <f t="shared" si="77"/>
        <v>252.2115692</v>
      </c>
      <c r="DW19" s="80">
        <f t="shared" si="78"/>
        <v>247.23892550000002</v>
      </c>
      <c r="DX19" s="80"/>
      <c r="DY19" s="80">
        <f>C19*4.87421/100</f>
        <v>207641.346</v>
      </c>
      <c r="DZ19" s="80">
        <f t="shared" si="79"/>
        <v>4152.8269199999995</v>
      </c>
      <c r="EA19" s="80">
        <f t="shared" si="80"/>
        <v>211794.17291999998</v>
      </c>
      <c r="EB19" s="80">
        <f t="shared" si="81"/>
        <v>4279.3614116</v>
      </c>
      <c r="EC19" s="80">
        <f t="shared" si="82"/>
        <v>4194.9888365</v>
      </c>
      <c r="ED19" s="80"/>
      <c r="EE19" s="80">
        <f>C19*0.60754/100</f>
        <v>25881.203999999998</v>
      </c>
      <c r="EF19" s="80">
        <f t="shared" si="83"/>
        <v>517.6240799999999</v>
      </c>
      <c r="EG19" s="80">
        <f t="shared" si="84"/>
        <v>26398.82808</v>
      </c>
      <c r="EH19" s="80">
        <f t="shared" si="85"/>
        <v>533.3958183999999</v>
      </c>
      <c r="EI19" s="80">
        <f t="shared" si="86"/>
        <v>522.8793009999999</v>
      </c>
      <c r="EJ19" s="80"/>
      <c r="EK19" s="80">
        <f>C19*0.26185/100</f>
        <v>11154.81</v>
      </c>
      <c r="EL19" s="80">
        <f t="shared" si="87"/>
        <v>223.09620000000004</v>
      </c>
      <c r="EM19" s="80">
        <f t="shared" si="88"/>
        <v>11377.9062</v>
      </c>
      <c r="EN19" s="80">
        <f t="shared" si="89"/>
        <v>229.89382600000002</v>
      </c>
      <c r="EO19" s="80">
        <f t="shared" si="90"/>
        <v>225.36120250000002</v>
      </c>
      <c r="EP19" s="80"/>
      <c r="EQ19" s="80"/>
      <c r="ER19" s="80"/>
      <c r="ES19" s="80"/>
      <c r="ET19" s="80"/>
      <c r="EU19" s="80"/>
      <c r="EV19" s="80"/>
      <c r="EW19" s="83">
        <f t="shared" si="91"/>
        <v>3705.348</v>
      </c>
      <c r="EX19" s="83">
        <f t="shared" si="91"/>
        <v>74.10696</v>
      </c>
      <c r="EY19" s="80">
        <f t="shared" si="92"/>
        <v>3779.45496</v>
      </c>
      <c r="EZ19" s="80">
        <f t="shared" si="93"/>
        <v>76.3649608</v>
      </c>
      <c r="FA19" s="80">
        <f t="shared" si="94"/>
        <v>74.859337</v>
      </c>
      <c r="FB19" s="80"/>
      <c r="FC19" s="80">
        <f t="shared" si="95"/>
        <v>8309.13</v>
      </c>
      <c r="FD19" s="80">
        <f t="shared" si="95"/>
        <v>166.18259999999998</v>
      </c>
      <c r="FE19" s="80">
        <f t="shared" si="96"/>
        <v>8475.3126</v>
      </c>
      <c r="FF19" s="80">
        <f t="shared" si="97"/>
        <v>171.246098</v>
      </c>
      <c r="FG19" s="80">
        <f t="shared" si="98"/>
        <v>167.86978249999999</v>
      </c>
      <c r="FH19" s="80"/>
      <c r="FI19" s="80"/>
      <c r="FJ19" s="80"/>
      <c r="FK19" s="80"/>
      <c r="FL19" s="39"/>
      <c r="FM19" s="39"/>
      <c r="FN19" s="39"/>
      <c r="FO19" s="39"/>
      <c r="FP19" s="39"/>
      <c r="FQ19" s="39"/>
    </row>
    <row r="20" spans="1:173" ht="12" hidden="1">
      <c r="A20" s="22">
        <v>42644</v>
      </c>
      <c r="C20" s="80"/>
      <c r="D20" s="80"/>
      <c r="E20" s="81">
        <f t="shared" si="0"/>
        <v>0</v>
      </c>
      <c r="F20" s="81"/>
      <c r="G20" s="81"/>
      <c r="H20" s="80"/>
      <c r="I20" s="81">
        <f t="shared" si="1"/>
        <v>0</v>
      </c>
      <c r="J20" s="82">
        <f t="shared" si="1"/>
        <v>0</v>
      </c>
      <c r="K20" s="81">
        <f t="shared" si="2"/>
        <v>0</v>
      </c>
      <c r="L20" s="81">
        <f t="shared" si="3"/>
        <v>0</v>
      </c>
      <c r="M20" s="81">
        <f t="shared" si="3"/>
        <v>0</v>
      </c>
      <c r="N20" s="80"/>
      <c r="O20" s="80"/>
      <c r="P20" s="80">
        <f t="shared" si="4"/>
        <v>0</v>
      </c>
      <c r="Q20" s="80">
        <f t="shared" si="5"/>
        <v>0</v>
      </c>
      <c r="R20" s="80">
        <f t="shared" si="6"/>
        <v>0</v>
      </c>
      <c r="S20" s="80">
        <f t="shared" si="6"/>
        <v>0</v>
      </c>
      <c r="T20" s="80"/>
      <c r="U20" s="83"/>
      <c r="V20" s="83">
        <f t="shared" si="7"/>
        <v>0</v>
      </c>
      <c r="W20" s="80">
        <f t="shared" si="8"/>
        <v>0</v>
      </c>
      <c r="X20" s="80">
        <f t="shared" si="9"/>
        <v>0</v>
      </c>
      <c r="Y20" s="80">
        <f t="shared" si="10"/>
        <v>0</v>
      </c>
      <c r="Z20" s="80"/>
      <c r="AA20" s="80"/>
      <c r="AB20" s="80">
        <f t="shared" si="11"/>
        <v>0</v>
      </c>
      <c r="AC20" s="80">
        <f t="shared" si="12"/>
        <v>0</v>
      </c>
      <c r="AD20" s="80">
        <f t="shared" si="13"/>
        <v>0</v>
      </c>
      <c r="AE20" s="80">
        <f t="shared" si="14"/>
        <v>0</v>
      </c>
      <c r="AF20" s="80"/>
      <c r="AG20" s="80"/>
      <c r="AH20" s="80">
        <f t="shared" si="15"/>
        <v>0</v>
      </c>
      <c r="AI20" s="80">
        <f t="shared" si="16"/>
        <v>0</v>
      </c>
      <c r="AJ20" s="80">
        <f t="shared" si="17"/>
        <v>0</v>
      </c>
      <c r="AK20" s="80">
        <f t="shared" si="18"/>
        <v>0</v>
      </c>
      <c r="AL20" s="80"/>
      <c r="AM20" s="80"/>
      <c r="AN20" s="80">
        <f t="shared" si="19"/>
        <v>0</v>
      </c>
      <c r="AO20" s="80">
        <f t="shared" si="20"/>
        <v>0</v>
      </c>
      <c r="AP20" s="80">
        <f t="shared" si="21"/>
        <v>0</v>
      </c>
      <c r="AQ20" s="80">
        <f t="shared" si="22"/>
        <v>0</v>
      </c>
      <c r="AR20" s="80"/>
      <c r="AS20" s="80"/>
      <c r="AT20" s="80">
        <f t="shared" si="23"/>
        <v>0</v>
      </c>
      <c r="AU20" s="80">
        <f t="shared" si="24"/>
        <v>0</v>
      </c>
      <c r="AV20" s="80">
        <f t="shared" si="25"/>
        <v>0</v>
      </c>
      <c r="AW20" s="80">
        <f t="shared" si="26"/>
        <v>0</v>
      </c>
      <c r="AX20" s="80"/>
      <c r="AY20" s="80"/>
      <c r="AZ20" s="80">
        <f t="shared" si="27"/>
        <v>0</v>
      </c>
      <c r="BA20" s="80">
        <f t="shared" si="28"/>
        <v>0</v>
      </c>
      <c r="BB20" s="80">
        <f t="shared" si="29"/>
        <v>0</v>
      </c>
      <c r="BC20" s="80">
        <f t="shared" si="30"/>
        <v>0</v>
      </c>
      <c r="BD20" s="80"/>
      <c r="BE20" s="80"/>
      <c r="BF20" s="80">
        <f t="shared" si="31"/>
        <v>0</v>
      </c>
      <c r="BG20" s="80">
        <f t="shared" si="32"/>
        <v>0</v>
      </c>
      <c r="BH20" s="80">
        <f t="shared" si="33"/>
        <v>0</v>
      </c>
      <c r="BI20" s="80">
        <f t="shared" si="34"/>
        <v>0</v>
      </c>
      <c r="BJ20" s="80"/>
      <c r="BK20" s="80"/>
      <c r="BL20" s="80">
        <f t="shared" si="35"/>
        <v>0</v>
      </c>
      <c r="BM20" s="80">
        <f t="shared" si="36"/>
        <v>0</v>
      </c>
      <c r="BN20" s="80">
        <f t="shared" si="37"/>
        <v>0</v>
      </c>
      <c r="BO20" s="80">
        <f t="shared" si="38"/>
        <v>0</v>
      </c>
      <c r="BP20" s="80"/>
      <c r="BQ20" s="80"/>
      <c r="BR20" s="80">
        <f t="shared" si="39"/>
        <v>0</v>
      </c>
      <c r="BS20" s="80">
        <f t="shared" si="40"/>
        <v>0</v>
      </c>
      <c r="BT20" s="80">
        <f t="shared" si="41"/>
        <v>0</v>
      </c>
      <c r="BU20" s="80">
        <f t="shared" si="42"/>
        <v>0</v>
      </c>
      <c r="BV20" s="80"/>
      <c r="BW20" s="80"/>
      <c r="BX20" s="80">
        <f t="shared" si="43"/>
        <v>0</v>
      </c>
      <c r="BY20" s="80">
        <f t="shared" si="44"/>
        <v>0</v>
      </c>
      <c r="BZ20" s="80">
        <f t="shared" si="45"/>
        <v>0</v>
      </c>
      <c r="CA20" s="80">
        <f t="shared" si="46"/>
        <v>0</v>
      </c>
      <c r="CB20" s="80"/>
      <c r="CC20" s="80"/>
      <c r="CD20" s="80">
        <f t="shared" si="47"/>
        <v>0</v>
      </c>
      <c r="CE20" s="80">
        <f t="shared" si="48"/>
        <v>0</v>
      </c>
      <c r="CF20" s="80">
        <f t="shared" si="49"/>
        <v>0</v>
      </c>
      <c r="CG20" s="80">
        <f t="shared" si="50"/>
        <v>0</v>
      </c>
      <c r="CH20" s="80"/>
      <c r="CI20" s="80"/>
      <c r="CJ20" s="80">
        <f t="shared" si="51"/>
        <v>0</v>
      </c>
      <c r="CK20" s="80">
        <f t="shared" si="52"/>
        <v>0</v>
      </c>
      <c r="CL20" s="80">
        <f t="shared" si="53"/>
        <v>0</v>
      </c>
      <c r="CM20" s="80">
        <f t="shared" si="54"/>
        <v>0</v>
      </c>
      <c r="CN20" s="80"/>
      <c r="CO20" s="80"/>
      <c r="CP20" s="80">
        <f t="shared" si="55"/>
        <v>0</v>
      </c>
      <c r="CQ20" s="80">
        <f t="shared" si="56"/>
        <v>0</v>
      </c>
      <c r="CR20" s="80">
        <f t="shared" si="57"/>
        <v>0</v>
      </c>
      <c r="CS20" s="80">
        <f t="shared" si="58"/>
        <v>0</v>
      </c>
      <c r="CT20" s="80"/>
      <c r="CU20" s="80"/>
      <c r="CV20" s="80">
        <f t="shared" si="59"/>
        <v>0</v>
      </c>
      <c r="CW20" s="80">
        <f t="shared" si="60"/>
        <v>0</v>
      </c>
      <c r="CX20" s="80">
        <f t="shared" si="61"/>
        <v>0</v>
      </c>
      <c r="CY20" s="80">
        <f t="shared" si="62"/>
        <v>0</v>
      </c>
      <c r="CZ20" s="80"/>
      <c r="DA20" s="100"/>
      <c r="DB20" s="100">
        <f t="shared" si="63"/>
        <v>0</v>
      </c>
      <c r="DC20" s="100">
        <f t="shared" si="64"/>
        <v>0</v>
      </c>
      <c r="DD20" s="100">
        <f t="shared" si="65"/>
        <v>0</v>
      </c>
      <c r="DE20" s="100">
        <f t="shared" si="66"/>
        <v>0</v>
      </c>
      <c r="DF20" s="80"/>
      <c r="DG20" s="80"/>
      <c r="DH20" s="80">
        <f t="shared" si="67"/>
        <v>0</v>
      </c>
      <c r="DI20" s="80">
        <f t="shared" si="68"/>
        <v>0</v>
      </c>
      <c r="DJ20" s="80">
        <f t="shared" si="69"/>
        <v>0</v>
      </c>
      <c r="DK20" s="80">
        <f t="shared" si="70"/>
        <v>0</v>
      </c>
      <c r="DL20" s="80"/>
      <c r="DM20" s="80"/>
      <c r="DN20" s="80">
        <f t="shared" si="71"/>
        <v>0</v>
      </c>
      <c r="DO20" s="80">
        <f t="shared" si="72"/>
        <v>0</v>
      </c>
      <c r="DP20" s="80">
        <f t="shared" si="73"/>
        <v>0</v>
      </c>
      <c r="DQ20" s="80">
        <f t="shared" si="74"/>
        <v>0</v>
      </c>
      <c r="DR20" s="80"/>
      <c r="DS20" s="80"/>
      <c r="DT20" s="80">
        <f t="shared" si="75"/>
        <v>0</v>
      </c>
      <c r="DU20" s="80">
        <f t="shared" si="76"/>
        <v>0</v>
      </c>
      <c r="DV20" s="80">
        <f t="shared" si="77"/>
        <v>0</v>
      </c>
      <c r="DW20" s="80">
        <f t="shared" si="78"/>
        <v>0</v>
      </c>
      <c r="DX20" s="80"/>
      <c r="DY20" s="80"/>
      <c r="DZ20" s="80">
        <f t="shared" si="79"/>
        <v>0</v>
      </c>
      <c r="EA20" s="80">
        <f t="shared" si="80"/>
        <v>0</v>
      </c>
      <c r="EB20" s="80">
        <f t="shared" si="81"/>
        <v>0</v>
      </c>
      <c r="EC20" s="80">
        <f t="shared" si="82"/>
        <v>0</v>
      </c>
      <c r="ED20" s="80"/>
      <c r="EE20" s="80"/>
      <c r="EF20" s="80">
        <f t="shared" si="83"/>
        <v>0</v>
      </c>
      <c r="EG20" s="80">
        <f t="shared" si="84"/>
        <v>0</v>
      </c>
      <c r="EH20" s="80">
        <f t="shared" si="85"/>
        <v>0</v>
      </c>
      <c r="EI20" s="80">
        <f t="shared" si="86"/>
        <v>0</v>
      </c>
      <c r="EJ20" s="80"/>
      <c r="EK20" s="80"/>
      <c r="EL20" s="80">
        <f t="shared" si="87"/>
        <v>0</v>
      </c>
      <c r="EM20" s="80">
        <f t="shared" si="88"/>
        <v>0</v>
      </c>
      <c r="EN20" s="80">
        <f t="shared" si="89"/>
        <v>0</v>
      </c>
      <c r="EO20" s="80">
        <f t="shared" si="90"/>
        <v>0</v>
      </c>
      <c r="EP20" s="80"/>
      <c r="EQ20" s="80"/>
      <c r="ER20" s="80"/>
      <c r="ES20" s="80"/>
      <c r="ET20" s="80"/>
      <c r="EU20" s="80"/>
      <c r="EV20" s="80"/>
      <c r="EW20" s="83">
        <f t="shared" si="91"/>
        <v>0</v>
      </c>
      <c r="EX20" s="83">
        <f t="shared" si="91"/>
        <v>0</v>
      </c>
      <c r="EY20" s="80">
        <f t="shared" si="92"/>
        <v>0</v>
      </c>
      <c r="EZ20" s="80">
        <f t="shared" si="93"/>
        <v>0</v>
      </c>
      <c r="FA20" s="80">
        <f t="shared" si="94"/>
        <v>0</v>
      </c>
      <c r="FB20" s="80"/>
      <c r="FC20" s="80">
        <f t="shared" si="95"/>
        <v>0</v>
      </c>
      <c r="FD20" s="80">
        <f t="shared" si="95"/>
        <v>0</v>
      </c>
      <c r="FE20" s="80">
        <f t="shared" si="96"/>
        <v>0</v>
      </c>
      <c r="FF20" s="80">
        <f t="shared" si="97"/>
        <v>0</v>
      </c>
      <c r="FG20" s="80">
        <f t="shared" si="98"/>
        <v>0</v>
      </c>
      <c r="FH20" s="80"/>
      <c r="FI20" s="80"/>
      <c r="FJ20" s="80"/>
      <c r="FK20" s="80"/>
      <c r="FL20" s="39"/>
      <c r="FM20" s="39"/>
      <c r="FN20" s="39"/>
      <c r="FO20" s="39"/>
      <c r="FP20" s="39"/>
      <c r="FQ20" s="39"/>
    </row>
    <row r="21" spans="1:173" ht="12" hidden="1">
      <c r="A21" s="22">
        <v>42826</v>
      </c>
      <c r="C21" s="80"/>
      <c r="D21" s="80"/>
      <c r="E21" s="81">
        <f t="shared" si="0"/>
        <v>0</v>
      </c>
      <c r="F21" s="81"/>
      <c r="G21" s="81"/>
      <c r="H21" s="80"/>
      <c r="I21" s="81">
        <f t="shared" si="1"/>
        <v>0</v>
      </c>
      <c r="J21" s="82">
        <f t="shared" si="1"/>
        <v>0</v>
      </c>
      <c r="K21" s="81">
        <f t="shared" si="2"/>
        <v>0</v>
      </c>
      <c r="L21" s="81">
        <f t="shared" si="3"/>
        <v>0</v>
      </c>
      <c r="M21" s="81">
        <f t="shared" si="3"/>
        <v>0</v>
      </c>
      <c r="N21" s="80"/>
      <c r="O21" s="80">
        <f t="shared" si="99"/>
        <v>0</v>
      </c>
      <c r="P21" s="80">
        <f t="shared" si="4"/>
        <v>0</v>
      </c>
      <c r="Q21" s="80">
        <f t="shared" si="5"/>
        <v>0</v>
      </c>
      <c r="R21" s="80">
        <f t="shared" si="6"/>
        <v>0</v>
      </c>
      <c r="S21" s="80">
        <f t="shared" si="6"/>
        <v>0</v>
      </c>
      <c r="T21" s="80"/>
      <c r="U21" s="83">
        <f>C21*15.05006/100</f>
        <v>0</v>
      </c>
      <c r="V21" s="83">
        <f t="shared" si="7"/>
        <v>0</v>
      </c>
      <c r="W21" s="80">
        <f t="shared" si="8"/>
        <v>0</v>
      </c>
      <c r="X21" s="80">
        <f t="shared" si="9"/>
        <v>0</v>
      </c>
      <c r="Y21" s="80">
        <f t="shared" si="10"/>
        <v>0</v>
      </c>
      <c r="Z21" s="80"/>
      <c r="AA21" s="80">
        <f>C21*16.92584/100</f>
        <v>0</v>
      </c>
      <c r="AB21" s="80">
        <f t="shared" si="11"/>
        <v>0</v>
      </c>
      <c r="AC21" s="80">
        <f t="shared" si="12"/>
        <v>0</v>
      </c>
      <c r="AD21" s="80">
        <f t="shared" si="13"/>
        <v>0</v>
      </c>
      <c r="AE21" s="80">
        <f t="shared" si="14"/>
        <v>0</v>
      </c>
      <c r="AF21" s="80"/>
      <c r="AG21" s="80">
        <f>C21*9.75766/100</f>
        <v>0</v>
      </c>
      <c r="AH21" s="80">
        <f t="shared" si="15"/>
        <v>0</v>
      </c>
      <c r="AI21" s="80">
        <f t="shared" si="16"/>
        <v>0</v>
      </c>
      <c r="AJ21" s="80">
        <f t="shared" si="17"/>
        <v>0</v>
      </c>
      <c r="AK21" s="80">
        <f t="shared" si="18"/>
        <v>0</v>
      </c>
      <c r="AL21" s="80"/>
      <c r="AM21" s="80">
        <f>C21*7.48131/100</f>
        <v>0</v>
      </c>
      <c r="AN21" s="80">
        <f t="shared" si="19"/>
        <v>0</v>
      </c>
      <c r="AO21" s="80">
        <f t="shared" si="20"/>
        <v>0</v>
      </c>
      <c r="AP21" s="80">
        <f t="shared" si="21"/>
        <v>0</v>
      </c>
      <c r="AQ21" s="80">
        <f t="shared" si="22"/>
        <v>0</v>
      </c>
      <c r="AR21" s="80"/>
      <c r="AS21" s="80">
        <f>C21*0.21612/100</f>
        <v>0</v>
      </c>
      <c r="AT21" s="80">
        <f t="shared" si="23"/>
        <v>0</v>
      </c>
      <c r="AU21" s="80">
        <f t="shared" si="24"/>
        <v>0</v>
      </c>
      <c r="AV21" s="80">
        <f t="shared" si="25"/>
        <v>0</v>
      </c>
      <c r="AW21" s="80">
        <f t="shared" si="26"/>
        <v>0</v>
      </c>
      <c r="AX21" s="80"/>
      <c r="AY21" s="80">
        <f>C21*0.01906/100</f>
        <v>0</v>
      </c>
      <c r="AZ21" s="80">
        <f t="shared" si="27"/>
        <v>0</v>
      </c>
      <c r="BA21" s="80">
        <f t="shared" si="28"/>
        <v>0</v>
      </c>
      <c r="BB21" s="80">
        <f t="shared" si="29"/>
        <v>0</v>
      </c>
      <c r="BC21" s="80">
        <f t="shared" si="30"/>
        <v>0</v>
      </c>
      <c r="BD21" s="80"/>
      <c r="BE21" s="80">
        <f>C21*0.01369/100</f>
        <v>0</v>
      </c>
      <c r="BF21" s="80">
        <f t="shared" si="31"/>
        <v>0</v>
      </c>
      <c r="BG21" s="80">
        <f t="shared" si="32"/>
        <v>0</v>
      </c>
      <c r="BH21" s="80">
        <f t="shared" si="33"/>
        <v>0</v>
      </c>
      <c r="BI21" s="80">
        <f t="shared" si="34"/>
        <v>0</v>
      </c>
      <c r="BJ21" s="80"/>
      <c r="BK21" s="80">
        <f>C21*0.23757/100</f>
        <v>0</v>
      </c>
      <c r="BL21" s="80">
        <f t="shared" si="35"/>
        <v>0</v>
      </c>
      <c r="BM21" s="80">
        <f t="shared" si="36"/>
        <v>0</v>
      </c>
      <c r="BN21" s="80">
        <f t="shared" si="37"/>
        <v>0</v>
      </c>
      <c r="BO21" s="80">
        <f t="shared" si="38"/>
        <v>0</v>
      </c>
      <c r="BP21" s="80"/>
      <c r="BQ21" s="80">
        <f>C21*5.91225/100</f>
        <v>0</v>
      </c>
      <c r="BR21" s="80">
        <f t="shared" si="39"/>
        <v>0</v>
      </c>
      <c r="BS21" s="80">
        <f t="shared" si="40"/>
        <v>0</v>
      </c>
      <c r="BT21" s="80">
        <f t="shared" si="41"/>
        <v>0</v>
      </c>
      <c r="BU21" s="80">
        <f t="shared" si="42"/>
        <v>0</v>
      </c>
      <c r="BV21" s="80"/>
      <c r="BW21" s="80">
        <f>C21*1.80534/100</f>
        <v>0</v>
      </c>
      <c r="BX21" s="80">
        <f t="shared" si="43"/>
        <v>0</v>
      </c>
      <c r="BY21" s="80">
        <f t="shared" si="44"/>
        <v>0</v>
      </c>
      <c r="BZ21" s="80">
        <f t="shared" si="45"/>
        <v>0</v>
      </c>
      <c r="CA21" s="80">
        <f t="shared" si="46"/>
        <v>0</v>
      </c>
      <c r="CB21" s="80"/>
      <c r="CC21" s="80">
        <f>C21*5.15053/100</f>
        <v>0</v>
      </c>
      <c r="CD21" s="80">
        <f t="shared" si="47"/>
        <v>0</v>
      </c>
      <c r="CE21" s="80">
        <f t="shared" si="48"/>
        <v>0</v>
      </c>
      <c r="CF21" s="80">
        <f t="shared" si="49"/>
        <v>0</v>
      </c>
      <c r="CG21" s="80">
        <f t="shared" si="50"/>
        <v>0</v>
      </c>
      <c r="CH21" s="80"/>
      <c r="CI21" s="80">
        <f>C21*14.16042/100</f>
        <v>0</v>
      </c>
      <c r="CJ21" s="80">
        <f t="shared" si="51"/>
        <v>0</v>
      </c>
      <c r="CK21" s="80">
        <f t="shared" si="52"/>
        <v>0</v>
      </c>
      <c r="CL21" s="80">
        <f t="shared" si="53"/>
        <v>0</v>
      </c>
      <c r="CM21" s="80">
        <f t="shared" si="54"/>
        <v>0</v>
      </c>
      <c r="CN21" s="80"/>
      <c r="CO21" s="80">
        <f>C21*6.15602/100</f>
        <v>0</v>
      </c>
      <c r="CP21" s="80">
        <f t="shared" si="55"/>
        <v>0</v>
      </c>
      <c r="CQ21" s="80">
        <f t="shared" si="56"/>
        <v>0</v>
      </c>
      <c r="CR21" s="80">
        <f t="shared" si="57"/>
        <v>0</v>
      </c>
      <c r="CS21" s="80">
        <f t="shared" si="58"/>
        <v>0</v>
      </c>
      <c r="CT21" s="80"/>
      <c r="CU21" s="80">
        <f>C21*5.37414/100</f>
        <v>0</v>
      </c>
      <c r="CV21" s="80">
        <f t="shared" si="59"/>
        <v>0</v>
      </c>
      <c r="CW21" s="80">
        <f t="shared" si="60"/>
        <v>0</v>
      </c>
      <c r="CX21" s="80">
        <f t="shared" si="61"/>
        <v>0</v>
      </c>
      <c r="CY21" s="80">
        <f t="shared" si="62"/>
        <v>0</v>
      </c>
      <c r="CZ21" s="80"/>
      <c r="DA21" s="100">
        <f>C21*0.69717/100</f>
        <v>0</v>
      </c>
      <c r="DB21" s="100">
        <f t="shared" si="63"/>
        <v>0</v>
      </c>
      <c r="DC21" s="100">
        <f t="shared" si="64"/>
        <v>0</v>
      </c>
      <c r="DD21" s="100">
        <f t="shared" si="65"/>
        <v>0</v>
      </c>
      <c r="DE21" s="100">
        <f t="shared" si="66"/>
        <v>0</v>
      </c>
      <c r="DF21" s="80"/>
      <c r="DG21" s="80">
        <f>C21*0.02011/100</f>
        <v>0</v>
      </c>
      <c r="DH21" s="80">
        <f t="shared" si="67"/>
        <v>0</v>
      </c>
      <c r="DI21" s="80">
        <f t="shared" si="68"/>
        <v>0</v>
      </c>
      <c r="DJ21" s="80">
        <f t="shared" si="69"/>
        <v>0</v>
      </c>
      <c r="DK21" s="80">
        <f t="shared" si="70"/>
        <v>0</v>
      </c>
      <c r="DL21" s="80"/>
      <c r="DM21" s="80">
        <f>C21*4.70981/100</f>
        <v>0</v>
      </c>
      <c r="DN21" s="80">
        <f t="shared" si="71"/>
        <v>0</v>
      </c>
      <c r="DO21" s="80">
        <f t="shared" si="72"/>
        <v>0</v>
      </c>
      <c r="DP21" s="80">
        <f t="shared" si="73"/>
        <v>0</v>
      </c>
      <c r="DQ21" s="80">
        <f t="shared" si="74"/>
        <v>0</v>
      </c>
      <c r="DR21" s="80"/>
      <c r="DS21" s="80">
        <f>C21*0.28727/100</f>
        <v>0</v>
      </c>
      <c r="DT21" s="80">
        <f t="shared" si="75"/>
        <v>0</v>
      </c>
      <c r="DU21" s="80">
        <f t="shared" si="76"/>
        <v>0</v>
      </c>
      <c r="DV21" s="80">
        <f t="shared" si="77"/>
        <v>0</v>
      </c>
      <c r="DW21" s="80">
        <f t="shared" si="78"/>
        <v>0</v>
      </c>
      <c r="DX21" s="80"/>
      <c r="DY21" s="80">
        <f>C21*4.87421/100</f>
        <v>0</v>
      </c>
      <c r="DZ21" s="80">
        <f t="shared" si="79"/>
        <v>0</v>
      </c>
      <c r="EA21" s="80">
        <f t="shared" si="80"/>
        <v>0</v>
      </c>
      <c r="EB21" s="80">
        <f t="shared" si="81"/>
        <v>0</v>
      </c>
      <c r="EC21" s="80">
        <f t="shared" si="82"/>
        <v>0</v>
      </c>
      <c r="ED21" s="80"/>
      <c r="EE21" s="80">
        <f>C21*0.60754/100</f>
        <v>0</v>
      </c>
      <c r="EF21" s="80">
        <f t="shared" si="83"/>
        <v>0</v>
      </c>
      <c r="EG21" s="80">
        <f t="shared" si="84"/>
        <v>0</v>
      </c>
      <c r="EH21" s="80">
        <f t="shared" si="85"/>
        <v>0</v>
      </c>
      <c r="EI21" s="80">
        <f t="shared" si="86"/>
        <v>0</v>
      </c>
      <c r="EJ21" s="80"/>
      <c r="EK21" s="80">
        <f>C21*0.26185/100</f>
        <v>0</v>
      </c>
      <c r="EL21" s="80">
        <f t="shared" si="87"/>
        <v>0</v>
      </c>
      <c r="EM21" s="80">
        <f t="shared" si="88"/>
        <v>0</v>
      </c>
      <c r="EN21" s="80">
        <f t="shared" si="89"/>
        <v>0</v>
      </c>
      <c r="EO21" s="80">
        <f t="shared" si="90"/>
        <v>0</v>
      </c>
      <c r="EP21" s="80"/>
      <c r="EQ21" s="80"/>
      <c r="ER21" s="80"/>
      <c r="ES21" s="80"/>
      <c r="ET21" s="80"/>
      <c r="EU21" s="80"/>
      <c r="EV21" s="80"/>
      <c r="EW21" s="83">
        <f t="shared" si="91"/>
        <v>0</v>
      </c>
      <c r="EX21" s="83">
        <f t="shared" si="91"/>
        <v>0</v>
      </c>
      <c r="EY21" s="80">
        <f t="shared" si="92"/>
        <v>0</v>
      </c>
      <c r="EZ21" s="80">
        <f t="shared" si="93"/>
        <v>0</v>
      </c>
      <c r="FA21" s="80">
        <f t="shared" si="94"/>
        <v>0</v>
      </c>
      <c r="FB21" s="80"/>
      <c r="FC21" s="80">
        <f t="shared" si="95"/>
        <v>0</v>
      </c>
      <c r="FD21" s="80">
        <f t="shared" si="95"/>
        <v>0</v>
      </c>
      <c r="FE21" s="80">
        <f t="shared" si="96"/>
        <v>0</v>
      </c>
      <c r="FF21" s="80">
        <f t="shared" si="97"/>
        <v>0</v>
      </c>
      <c r="FG21" s="80">
        <f t="shared" si="98"/>
        <v>0</v>
      </c>
      <c r="FH21" s="80"/>
      <c r="FI21" s="80"/>
      <c r="FJ21" s="80"/>
      <c r="FK21" s="80"/>
      <c r="FL21" s="39"/>
      <c r="FM21" s="39"/>
      <c r="FN21" s="39"/>
      <c r="FO21" s="39"/>
      <c r="FP21" s="39"/>
      <c r="FQ21" s="39"/>
    </row>
    <row r="22" spans="1:173" ht="12" hidden="1">
      <c r="A22" s="22">
        <v>43009</v>
      </c>
      <c r="C22" s="80"/>
      <c r="D22" s="80"/>
      <c r="E22" s="81">
        <f t="shared" si="0"/>
        <v>0</v>
      </c>
      <c r="F22" s="81"/>
      <c r="G22" s="81"/>
      <c r="H22" s="80"/>
      <c r="I22" s="81">
        <f t="shared" si="1"/>
        <v>0</v>
      </c>
      <c r="J22" s="82">
        <f t="shared" si="1"/>
        <v>0</v>
      </c>
      <c r="K22" s="81">
        <f t="shared" si="2"/>
        <v>0</v>
      </c>
      <c r="L22" s="81">
        <f t="shared" si="3"/>
        <v>0</v>
      </c>
      <c r="M22" s="81">
        <f t="shared" si="3"/>
        <v>0</v>
      </c>
      <c r="N22" s="80"/>
      <c r="O22" s="80"/>
      <c r="P22" s="80">
        <f t="shared" si="4"/>
        <v>0</v>
      </c>
      <c r="Q22" s="80">
        <f t="shared" si="5"/>
        <v>0</v>
      </c>
      <c r="R22" s="80">
        <f t="shared" si="6"/>
        <v>0</v>
      </c>
      <c r="S22" s="80">
        <f t="shared" si="6"/>
        <v>0</v>
      </c>
      <c r="T22" s="80"/>
      <c r="U22" s="83"/>
      <c r="V22" s="83">
        <f t="shared" si="7"/>
        <v>0</v>
      </c>
      <c r="W22" s="80">
        <f t="shared" si="8"/>
        <v>0</v>
      </c>
      <c r="X22" s="80">
        <f t="shared" si="9"/>
        <v>0</v>
      </c>
      <c r="Y22" s="80">
        <f t="shared" si="10"/>
        <v>0</v>
      </c>
      <c r="Z22" s="80"/>
      <c r="AA22" s="80"/>
      <c r="AB22" s="80">
        <f t="shared" si="11"/>
        <v>0</v>
      </c>
      <c r="AC22" s="80">
        <f t="shared" si="12"/>
        <v>0</v>
      </c>
      <c r="AD22" s="80">
        <f t="shared" si="13"/>
        <v>0</v>
      </c>
      <c r="AE22" s="80">
        <f t="shared" si="14"/>
        <v>0</v>
      </c>
      <c r="AF22" s="80"/>
      <c r="AG22" s="80"/>
      <c r="AH22" s="80">
        <f t="shared" si="15"/>
        <v>0</v>
      </c>
      <c r="AI22" s="80">
        <f t="shared" si="16"/>
        <v>0</v>
      </c>
      <c r="AJ22" s="80">
        <f t="shared" si="17"/>
        <v>0</v>
      </c>
      <c r="AK22" s="80">
        <f t="shared" si="18"/>
        <v>0</v>
      </c>
      <c r="AL22" s="80"/>
      <c r="AM22" s="80"/>
      <c r="AN22" s="80">
        <f t="shared" si="19"/>
        <v>0</v>
      </c>
      <c r="AO22" s="80">
        <f t="shared" si="20"/>
        <v>0</v>
      </c>
      <c r="AP22" s="80">
        <f t="shared" si="21"/>
        <v>0</v>
      </c>
      <c r="AQ22" s="80">
        <f t="shared" si="22"/>
        <v>0</v>
      </c>
      <c r="AR22" s="80"/>
      <c r="AS22" s="80"/>
      <c r="AT22" s="80">
        <f t="shared" si="23"/>
        <v>0</v>
      </c>
      <c r="AU22" s="80">
        <f t="shared" si="24"/>
        <v>0</v>
      </c>
      <c r="AV22" s="80">
        <f t="shared" si="25"/>
        <v>0</v>
      </c>
      <c r="AW22" s="80">
        <f t="shared" si="26"/>
        <v>0</v>
      </c>
      <c r="AX22" s="80"/>
      <c r="AY22" s="80"/>
      <c r="AZ22" s="80">
        <f t="shared" si="27"/>
        <v>0</v>
      </c>
      <c r="BA22" s="80">
        <f t="shared" si="28"/>
        <v>0</v>
      </c>
      <c r="BB22" s="80">
        <f t="shared" si="29"/>
        <v>0</v>
      </c>
      <c r="BC22" s="80">
        <f t="shared" si="30"/>
        <v>0</v>
      </c>
      <c r="BD22" s="80"/>
      <c r="BE22" s="80"/>
      <c r="BF22" s="80">
        <f t="shared" si="31"/>
        <v>0</v>
      </c>
      <c r="BG22" s="80">
        <f t="shared" si="32"/>
        <v>0</v>
      </c>
      <c r="BH22" s="80">
        <f t="shared" si="33"/>
        <v>0</v>
      </c>
      <c r="BI22" s="80">
        <f t="shared" si="34"/>
        <v>0</v>
      </c>
      <c r="BJ22" s="80"/>
      <c r="BK22" s="80"/>
      <c r="BL22" s="80">
        <f t="shared" si="35"/>
        <v>0</v>
      </c>
      <c r="BM22" s="80">
        <f t="shared" si="36"/>
        <v>0</v>
      </c>
      <c r="BN22" s="80">
        <f t="shared" si="37"/>
        <v>0</v>
      </c>
      <c r="BO22" s="80">
        <f t="shared" si="38"/>
        <v>0</v>
      </c>
      <c r="BP22" s="80"/>
      <c r="BQ22" s="80"/>
      <c r="BR22" s="80">
        <f t="shared" si="39"/>
        <v>0</v>
      </c>
      <c r="BS22" s="80">
        <f t="shared" si="40"/>
        <v>0</v>
      </c>
      <c r="BT22" s="80">
        <f t="shared" si="41"/>
        <v>0</v>
      </c>
      <c r="BU22" s="80">
        <f t="shared" si="42"/>
        <v>0</v>
      </c>
      <c r="BV22" s="80"/>
      <c r="BW22" s="80"/>
      <c r="BX22" s="80">
        <f t="shared" si="43"/>
        <v>0</v>
      </c>
      <c r="BY22" s="80">
        <f t="shared" si="44"/>
        <v>0</v>
      </c>
      <c r="BZ22" s="80">
        <f t="shared" si="45"/>
        <v>0</v>
      </c>
      <c r="CA22" s="80">
        <f t="shared" si="46"/>
        <v>0</v>
      </c>
      <c r="CB22" s="80"/>
      <c r="CC22" s="80"/>
      <c r="CD22" s="80">
        <f t="shared" si="47"/>
        <v>0</v>
      </c>
      <c r="CE22" s="80">
        <f t="shared" si="48"/>
        <v>0</v>
      </c>
      <c r="CF22" s="80">
        <f t="shared" si="49"/>
        <v>0</v>
      </c>
      <c r="CG22" s="80">
        <f t="shared" si="50"/>
        <v>0</v>
      </c>
      <c r="CH22" s="80"/>
      <c r="CI22" s="80"/>
      <c r="CJ22" s="80">
        <f t="shared" si="51"/>
        <v>0</v>
      </c>
      <c r="CK22" s="80">
        <f t="shared" si="52"/>
        <v>0</v>
      </c>
      <c r="CL22" s="80">
        <f t="shared" si="53"/>
        <v>0</v>
      </c>
      <c r="CM22" s="80">
        <f t="shared" si="54"/>
        <v>0</v>
      </c>
      <c r="CN22" s="80"/>
      <c r="CO22" s="80"/>
      <c r="CP22" s="80">
        <f t="shared" si="55"/>
        <v>0</v>
      </c>
      <c r="CQ22" s="80">
        <f t="shared" si="56"/>
        <v>0</v>
      </c>
      <c r="CR22" s="80">
        <f t="shared" si="57"/>
        <v>0</v>
      </c>
      <c r="CS22" s="80">
        <f t="shared" si="58"/>
        <v>0</v>
      </c>
      <c r="CT22" s="80"/>
      <c r="CU22" s="80"/>
      <c r="CV22" s="80">
        <f t="shared" si="59"/>
        <v>0</v>
      </c>
      <c r="CW22" s="80">
        <f t="shared" si="60"/>
        <v>0</v>
      </c>
      <c r="CX22" s="80">
        <f t="shared" si="61"/>
        <v>0</v>
      </c>
      <c r="CY22" s="80">
        <f t="shared" si="62"/>
        <v>0</v>
      </c>
      <c r="CZ22" s="80"/>
      <c r="DA22" s="100"/>
      <c r="DB22" s="100">
        <f t="shared" si="63"/>
        <v>0</v>
      </c>
      <c r="DC22" s="100">
        <f t="shared" si="64"/>
        <v>0</v>
      </c>
      <c r="DD22" s="100">
        <f t="shared" si="65"/>
        <v>0</v>
      </c>
      <c r="DE22" s="100">
        <f t="shared" si="66"/>
        <v>0</v>
      </c>
      <c r="DF22" s="80"/>
      <c r="DG22" s="80"/>
      <c r="DH22" s="80">
        <f t="shared" si="67"/>
        <v>0</v>
      </c>
      <c r="DI22" s="80">
        <f t="shared" si="68"/>
        <v>0</v>
      </c>
      <c r="DJ22" s="80">
        <f t="shared" si="69"/>
        <v>0</v>
      </c>
      <c r="DK22" s="80">
        <f t="shared" si="70"/>
        <v>0</v>
      </c>
      <c r="DL22" s="80"/>
      <c r="DM22" s="80"/>
      <c r="DN22" s="80">
        <f t="shared" si="71"/>
        <v>0</v>
      </c>
      <c r="DO22" s="80">
        <f t="shared" si="72"/>
        <v>0</v>
      </c>
      <c r="DP22" s="80">
        <f t="shared" si="73"/>
        <v>0</v>
      </c>
      <c r="DQ22" s="80">
        <f t="shared" si="74"/>
        <v>0</v>
      </c>
      <c r="DR22" s="80"/>
      <c r="DS22" s="80"/>
      <c r="DT22" s="80">
        <f t="shared" si="75"/>
        <v>0</v>
      </c>
      <c r="DU22" s="80">
        <f t="shared" si="76"/>
        <v>0</v>
      </c>
      <c r="DV22" s="80">
        <f t="shared" si="77"/>
        <v>0</v>
      </c>
      <c r="DW22" s="80">
        <f t="shared" si="78"/>
        <v>0</v>
      </c>
      <c r="DX22" s="80"/>
      <c r="DY22" s="80"/>
      <c r="DZ22" s="80">
        <f t="shared" si="79"/>
        <v>0</v>
      </c>
      <c r="EA22" s="80">
        <f t="shared" si="80"/>
        <v>0</v>
      </c>
      <c r="EB22" s="80">
        <f t="shared" si="81"/>
        <v>0</v>
      </c>
      <c r="EC22" s="80">
        <f t="shared" si="82"/>
        <v>0</v>
      </c>
      <c r="ED22" s="80"/>
      <c r="EE22" s="80"/>
      <c r="EF22" s="80">
        <f t="shared" si="83"/>
        <v>0</v>
      </c>
      <c r="EG22" s="80">
        <f t="shared" si="84"/>
        <v>0</v>
      </c>
      <c r="EH22" s="80">
        <f t="shared" si="85"/>
        <v>0</v>
      </c>
      <c r="EI22" s="80">
        <f t="shared" si="86"/>
        <v>0</v>
      </c>
      <c r="EJ22" s="80"/>
      <c r="EK22" s="80"/>
      <c r="EL22" s="80">
        <f t="shared" si="87"/>
        <v>0</v>
      </c>
      <c r="EM22" s="80">
        <f t="shared" si="88"/>
        <v>0</v>
      </c>
      <c r="EN22" s="80">
        <f t="shared" si="89"/>
        <v>0</v>
      </c>
      <c r="EO22" s="80">
        <f t="shared" si="90"/>
        <v>0</v>
      </c>
      <c r="EP22" s="80"/>
      <c r="EQ22" s="80"/>
      <c r="ER22" s="80"/>
      <c r="ES22" s="80"/>
      <c r="ET22" s="80"/>
      <c r="EU22" s="80"/>
      <c r="EV22" s="80"/>
      <c r="EW22" s="83">
        <f t="shared" si="91"/>
        <v>0</v>
      </c>
      <c r="EX22" s="83">
        <f t="shared" si="91"/>
        <v>0</v>
      </c>
      <c r="EY22" s="80">
        <f t="shared" si="92"/>
        <v>0</v>
      </c>
      <c r="EZ22" s="80">
        <f t="shared" si="93"/>
        <v>0</v>
      </c>
      <c r="FA22" s="80">
        <f t="shared" si="94"/>
        <v>0</v>
      </c>
      <c r="FB22" s="80"/>
      <c r="FC22" s="80">
        <f t="shared" si="95"/>
        <v>0</v>
      </c>
      <c r="FD22" s="80">
        <f t="shared" si="95"/>
        <v>0</v>
      </c>
      <c r="FE22" s="80">
        <f t="shared" si="96"/>
        <v>0</v>
      </c>
      <c r="FF22" s="80">
        <f t="shared" si="97"/>
        <v>0</v>
      </c>
      <c r="FG22" s="80">
        <f t="shared" si="98"/>
        <v>0</v>
      </c>
      <c r="FH22" s="80"/>
      <c r="FI22" s="80"/>
      <c r="FJ22" s="80"/>
      <c r="FK22" s="80"/>
      <c r="FL22" s="39"/>
      <c r="FM22" s="39"/>
      <c r="FN22" s="39"/>
      <c r="FO22" s="39"/>
      <c r="FP22" s="39"/>
      <c r="FQ22" s="39"/>
    </row>
    <row r="23" spans="1:173" ht="12" hidden="1">
      <c r="A23" s="57">
        <v>43191</v>
      </c>
      <c r="C23" s="80"/>
      <c r="D23" s="80"/>
      <c r="E23" s="81">
        <f t="shared" si="0"/>
        <v>0</v>
      </c>
      <c r="F23" s="81"/>
      <c r="G23" s="81"/>
      <c r="H23" s="80"/>
      <c r="I23" s="81">
        <f t="shared" si="1"/>
        <v>0</v>
      </c>
      <c r="J23" s="82">
        <f t="shared" si="1"/>
        <v>0</v>
      </c>
      <c r="K23" s="81">
        <f t="shared" si="2"/>
        <v>0</v>
      </c>
      <c r="L23" s="81">
        <f t="shared" si="3"/>
        <v>0</v>
      </c>
      <c r="M23" s="81">
        <f t="shared" si="3"/>
        <v>0</v>
      </c>
      <c r="N23" s="80"/>
      <c r="O23" s="80">
        <f t="shared" si="99"/>
        <v>0</v>
      </c>
      <c r="P23" s="80">
        <f t="shared" si="4"/>
        <v>0</v>
      </c>
      <c r="Q23" s="80">
        <f t="shared" si="5"/>
        <v>0</v>
      </c>
      <c r="R23" s="80">
        <f t="shared" si="6"/>
        <v>0</v>
      </c>
      <c r="S23" s="80">
        <f t="shared" si="6"/>
        <v>0</v>
      </c>
      <c r="T23" s="80"/>
      <c r="U23" s="83">
        <f>C23*15.05006/100</f>
        <v>0</v>
      </c>
      <c r="V23" s="83">
        <f t="shared" si="7"/>
        <v>0</v>
      </c>
      <c r="W23" s="80">
        <f t="shared" si="8"/>
        <v>0</v>
      </c>
      <c r="X23" s="80">
        <f t="shared" si="9"/>
        <v>0</v>
      </c>
      <c r="Y23" s="80">
        <f t="shared" si="10"/>
        <v>0</v>
      </c>
      <c r="Z23" s="80"/>
      <c r="AA23" s="80">
        <f>C23*16.92584/100</f>
        <v>0</v>
      </c>
      <c r="AB23" s="80">
        <f t="shared" si="11"/>
        <v>0</v>
      </c>
      <c r="AC23" s="80">
        <f t="shared" si="12"/>
        <v>0</v>
      </c>
      <c r="AD23" s="80">
        <f t="shared" si="13"/>
        <v>0</v>
      </c>
      <c r="AE23" s="80">
        <f t="shared" si="14"/>
        <v>0</v>
      </c>
      <c r="AF23" s="80"/>
      <c r="AG23" s="80">
        <f>C23*9.75766/100</f>
        <v>0</v>
      </c>
      <c r="AH23" s="80">
        <f t="shared" si="15"/>
        <v>0</v>
      </c>
      <c r="AI23" s="80">
        <f t="shared" si="16"/>
        <v>0</v>
      </c>
      <c r="AJ23" s="80">
        <f t="shared" si="17"/>
        <v>0</v>
      </c>
      <c r="AK23" s="80">
        <f t="shared" si="18"/>
        <v>0</v>
      </c>
      <c r="AL23" s="80"/>
      <c r="AM23" s="80">
        <f>C23*7.48131/100</f>
        <v>0</v>
      </c>
      <c r="AN23" s="80">
        <f t="shared" si="19"/>
        <v>0</v>
      </c>
      <c r="AO23" s="80">
        <f t="shared" si="20"/>
        <v>0</v>
      </c>
      <c r="AP23" s="80">
        <f t="shared" si="21"/>
        <v>0</v>
      </c>
      <c r="AQ23" s="80">
        <f t="shared" si="22"/>
        <v>0</v>
      </c>
      <c r="AR23" s="80"/>
      <c r="AS23" s="80">
        <f>C23*0.21612/100</f>
        <v>0</v>
      </c>
      <c r="AT23" s="80">
        <f t="shared" si="23"/>
        <v>0</v>
      </c>
      <c r="AU23" s="80">
        <f t="shared" si="24"/>
        <v>0</v>
      </c>
      <c r="AV23" s="80">
        <f t="shared" si="25"/>
        <v>0</v>
      </c>
      <c r="AW23" s="80">
        <f t="shared" si="26"/>
        <v>0</v>
      </c>
      <c r="AX23" s="80"/>
      <c r="AY23" s="80">
        <f>C23*0.01906/100</f>
        <v>0</v>
      </c>
      <c r="AZ23" s="80">
        <f t="shared" si="27"/>
        <v>0</v>
      </c>
      <c r="BA23" s="80">
        <f t="shared" si="28"/>
        <v>0</v>
      </c>
      <c r="BB23" s="80">
        <f t="shared" si="29"/>
        <v>0</v>
      </c>
      <c r="BC23" s="80">
        <f t="shared" si="30"/>
        <v>0</v>
      </c>
      <c r="BD23" s="80"/>
      <c r="BE23" s="80">
        <f>C23*0.01369/100</f>
        <v>0</v>
      </c>
      <c r="BF23" s="80">
        <f t="shared" si="31"/>
        <v>0</v>
      </c>
      <c r="BG23" s="80">
        <f t="shared" si="32"/>
        <v>0</v>
      </c>
      <c r="BH23" s="80">
        <f t="shared" si="33"/>
        <v>0</v>
      </c>
      <c r="BI23" s="80">
        <f t="shared" si="34"/>
        <v>0</v>
      </c>
      <c r="BJ23" s="80"/>
      <c r="BK23" s="80">
        <f>C23*0.23757/100</f>
        <v>0</v>
      </c>
      <c r="BL23" s="80">
        <f t="shared" si="35"/>
        <v>0</v>
      </c>
      <c r="BM23" s="80">
        <f t="shared" si="36"/>
        <v>0</v>
      </c>
      <c r="BN23" s="80">
        <f t="shared" si="37"/>
        <v>0</v>
      </c>
      <c r="BO23" s="80">
        <f t="shared" si="38"/>
        <v>0</v>
      </c>
      <c r="BP23" s="80"/>
      <c r="BQ23" s="80">
        <f>C23*5.91225/100</f>
        <v>0</v>
      </c>
      <c r="BR23" s="80">
        <f t="shared" si="39"/>
        <v>0</v>
      </c>
      <c r="BS23" s="80">
        <f t="shared" si="40"/>
        <v>0</v>
      </c>
      <c r="BT23" s="80">
        <f t="shared" si="41"/>
        <v>0</v>
      </c>
      <c r="BU23" s="80">
        <f t="shared" si="42"/>
        <v>0</v>
      </c>
      <c r="BV23" s="80"/>
      <c r="BW23" s="80">
        <f>C23*1.80534/100</f>
        <v>0</v>
      </c>
      <c r="BX23" s="80">
        <f t="shared" si="43"/>
        <v>0</v>
      </c>
      <c r="BY23" s="80">
        <f t="shared" si="44"/>
        <v>0</v>
      </c>
      <c r="BZ23" s="80">
        <f t="shared" si="45"/>
        <v>0</v>
      </c>
      <c r="CA23" s="80">
        <f t="shared" si="46"/>
        <v>0</v>
      </c>
      <c r="CB23" s="80"/>
      <c r="CC23" s="80">
        <f>C23*5.15053/100</f>
        <v>0</v>
      </c>
      <c r="CD23" s="80">
        <f t="shared" si="47"/>
        <v>0</v>
      </c>
      <c r="CE23" s="80">
        <f t="shared" si="48"/>
        <v>0</v>
      </c>
      <c r="CF23" s="80">
        <f t="shared" si="49"/>
        <v>0</v>
      </c>
      <c r="CG23" s="80">
        <f t="shared" si="50"/>
        <v>0</v>
      </c>
      <c r="CH23" s="80"/>
      <c r="CI23" s="80">
        <f>C23*14.16042/100</f>
        <v>0</v>
      </c>
      <c r="CJ23" s="80">
        <f t="shared" si="51"/>
        <v>0</v>
      </c>
      <c r="CK23" s="80">
        <f t="shared" si="52"/>
        <v>0</v>
      </c>
      <c r="CL23" s="80">
        <f t="shared" si="53"/>
        <v>0</v>
      </c>
      <c r="CM23" s="80">
        <f t="shared" si="54"/>
        <v>0</v>
      </c>
      <c r="CN23" s="80"/>
      <c r="CO23" s="80">
        <f>C23*6.15602/100</f>
        <v>0</v>
      </c>
      <c r="CP23" s="80">
        <f t="shared" si="55"/>
        <v>0</v>
      </c>
      <c r="CQ23" s="80">
        <f t="shared" si="56"/>
        <v>0</v>
      </c>
      <c r="CR23" s="80">
        <f t="shared" si="57"/>
        <v>0</v>
      </c>
      <c r="CS23" s="80">
        <f t="shared" si="58"/>
        <v>0</v>
      </c>
      <c r="CT23" s="80"/>
      <c r="CU23" s="80">
        <f>C23*5.37414/100</f>
        <v>0</v>
      </c>
      <c r="CV23" s="80">
        <f t="shared" si="59"/>
        <v>0</v>
      </c>
      <c r="CW23" s="80">
        <f t="shared" si="60"/>
        <v>0</v>
      </c>
      <c r="CX23" s="80">
        <f t="shared" si="61"/>
        <v>0</v>
      </c>
      <c r="CY23" s="80">
        <f t="shared" si="62"/>
        <v>0</v>
      </c>
      <c r="CZ23" s="80"/>
      <c r="DA23" s="100">
        <f>C23*0.69717/100</f>
        <v>0</v>
      </c>
      <c r="DB23" s="100">
        <f t="shared" si="63"/>
        <v>0</v>
      </c>
      <c r="DC23" s="100">
        <f t="shared" si="64"/>
        <v>0</v>
      </c>
      <c r="DD23" s="100">
        <f t="shared" si="65"/>
        <v>0</v>
      </c>
      <c r="DE23" s="100">
        <f t="shared" si="66"/>
        <v>0</v>
      </c>
      <c r="DF23" s="80"/>
      <c r="DG23" s="80">
        <f>C23*0.02011/100</f>
        <v>0</v>
      </c>
      <c r="DH23" s="80">
        <f t="shared" si="67"/>
        <v>0</v>
      </c>
      <c r="DI23" s="80">
        <f t="shared" si="68"/>
        <v>0</v>
      </c>
      <c r="DJ23" s="80">
        <f t="shared" si="69"/>
        <v>0</v>
      </c>
      <c r="DK23" s="80">
        <f t="shared" si="70"/>
        <v>0</v>
      </c>
      <c r="DL23" s="80"/>
      <c r="DM23" s="80">
        <f>C23*4.70981/100</f>
        <v>0</v>
      </c>
      <c r="DN23" s="80">
        <f t="shared" si="71"/>
        <v>0</v>
      </c>
      <c r="DO23" s="80">
        <f t="shared" si="72"/>
        <v>0</v>
      </c>
      <c r="DP23" s="80">
        <f t="shared" si="73"/>
        <v>0</v>
      </c>
      <c r="DQ23" s="80">
        <f t="shared" si="74"/>
        <v>0</v>
      </c>
      <c r="DR23" s="80"/>
      <c r="DS23" s="80">
        <f>C23*0.28727/100</f>
        <v>0</v>
      </c>
      <c r="DT23" s="80">
        <f t="shared" si="75"/>
        <v>0</v>
      </c>
      <c r="DU23" s="80">
        <f t="shared" si="76"/>
        <v>0</v>
      </c>
      <c r="DV23" s="80">
        <f t="shared" si="77"/>
        <v>0</v>
      </c>
      <c r="DW23" s="80">
        <f t="shared" si="78"/>
        <v>0</v>
      </c>
      <c r="DX23" s="80"/>
      <c r="DY23" s="80">
        <f>C23*4.87421/100</f>
        <v>0</v>
      </c>
      <c r="DZ23" s="80">
        <f t="shared" si="79"/>
        <v>0</v>
      </c>
      <c r="EA23" s="80">
        <f t="shared" si="80"/>
        <v>0</v>
      </c>
      <c r="EB23" s="80">
        <f t="shared" si="81"/>
        <v>0</v>
      </c>
      <c r="EC23" s="80">
        <f t="shared" si="82"/>
        <v>0</v>
      </c>
      <c r="ED23" s="80"/>
      <c r="EE23" s="80">
        <f>C23*0.60754/100</f>
        <v>0</v>
      </c>
      <c r="EF23" s="80">
        <f t="shared" si="83"/>
        <v>0</v>
      </c>
      <c r="EG23" s="80">
        <f t="shared" si="84"/>
        <v>0</v>
      </c>
      <c r="EH23" s="80">
        <f t="shared" si="85"/>
        <v>0</v>
      </c>
      <c r="EI23" s="80">
        <f t="shared" si="86"/>
        <v>0</v>
      </c>
      <c r="EJ23" s="80"/>
      <c r="EK23" s="80">
        <f>C23*0.26185/100</f>
        <v>0</v>
      </c>
      <c r="EL23" s="80">
        <f t="shared" si="87"/>
        <v>0</v>
      </c>
      <c r="EM23" s="80">
        <f t="shared" si="88"/>
        <v>0</v>
      </c>
      <c r="EN23" s="80">
        <f t="shared" si="89"/>
        <v>0</v>
      </c>
      <c r="EO23" s="80">
        <f t="shared" si="90"/>
        <v>0</v>
      </c>
      <c r="EP23" s="80"/>
      <c r="EQ23" s="80"/>
      <c r="ER23" s="80"/>
      <c r="ES23" s="80"/>
      <c r="ET23" s="80"/>
      <c r="EU23" s="80"/>
      <c r="EV23" s="80"/>
      <c r="EW23" s="83">
        <f t="shared" si="91"/>
        <v>0</v>
      </c>
      <c r="EX23" s="83">
        <f t="shared" si="91"/>
        <v>0</v>
      </c>
      <c r="EY23" s="80">
        <f t="shared" si="92"/>
        <v>0</v>
      </c>
      <c r="EZ23" s="80">
        <f t="shared" si="93"/>
        <v>0</v>
      </c>
      <c r="FA23" s="80">
        <f t="shared" si="94"/>
        <v>0</v>
      </c>
      <c r="FB23" s="80"/>
      <c r="FC23" s="80">
        <f t="shared" si="95"/>
        <v>0</v>
      </c>
      <c r="FD23" s="80">
        <f t="shared" si="95"/>
        <v>0</v>
      </c>
      <c r="FE23" s="80">
        <f t="shared" si="96"/>
        <v>0</v>
      </c>
      <c r="FF23" s="80">
        <f t="shared" si="97"/>
        <v>0</v>
      </c>
      <c r="FG23" s="80">
        <f t="shared" si="98"/>
        <v>0</v>
      </c>
      <c r="FH23" s="80"/>
      <c r="FI23" s="80"/>
      <c r="FJ23" s="80"/>
      <c r="FK23" s="80"/>
      <c r="FL23" s="39"/>
      <c r="FM23" s="39"/>
      <c r="FN23" s="39"/>
      <c r="FO23" s="39"/>
      <c r="FP23" s="39"/>
      <c r="FQ23" s="39"/>
    </row>
    <row r="24" spans="1:173" ht="12" hidden="1">
      <c r="A24" s="57">
        <v>43374</v>
      </c>
      <c r="C24" s="80"/>
      <c r="D24" s="80"/>
      <c r="E24" s="81">
        <f t="shared" si="0"/>
        <v>0</v>
      </c>
      <c r="F24" s="81"/>
      <c r="G24" s="81"/>
      <c r="H24" s="80"/>
      <c r="I24" s="81">
        <f t="shared" si="1"/>
        <v>0</v>
      </c>
      <c r="J24" s="82">
        <f t="shared" si="1"/>
        <v>0</v>
      </c>
      <c r="K24" s="81">
        <f t="shared" si="2"/>
        <v>0</v>
      </c>
      <c r="L24" s="81">
        <f t="shared" si="3"/>
        <v>0</v>
      </c>
      <c r="M24" s="81">
        <f t="shared" si="3"/>
        <v>0</v>
      </c>
      <c r="N24" s="80"/>
      <c r="O24" s="80"/>
      <c r="P24" s="80">
        <f t="shared" si="4"/>
        <v>0</v>
      </c>
      <c r="Q24" s="80">
        <f t="shared" si="5"/>
        <v>0</v>
      </c>
      <c r="R24" s="80">
        <f t="shared" si="6"/>
        <v>0</v>
      </c>
      <c r="S24" s="80">
        <f t="shared" si="6"/>
        <v>0</v>
      </c>
      <c r="T24" s="80"/>
      <c r="U24" s="83"/>
      <c r="V24" s="83">
        <f t="shared" si="7"/>
        <v>0</v>
      </c>
      <c r="W24" s="80">
        <f t="shared" si="8"/>
        <v>0</v>
      </c>
      <c r="X24" s="80">
        <f t="shared" si="9"/>
        <v>0</v>
      </c>
      <c r="Y24" s="80">
        <f t="shared" si="10"/>
        <v>0</v>
      </c>
      <c r="Z24" s="80"/>
      <c r="AA24" s="80"/>
      <c r="AB24" s="80">
        <f t="shared" si="11"/>
        <v>0</v>
      </c>
      <c r="AC24" s="80">
        <f t="shared" si="12"/>
        <v>0</v>
      </c>
      <c r="AD24" s="80">
        <f t="shared" si="13"/>
        <v>0</v>
      </c>
      <c r="AE24" s="80">
        <f t="shared" si="14"/>
        <v>0</v>
      </c>
      <c r="AF24" s="80"/>
      <c r="AG24" s="80"/>
      <c r="AH24" s="80">
        <f t="shared" si="15"/>
        <v>0</v>
      </c>
      <c r="AI24" s="80">
        <f t="shared" si="16"/>
        <v>0</v>
      </c>
      <c r="AJ24" s="80">
        <f t="shared" si="17"/>
        <v>0</v>
      </c>
      <c r="AK24" s="80">
        <f t="shared" si="18"/>
        <v>0</v>
      </c>
      <c r="AL24" s="80"/>
      <c r="AM24" s="80"/>
      <c r="AN24" s="80">
        <f t="shared" si="19"/>
        <v>0</v>
      </c>
      <c r="AO24" s="80">
        <f t="shared" si="20"/>
        <v>0</v>
      </c>
      <c r="AP24" s="80">
        <f t="shared" si="21"/>
        <v>0</v>
      </c>
      <c r="AQ24" s="80">
        <f t="shared" si="22"/>
        <v>0</v>
      </c>
      <c r="AR24" s="80"/>
      <c r="AS24" s="80"/>
      <c r="AT24" s="80">
        <f t="shared" si="23"/>
        <v>0</v>
      </c>
      <c r="AU24" s="80">
        <f t="shared" si="24"/>
        <v>0</v>
      </c>
      <c r="AV24" s="80">
        <f t="shared" si="25"/>
        <v>0</v>
      </c>
      <c r="AW24" s="80">
        <f t="shared" si="26"/>
        <v>0</v>
      </c>
      <c r="AX24" s="80"/>
      <c r="AY24" s="80"/>
      <c r="AZ24" s="80">
        <f t="shared" si="27"/>
        <v>0</v>
      </c>
      <c r="BA24" s="80">
        <f t="shared" si="28"/>
        <v>0</v>
      </c>
      <c r="BB24" s="80">
        <f t="shared" si="29"/>
        <v>0</v>
      </c>
      <c r="BC24" s="80">
        <f t="shared" si="30"/>
        <v>0</v>
      </c>
      <c r="BD24" s="80"/>
      <c r="BE24" s="80"/>
      <c r="BF24" s="80">
        <f t="shared" si="31"/>
        <v>0</v>
      </c>
      <c r="BG24" s="80">
        <f t="shared" si="32"/>
        <v>0</v>
      </c>
      <c r="BH24" s="80">
        <f t="shared" si="33"/>
        <v>0</v>
      </c>
      <c r="BI24" s="80">
        <f t="shared" si="34"/>
        <v>0</v>
      </c>
      <c r="BJ24" s="80"/>
      <c r="BK24" s="80"/>
      <c r="BL24" s="80">
        <f t="shared" si="35"/>
        <v>0</v>
      </c>
      <c r="BM24" s="80">
        <f t="shared" si="36"/>
        <v>0</v>
      </c>
      <c r="BN24" s="80">
        <f t="shared" si="37"/>
        <v>0</v>
      </c>
      <c r="BO24" s="80">
        <f t="shared" si="38"/>
        <v>0</v>
      </c>
      <c r="BP24" s="80"/>
      <c r="BQ24" s="80"/>
      <c r="BR24" s="80">
        <f t="shared" si="39"/>
        <v>0</v>
      </c>
      <c r="BS24" s="80">
        <f t="shared" si="40"/>
        <v>0</v>
      </c>
      <c r="BT24" s="80">
        <f t="shared" si="41"/>
        <v>0</v>
      </c>
      <c r="BU24" s="80">
        <f t="shared" si="42"/>
        <v>0</v>
      </c>
      <c r="BV24" s="80"/>
      <c r="BW24" s="80"/>
      <c r="BX24" s="80">
        <f t="shared" si="43"/>
        <v>0</v>
      </c>
      <c r="BY24" s="80">
        <f t="shared" si="44"/>
        <v>0</v>
      </c>
      <c r="BZ24" s="80">
        <f t="shared" si="45"/>
        <v>0</v>
      </c>
      <c r="CA24" s="80">
        <f t="shared" si="46"/>
        <v>0</v>
      </c>
      <c r="CB24" s="80"/>
      <c r="CC24" s="80"/>
      <c r="CD24" s="80">
        <f t="shared" si="47"/>
        <v>0</v>
      </c>
      <c r="CE24" s="80">
        <f t="shared" si="48"/>
        <v>0</v>
      </c>
      <c r="CF24" s="80">
        <f t="shared" si="49"/>
        <v>0</v>
      </c>
      <c r="CG24" s="80">
        <f t="shared" si="50"/>
        <v>0</v>
      </c>
      <c r="CH24" s="80"/>
      <c r="CI24" s="80"/>
      <c r="CJ24" s="80">
        <f t="shared" si="51"/>
        <v>0</v>
      </c>
      <c r="CK24" s="80">
        <f t="shared" si="52"/>
        <v>0</v>
      </c>
      <c r="CL24" s="80">
        <f t="shared" si="53"/>
        <v>0</v>
      </c>
      <c r="CM24" s="80">
        <f t="shared" si="54"/>
        <v>0</v>
      </c>
      <c r="CN24" s="80"/>
      <c r="CO24" s="80"/>
      <c r="CP24" s="80">
        <f t="shared" si="55"/>
        <v>0</v>
      </c>
      <c r="CQ24" s="80">
        <f t="shared" si="56"/>
        <v>0</v>
      </c>
      <c r="CR24" s="80">
        <f t="shared" si="57"/>
        <v>0</v>
      </c>
      <c r="CS24" s="80">
        <f t="shared" si="58"/>
        <v>0</v>
      </c>
      <c r="CT24" s="80"/>
      <c r="CU24" s="80"/>
      <c r="CV24" s="80">
        <f t="shared" si="59"/>
        <v>0</v>
      </c>
      <c r="CW24" s="80">
        <f t="shared" si="60"/>
        <v>0</v>
      </c>
      <c r="CX24" s="80">
        <f t="shared" si="61"/>
        <v>0</v>
      </c>
      <c r="CY24" s="80">
        <f t="shared" si="62"/>
        <v>0</v>
      </c>
      <c r="CZ24" s="80"/>
      <c r="DA24" s="100"/>
      <c r="DB24" s="100">
        <f t="shared" si="63"/>
        <v>0</v>
      </c>
      <c r="DC24" s="100">
        <f t="shared" si="64"/>
        <v>0</v>
      </c>
      <c r="DD24" s="100">
        <f t="shared" si="65"/>
        <v>0</v>
      </c>
      <c r="DE24" s="100">
        <f t="shared" si="66"/>
        <v>0</v>
      </c>
      <c r="DF24" s="80"/>
      <c r="DG24" s="80"/>
      <c r="DH24" s="80">
        <f t="shared" si="67"/>
        <v>0</v>
      </c>
      <c r="DI24" s="80">
        <f t="shared" si="68"/>
        <v>0</v>
      </c>
      <c r="DJ24" s="80">
        <f t="shared" si="69"/>
        <v>0</v>
      </c>
      <c r="DK24" s="80">
        <f t="shared" si="70"/>
        <v>0</v>
      </c>
      <c r="DL24" s="80"/>
      <c r="DM24" s="80"/>
      <c r="DN24" s="80">
        <f t="shared" si="71"/>
        <v>0</v>
      </c>
      <c r="DO24" s="80">
        <f t="shared" si="72"/>
        <v>0</v>
      </c>
      <c r="DP24" s="80">
        <f t="shared" si="73"/>
        <v>0</v>
      </c>
      <c r="DQ24" s="80">
        <f t="shared" si="74"/>
        <v>0</v>
      </c>
      <c r="DR24" s="80"/>
      <c r="DS24" s="80"/>
      <c r="DT24" s="80">
        <f t="shared" si="75"/>
        <v>0</v>
      </c>
      <c r="DU24" s="80">
        <f t="shared" si="76"/>
        <v>0</v>
      </c>
      <c r="DV24" s="80">
        <f t="shared" si="77"/>
        <v>0</v>
      </c>
      <c r="DW24" s="80">
        <f t="shared" si="78"/>
        <v>0</v>
      </c>
      <c r="DX24" s="80"/>
      <c r="DY24" s="80"/>
      <c r="DZ24" s="80">
        <f t="shared" si="79"/>
        <v>0</v>
      </c>
      <c r="EA24" s="80">
        <f t="shared" si="80"/>
        <v>0</v>
      </c>
      <c r="EB24" s="80">
        <f t="shared" si="81"/>
        <v>0</v>
      </c>
      <c r="EC24" s="80">
        <f t="shared" si="82"/>
        <v>0</v>
      </c>
      <c r="ED24" s="80"/>
      <c r="EE24" s="80"/>
      <c r="EF24" s="80">
        <f t="shared" si="83"/>
        <v>0</v>
      </c>
      <c r="EG24" s="80">
        <f t="shared" si="84"/>
        <v>0</v>
      </c>
      <c r="EH24" s="80">
        <f t="shared" si="85"/>
        <v>0</v>
      </c>
      <c r="EI24" s="80">
        <f t="shared" si="86"/>
        <v>0</v>
      </c>
      <c r="EJ24" s="80"/>
      <c r="EK24" s="80"/>
      <c r="EL24" s="80">
        <f t="shared" si="87"/>
        <v>0</v>
      </c>
      <c r="EM24" s="80">
        <f t="shared" si="88"/>
        <v>0</v>
      </c>
      <c r="EN24" s="80">
        <f t="shared" si="89"/>
        <v>0</v>
      </c>
      <c r="EO24" s="80">
        <f t="shared" si="90"/>
        <v>0</v>
      </c>
      <c r="EP24" s="80"/>
      <c r="EQ24" s="80"/>
      <c r="ER24" s="80"/>
      <c r="ES24" s="80"/>
      <c r="ET24" s="80"/>
      <c r="EU24" s="80"/>
      <c r="EV24" s="80"/>
      <c r="EW24" s="83">
        <f t="shared" si="91"/>
        <v>0</v>
      </c>
      <c r="EX24" s="83">
        <f t="shared" si="91"/>
        <v>0</v>
      </c>
      <c r="EY24" s="80">
        <f t="shared" si="92"/>
        <v>0</v>
      </c>
      <c r="EZ24" s="80">
        <f t="shared" si="93"/>
        <v>0</v>
      </c>
      <c r="FA24" s="80">
        <f t="shared" si="94"/>
        <v>0</v>
      </c>
      <c r="FB24" s="80"/>
      <c r="FC24" s="80">
        <f t="shared" si="95"/>
        <v>0</v>
      </c>
      <c r="FD24" s="80">
        <f t="shared" si="95"/>
        <v>0</v>
      </c>
      <c r="FE24" s="80">
        <f t="shared" si="96"/>
        <v>0</v>
      </c>
      <c r="FF24" s="80">
        <f t="shared" si="97"/>
        <v>0</v>
      </c>
      <c r="FG24" s="80">
        <f t="shared" si="98"/>
        <v>0</v>
      </c>
      <c r="FH24" s="80"/>
      <c r="FI24" s="80"/>
      <c r="FJ24" s="80"/>
      <c r="FK24" s="80"/>
      <c r="FL24" s="39"/>
      <c r="FM24" s="39"/>
      <c r="FN24" s="39"/>
      <c r="FO24" s="39"/>
      <c r="FP24" s="39"/>
      <c r="FQ24" s="39"/>
    </row>
    <row r="25" spans="1:173" s="58" customFormat="1" ht="12" hidden="1">
      <c r="A25" s="57">
        <v>43556</v>
      </c>
      <c r="C25" s="83"/>
      <c r="D25" s="83"/>
      <c r="E25" s="81">
        <f t="shared" si="0"/>
        <v>0</v>
      </c>
      <c r="F25" s="81"/>
      <c r="G25" s="81"/>
      <c r="H25" s="83"/>
      <c r="I25" s="81">
        <f t="shared" si="1"/>
        <v>0</v>
      </c>
      <c r="J25" s="82">
        <f t="shared" si="1"/>
        <v>0</v>
      </c>
      <c r="K25" s="81">
        <f t="shared" si="2"/>
        <v>0</v>
      </c>
      <c r="L25" s="81">
        <f t="shared" si="3"/>
        <v>0</v>
      </c>
      <c r="M25" s="81">
        <f t="shared" si="3"/>
        <v>0</v>
      </c>
      <c r="N25" s="83"/>
      <c r="O25" s="80">
        <f t="shared" si="99"/>
        <v>0</v>
      </c>
      <c r="P25" s="80">
        <f t="shared" si="4"/>
        <v>0</v>
      </c>
      <c r="Q25" s="80">
        <f t="shared" si="5"/>
        <v>0</v>
      </c>
      <c r="R25" s="80">
        <f t="shared" si="6"/>
        <v>0</v>
      </c>
      <c r="S25" s="80">
        <f t="shared" si="6"/>
        <v>0</v>
      </c>
      <c r="T25" s="83"/>
      <c r="U25" s="83">
        <f>C25*15.05006/100</f>
        <v>0</v>
      </c>
      <c r="V25" s="83">
        <f t="shared" si="7"/>
        <v>0</v>
      </c>
      <c r="W25" s="80">
        <f t="shared" si="8"/>
        <v>0</v>
      </c>
      <c r="X25" s="80">
        <f t="shared" si="9"/>
        <v>0</v>
      </c>
      <c r="Y25" s="80">
        <f t="shared" si="10"/>
        <v>0</v>
      </c>
      <c r="Z25" s="83"/>
      <c r="AA25" s="80">
        <f>C25*16.92584/100</f>
        <v>0</v>
      </c>
      <c r="AB25" s="80">
        <f t="shared" si="11"/>
        <v>0</v>
      </c>
      <c r="AC25" s="80">
        <f t="shared" si="12"/>
        <v>0</v>
      </c>
      <c r="AD25" s="80">
        <f t="shared" si="13"/>
        <v>0</v>
      </c>
      <c r="AE25" s="80">
        <f t="shared" si="14"/>
        <v>0</v>
      </c>
      <c r="AF25" s="83"/>
      <c r="AG25" s="80">
        <f>C25*9.75766/100</f>
        <v>0</v>
      </c>
      <c r="AH25" s="80">
        <f t="shared" si="15"/>
        <v>0</v>
      </c>
      <c r="AI25" s="80">
        <f t="shared" si="16"/>
        <v>0</v>
      </c>
      <c r="AJ25" s="80">
        <f t="shared" si="17"/>
        <v>0</v>
      </c>
      <c r="AK25" s="80">
        <f t="shared" si="18"/>
        <v>0</v>
      </c>
      <c r="AL25" s="83"/>
      <c r="AM25" s="80">
        <f>C25*7.48131/100</f>
        <v>0</v>
      </c>
      <c r="AN25" s="80">
        <f t="shared" si="19"/>
        <v>0</v>
      </c>
      <c r="AO25" s="80">
        <f t="shared" si="20"/>
        <v>0</v>
      </c>
      <c r="AP25" s="80">
        <f t="shared" si="21"/>
        <v>0</v>
      </c>
      <c r="AQ25" s="80">
        <f t="shared" si="22"/>
        <v>0</v>
      </c>
      <c r="AR25" s="83"/>
      <c r="AS25" s="80">
        <f>C25*0.21612/100</f>
        <v>0</v>
      </c>
      <c r="AT25" s="80">
        <f t="shared" si="23"/>
        <v>0</v>
      </c>
      <c r="AU25" s="80">
        <f t="shared" si="24"/>
        <v>0</v>
      </c>
      <c r="AV25" s="80">
        <f t="shared" si="25"/>
        <v>0</v>
      </c>
      <c r="AW25" s="80">
        <f t="shared" si="26"/>
        <v>0</v>
      </c>
      <c r="AX25" s="83"/>
      <c r="AY25" s="80">
        <f>C25*0.01906/100</f>
        <v>0</v>
      </c>
      <c r="AZ25" s="80">
        <f t="shared" si="27"/>
        <v>0</v>
      </c>
      <c r="BA25" s="80">
        <f t="shared" si="28"/>
        <v>0</v>
      </c>
      <c r="BB25" s="80">
        <f t="shared" si="29"/>
        <v>0</v>
      </c>
      <c r="BC25" s="80">
        <f t="shared" si="30"/>
        <v>0</v>
      </c>
      <c r="BD25" s="83"/>
      <c r="BE25" s="80">
        <f>C25*0.01369/100</f>
        <v>0</v>
      </c>
      <c r="BF25" s="80">
        <f t="shared" si="31"/>
        <v>0</v>
      </c>
      <c r="BG25" s="80">
        <f t="shared" si="32"/>
        <v>0</v>
      </c>
      <c r="BH25" s="80">
        <f t="shared" si="33"/>
        <v>0</v>
      </c>
      <c r="BI25" s="80">
        <f t="shared" si="34"/>
        <v>0</v>
      </c>
      <c r="BJ25" s="83"/>
      <c r="BK25" s="80">
        <f>C25*0.23757/100</f>
        <v>0</v>
      </c>
      <c r="BL25" s="80">
        <f t="shared" si="35"/>
        <v>0</v>
      </c>
      <c r="BM25" s="80">
        <f t="shared" si="36"/>
        <v>0</v>
      </c>
      <c r="BN25" s="80">
        <f t="shared" si="37"/>
        <v>0</v>
      </c>
      <c r="BO25" s="80">
        <f t="shared" si="38"/>
        <v>0</v>
      </c>
      <c r="BP25" s="83"/>
      <c r="BQ25" s="80">
        <f>C25*5.91225/100</f>
        <v>0</v>
      </c>
      <c r="BR25" s="80">
        <f t="shared" si="39"/>
        <v>0</v>
      </c>
      <c r="BS25" s="80">
        <f t="shared" si="40"/>
        <v>0</v>
      </c>
      <c r="BT25" s="80">
        <f t="shared" si="41"/>
        <v>0</v>
      </c>
      <c r="BU25" s="80">
        <f t="shared" si="42"/>
        <v>0</v>
      </c>
      <c r="BV25" s="83"/>
      <c r="BW25" s="80">
        <f>C25*1.80534/100</f>
        <v>0</v>
      </c>
      <c r="BX25" s="80">
        <f t="shared" si="43"/>
        <v>0</v>
      </c>
      <c r="BY25" s="80">
        <f t="shared" si="44"/>
        <v>0</v>
      </c>
      <c r="BZ25" s="80">
        <f t="shared" si="45"/>
        <v>0</v>
      </c>
      <c r="CA25" s="80">
        <f t="shared" si="46"/>
        <v>0</v>
      </c>
      <c r="CB25" s="83"/>
      <c r="CC25" s="80">
        <f>C25*5.15053/100</f>
        <v>0</v>
      </c>
      <c r="CD25" s="80">
        <f t="shared" si="47"/>
        <v>0</v>
      </c>
      <c r="CE25" s="80">
        <f t="shared" si="48"/>
        <v>0</v>
      </c>
      <c r="CF25" s="80">
        <f t="shared" si="49"/>
        <v>0</v>
      </c>
      <c r="CG25" s="80">
        <f t="shared" si="50"/>
        <v>0</v>
      </c>
      <c r="CH25" s="83"/>
      <c r="CI25" s="80">
        <f>C25*14.16042/100</f>
        <v>0</v>
      </c>
      <c r="CJ25" s="80">
        <f t="shared" si="51"/>
        <v>0</v>
      </c>
      <c r="CK25" s="80">
        <f t="shared" si="52"/>
        <v>0</v>
      </c>
      <c r="CL25" s="80">
        <f t="shared" si="53"/>
        <v>0</v>
      </c>
      <c r="CM25" s="80">
        <f t="shared" si="54"/>
        <v>0</v>
      </c>
      <c r="CN25" s="80"/>
      <c r="CO25" s="80">
        <f>C25*6.15602/100</f>
        <v>0</v>
      </c>
      <c r="CP25" s="80">
        <f t="shared" si="55"/>
        <v>0</v>
      </c>
      <c r="CQ25" s="80">
        <f t="shared" si="56"/>
        <v>0</v>
      </c>
      <c r="CR25" s="80">
        <f t="shared" si="57"/>
        <v>0</v>
      </c>
      <c r="CS25" s="80">
        <f t="shared" si="58"/>
        <v>0</v>
      </c>
      <c r="CT25" s="83"/>
      <c r="CU25" s="80">
        <f>C25*5.37414/100</f>
        <v>0</v>
      </c>
      <c r="CV25" s="80">
        <f t="shared" si="59"/>
        <v>0</v>
      </c>
      <c r="CW25" s="80">
        <f t="shared" si="60"/>
        <v>0</v>
      </c>
      <c r="CX25" s="80">
        <f t="shared" si="61"/>
        <v>0</v>
      </c>
      <c r="CY25" s="80">
        <f t="shared" si="62"/>
        <v>0</v>
      </c>
      <c r="CZ25" s="83"/>
      <c r="DA25" s="100">
        <f>C25*0.69717/100</f>
        <v>0</v>
      </c>
      <c r="DB25" s="100">
        <f t="shared" si="63"/>
        <v>0</v>
      </c>
      <c r="DC25" s="100">
        <f t="shared" si="64"/>
        <v>0</v>
      </c>
      <c r="DD25" s="100">
        <f t="shared" si="65"/>
        <v>0</v>
      </c>
      <c r="DE25" s="100">
        <f t="shared" si="66"/>
        <v>0</v>
      </c>
      <c r="DF25" s="83"/>
      <c r="DG25" s="80">
        <f>C25*0.02011/100</f>
        <v>0</v>
      </c>
      <c r="DH25" s="80">
        <f t="shared" si="67"/>
        <v>0</v>
      </c>
      <c r="DI25" s="80">
        <f t="shared" si="68"/>
        <v>0</v>
      </c>
      <c r="DJ25" s="80">
        <f t="shared" si="69"/>
        <v>0</v>
      </c>
      <c r="DK25" s="80">
        <f t="shared" si="70"/>
        <v>0</v>
      </c>
      <c r="DL25" s="83"/>
      <c r="DM25" s="80">
        <f>C25*4.70981/100</f>
        <v>0</v>
      </c>
      <c r="DN25" s="80">
        <f t="shared" si="71"/>
        <v>0</v>
      </c>
      <c r="DO25" s="80">
        <f t="shared" si="72"/>
        <v>0</v>
      </c>
      <c r="DP25" s="80">
        <f t="shared" si="73"/>
        <v>0</v>
      </c>
      <c r="DQ25" s="80">
        <f t="shared" si="74"/>
        <v>0</v>
      </c>
      <c r="DR25" s="83"/>
      <c r="DS25" s="80">
        <f>C25*0.28727/100</f>
        <v>0</v>
      </c>
      <c r="DT25" s="80">
        <f t="shared" si="75"/>
        <v>0</v>
      </c>
      <c r="DU25" s="80">
        <f t="shared" si="76"/>
        <v>0</v>
      </c>
      <c r="DV25" s="80">
        <f t="shared" si="77"/>
        <v>0</v>
      </c>
      <c r="DW25" s="80">
        <f t="shared" si="78"/>
        <v>0</v>
      </c>
      <c r="DX25" s="83"/>
      <c r="DY25" s="80">
        <f>C25*4.87421/100</f>
        <v>0</v>
      </c>
      <c r="DZ25" s="80">
        <f t="shared" si="79"/>
        <v>0</v>
      </c>
      <c r="EA25" s="80">
        <f t="shared" si="80"/>
        <v>0</v>
      </c>
      <c r="EB25" s="80">
        <f t="shared" si="81"/>
        <v>0</v>
      </c>
      <c r="EC25" s="80">
        <f t="shared" si="82"/>
        <v>0</v>
      </c>
      <c r="ED25" s="83"/>
      <c r="EE25" s="80">
        <f>C25*0.60754/100</f>
        <v>0</v>
      </c>
      <c r="EF25" s="80">
        <f t="shared" si="83"/>
        <v>0</v>
      </c>
      <c r="EG25" s="80">
        <f t="shared" si="84"/>
        <v>0</v>
      </c>
      <c r="EH25" s="80">
        <f t="shared" si="85"/>
        <v>0</v>
      </c>
      <c r="EI25" s="80">
        <f t="shared" si="86"/>
        <v>0</v>
      </c>
      <c r="EJ25" s="83"/>
      <c r="EK25" s="80">
        <f>C25*0.26185/100</f>
        <v>0</v>
      </c>
      <c r="EL25" s="80">
        <f t="shared" si="87"/>
        <v>0</v>
      </c>
      <c r="EM25" s="80">
        <f t="shared" si="88"/>
        <v>0</v>
      </c>
      <c r="EN25" s="80">
        <f t="shared" si="89"/>
        <v>0</v>
      </c>
      <c r="EO25" s="80">
        <f t="shared" si="90"/>
        <v>0</v>
      </c>
      <c r="EP25" s="83"/>
      <c r="EQ25" s="80"/>
      <c r="ER25" s="80"/>
      <c r="ES25" s="80"/>
      <c r="ET25" s="80"/>
      <c r="EU25" s="80"/>
      <c r="EV25" s="83"/>
      <c r="EW25" s="83">
        <f t="shared" si="91"/>
        <v>0</v>
      </c>
      <c r="EX25" s="83">
        <f t="shared" si="91"/>
        <v>0</v>
      </c>
      <c r="EY25" s="80">
        <f t="shared" si="92"/>
        <v>0</v>
      </c>
      <c r="EZ25" s="80">
        <f t="shared" si="93"/>
        <v>0</v>
      </c>
      <c r="FA25" s="80">
        <f t="shared" si="94"/>
        <v>0</v>
      </c>
      <c r="FB25" s="83"/>
      <c r="FC25" s="80">
        <f t="shared" si="95"/>
        <v>0</v>
      </c>
      <c r="FD25" s="80">
        <f t="shared" si="95"/>
        <v>0</v>
      </c>
      <c r="FE25" s="80">
        <f t="shared" si="96"/>
        <v>0</v>
      </c>
      <c r="FF25" s="80">
        <f t="shared" si="97"/>
        <v>0</v>
      </c>
      <c r="FG25" s="80">
        <f t="shared" si="98"/>
        <v>0</v>
      </c>
      <c r="FH25" s="83"/>
      <c r="FI25" s="83"/>
      <c r="FJ25" s="83"/>
      <c r="FK25" s="83"/>
      <c r="FL25" s="56"/>
      <c r="FM25" s="56"/>
      <c r="FN25" s="56"/>
      <c r="FO25" s="56"/>
      <c r="FP25" s="56"/>
      <c r="FQ25" s="56"/>
    </row>
    <row r="26" spans="1:173" s="58" customFormat="1" ht="12" hidden="1">
      <c r="A26" s="57">
        <v>43739</v>
      </c>
      <c r="C26" s="83"/>
      <c r="D26" s="83"/>
      <c r="E26" s="81">
        <f t="shared" si="0"/>
        <v>0</v>
      </c>
      <c r="F26" s="81"/>
      <c r="G26" s="81"/>
      <c r="H26" s="83"/>
      <c r="I26" s="81">
        <f t="shared" si="1"/>
        <v>0</v>
      </c>
      <c r="J26" s="82">
        <f t="shared" si="1"/>
        <v>0</v>
      </c>
      <c r="K26" s="81">
        <f t="shared" si="2"/>
        <v>0</v>
      </c>
      <c r="L26" s="81">
        <f t="shared" si="3"/>
        <v>0</v>
      </c>
      <c r="M26" s="81">
        <f t="shared" si="3"/>
        <v>0</v>
      </c>
      <c r="N26" s="83"/>
      <c r="O26" s="80"/>
      <c r="P26" s="80">
        <f t="shared" si="4"/>
        <v>0</v>
      </c>
      <c r="Q26" s="80">
        <f t="shared" si="5"/>
        <v>0</v>
      </c>
      <c r="R26" s="80">
        <f t="shared" si="6"/>
        <v>0</v>
      </c>
      <c r="S26" s="80">
        <f t="shared" si="6"/>
        <v>0</v>
      </c>
      <c r="T26" s="83"/>
      <c r="U26" s="83"/>
      <c r="V26" s="83">
        <f t="shared" si="7"/>
        <v>0</v>
      </c>
      <c r="W26" s="80">
        <f t="shared" si="8"/>
        <v>0</v>
      </c>
      <c r="X26" s="80">
        <f t="shared" si="9"/>
        <v>0</v>
      </c>
      <c r="Y26" s="80">
        <f t="shared" si="10"/>
        <v>0</v>
      </c>
      <c r="Z26" s="83"/>
      <c r="AA26" s="80"/>
      <c r="AB26" s="80">
        <f t="shared" si="11"/>
        <v>0</v>
      </c>
      <c r="AC26" s="80">
        <f t="shared" si="12"/>
        <v>0</v>
      </c>
      <c r="AD26" s="80">
        <f t="shared" si="13"/>
        <v>0</v>
      </c>
      <c r="AE26" s="80">
        <f t="shared" si="14"/>
        <v>0</v>
      </c>
      <c r="AF26" s="83"/>
      <c r="AG26" s="80"/>
      <c r="AH26" s="80">
        <f t="shared" si="15"/>
        <v>0</v>
      </c>
      <c r="AI26" s="80">
        <f t="shared" si="16"/>
        <v>0</v>
      </c>
      <c r="AJ26" s="80">
        <f t="shared" si="17"/>
        <v>0</v>
      </c>
      <c r="AK26" s="80">
        <f t="shared" si="18"/>
        <v>0</v>
      </c>
      <c r="AL26" s="83"/>
      <c r="AM26" s="80"/>
      <c r="AN26" s="80">
        <f t="shared" si="19"/>
        <v>0</v>
      </c>
      <c r="AO26" s="80">
        <f t="shared" si="20"/>
        <v>0</v>
      </c>
      <c r="AP26" s="80">
        <f t="shared" si="21"/>
        <v>0</v>
      </c>
      <c r="AQ26" s="80">
        <f t="shared" si="22"/>
        <v>0</v>
      </c>
      <c r="AR26" s="83"/>
      <c r="AS26" s="80"/>
      <c r="AT26" s="80">
        <f t="shared" si="23"/>
        <v>0</v>
      </c>
      <c r="AU26" s="80">
        <f t="shared" si="24"/>
        <v>0</v>
      </c>
      <c r="AV26" s="80">
        <f t="shared" si="25"/>
        <v>0</v>
      </c>
      <c r="AW26" s="80">
        <f t="shared" si="26"/>
        <v>0</v>
      </c>
      <c r="AX26" s="83"/>
      <c r="AY26" s="80"/>
      <c r="AZ26" s="80">
        <f t="shared" si="27"/>
        <v>0</v>
      </c>
      <c r="BA26" s="80">
        <f t="shared" si="28"/>
        <v>0</v>
      </c>
      <c r="BB26" s="80">
        <f t="shared" si="29"/>
        <v>0</v>
      </c>
      <c r="BC26" s="80">
        <f t="shared" si="30"/>
        <v>0</v>
      </c>
      <c r="BD26" s="83"/>
      <c r="BE26" s="80"/>
      <c r="BF26" s="80">
        <f t="shared" si="31"/>
        <v>0</v>
      </c>
      <c r="BG26" s="80">
        <f t="shared" si="32"/>
        <v>0</v>
      </c>
      <c r="BH26" s="80">
        <f t="shared" si="33"/>
        <v>0</v>
      </c>
      <c r="BI26" s="80">
        <f t="shared" si="34"/>
        <v>0</v>
      </c>
      <c r="BJ26" s="83"/>
      <c r="BK26" s="80"/>
      <c r="BL26" s="80">
        <f t="shared" si="35"/>
        <v>0</v>
      </c>
      <c r="BM26" s="80">
        <f t="shared" si="36"/>
        <v>0</v>
      </c>
      <c r="BN26" s="80">
        <f t="shared" si="37"/>
        <v>0</v>
      </c>
      <c r="BO26" s="80">
        <f t="shared" si="38"/>
        <v>0</v>
      </c>
      <c r="BP26" s="83"/>
      <c r="BQ26" s="80"/>
      <c r="BR26" s="80">
        <f t="shared" si="39"/>
        <v>0</v>
      </c>
      <c r="BS26" s="80">
        <f t="shared" si="40"/>
        <v>0</v>
      </c>
      <c r="BT26" s="80">
        <f t="shared" si="41"/>
        <v>0</v>
      </c>
      <c r="BU26" s="80">
        <f t="shared" si="42"/>
        <v>0</v>
      </c>
      <c r="BV26" s="83"/>
      <c r="BW26" s="80"/>
      <c r="BX26" s="80">
        <f t="shared" si="43"/>
        <v>0</v>
      </c>
      <c r="BY26" s="80">
        <f t="shared" si="44"/>
        <v>0</v>
      </c>
      <c r="BZ26" s="80">
        <f t="shared" si="45"/>
        <v>0</v>
      </c>
      <c r="CA26" s="80">
        <f t="shared" si="46"/>
        <v>0</v>
      </c>
      <c r="CB26" s="83"/>
      <c r="CC26" s="80"/>
      <c r="CD26" s="80">
        <f t="shared" si="47"/>
        <v>0</v>
      </c>
      <c r="CE26" s="80">
        <f t="shared" si="48"/>
        <v>0</v>
      </c>
      <c r="CF26" s="80">
        <f t="shared" si="49"/>
        <v>0</v>
      </c>
      <c r="CG26" s="80">
        <f t="shared" si="50"/>
        <v>0</v>
      </c>
      <c r="CH26" s="83"/>
      <c r="CI26" s="80"/>
      <c r="CJ26" s="80">
        <f t="shared" si="51"/>
        <v>0</v>
      </c>
      <c r="CK26" s="80">
        <f t="shared" si="52"/>
        <v>0</v>
      </c>
      <c r="CL26" s="80">
        <f t="shared" si="53"/>
        <v>0</v>
      </c>
      <c r="CM26" s="80">
        <f t="shared" si="54"/>
        <v>0</v>
      </c>
      <c r="CN26" s="80"/>
      <c r="CO26" s="80"/>
      <c r="CP26" s="80">
        <f t="shared" si="55"/>
        <v>0</v>
      </c>
      <c r="CQ26" s="80">
        <f t="shared" si="56"/>
        <v>0</v>
      </c>
      <c r="CR26" s="80">
        <f t="shared" si="57"/>
        <v>0</v>
      </c>
      <c r="CS26" s="80">
        <f t="shared" si="58"/>
        <v>0</v>
      </c>
      <c r="CT26" s="83"/>
      <c r="CU26" s="80"/>
      <c r="CV26" s="80">
        <f t="shared" si="59"/>
        <v>0</v>
      </c>
      <c r="CW26" s="80">
        <f t="shared" si="60"/>
        <v>0</v>
      </c>
      <c r="CX26" s="80">
        <f t="shared" si="61"/>
        <v>0</v>
      </c>
      <c r="CY26" s="80">
        <f t="shared" si="62"/>
        <v>0</v>
      </c>
      <c r="CZ26" s="83"/>
      <c r="DA26" s="100"/>
      <c r="DB26" s="100">
        <f t="shared" si="63"/>
        <v>0</v>
      </c>
      <c r="DC26" s="100">
        <f t="shared" si="64"/>
        <v>0</v>
      </c>
      <c r="DD26" s="100">
        <f t="shared" si="65"/>
        <v>0</v>
      </c>
      <c r="DE26" s="100">
        <f t="shared" si="66"/>
        <v>0</v>
      </c>
      <c r="DF26" s="83"/>
      <c r="DG26" s="80"/>
      <c r="DH26" s="80">
        <f t="shared" si="67"/>
        <v>0</v>
      </c>
      <c r="DI26" s="80">
        <f t="shared" si="68"/>
        <v>0</v>
      </c>
      <c r="DJ26" s="80">
        <f t="shared" si="69"/>
        <v>0</v>
      </c>
      <c r="DK26" s="80">
        <f t="shared" si="70"/>
        <v>0</v>
      </c>
      <c r="DL26" s="83"/>
      <c r="DM26" s="80"/>
      <c r="DN26" s="80">
        <f t="shared" si="71"/>
        <v>0</v>
      </c>
      <c r="DO26" s="80">
        <f t="shared" si="72"/>
        <v>0</v>
      </c>
      <c r="DP26" s="80">
        <f t="shared" si="73"/>
        <v>0</v>
      </c>
      <c r="DQ26" s="80">
        <f t="shared" si="74"/>
        <v>0</v>
      </c>
      <c r="DR26" s="83"/>
      <c r="DS26" s="80"/>
      <c r="DT26" s="80">
        <f t="shared" si="75"/>
        <v>0</v>
      </c>
      <c r="DU26" s="80">
        <f t="shared" si="76"/>
        <v>0</v>
      </c>
      <c r="DV26" s="80">
        <f t="shared" si="77"/>
        <v>0</v>
      </c>
      <c r="DW26" s="80">
        <f t="shared" si="78"/>
        <v>0</v>
      </c>
      <c r="DX26" s="83"/>
      <c r="DY26" s="80"/>
      <c r="DZ26" s="80">
        <f t="shared" si="79"/>
        <v>0</v>
      </c>
      <c r="EA26" s="80">
        <f t="shared" si="80"/>
        <v>0</v>
      </c>
      <c r="EB26" s="80">
        <f t="shared" si="81"/>
        <v>0</v>
      </c>
      <c r="EC26" s="80">
        <f t="shared" si="82"/>
        <v>0</v>
      </c>
      <c r="ED26" s="83"/>
      <c r="EE26" s="80"/>
      <c r="EF26" s="80">
        <f t="shared" si="83"/>
        <v>0</v>
      </c>
      <c r="EG26" s="80">
        <f t="shared" si="84"/>
        <v>0</v>
      </c>
      <c r="EH26" s="80">
        <f t="shared" si="85"/>
        <v>0</v>
      </c>
      <c r="EI26" s="80">
        <f t="shared" si="86"/>
        <v>0</v>
      </c>
      <c r="EJ26" s="83"/>
      <c r="EK26" s="80"/>
      <c r="EL26" s="80">
        <f t="shared" si="87"/>
        <v>0</v>
      </c>
      <c r="EM26" s="80">
        <f t="shared" si="88"/>
        <v>0</v>
      </c>
      <c r="EN26" s="80">
        <f t="shared" si="89"/>
        <v>0</v>
      </c>
      <c r="EO26" s="80">
        <f t="shared" si="90"/>
        <v>0</v>
      </c>
      <c r="EP26" s="83"/>
      <c r="EQ26" s="80"/>
      <c r="ER26" s="80"/>
      <c r="ES26" s="80"/>
      <c r="ET26" s="80"/>
      <c r="EU26" s="80"/>
      <c r="EV26" s="83"/>
      <c r="EW26" s="83">
        <f t="shared" si="91"/>
        <v>0</v>
      </c>
      <c r="EX26" s="83">
        <f t="shared" si="91"/>
        <v>0</v>
      </c>
      <c r="EY26" s="80">
        <f t="shared" si="92"/>
        <v>0</v>
      </c>
      <c r="EZ26" s="80">
        <f t="shared" si="93"/>
        <v>0</v>
      </c>
      <c r="FA26" s="80">
        <f t="shared" si="94"/>
        <v>0</v>
      </c>
      <c r="FB26" s="83"/>
      <c r="FC26" s="80">
        <f t="shared" si="95"/>
        <v>0</v>
      </c>
      <c r="FD26" s="80">
        <f t="shared" si="95"/>
        <v>0</v>
      </c>
      <c r="FE26" s="80">
        <f t="shared" si="96"/>
        <v>0</v>
      </c>
      <c r="FF26" s="80">
        <f t="shared" si="97"/>
        <v>0</v>
      </c>
      <c r="FG26" s="80">
        <f t="shared" si="98"/>
        <v>0</v>
      </c>
      <c r="FH26" s="83"/>
      <c r="FI26" s="83"/>
      <c r="FJ26" s="83"/>
      <c r="FK26" s="83"/>
      <c r="FL26" s="56"/>
      <c r="FM26" s="56"/>
      <c r="FN26" s="56"/>
      <c r="FO26" s="56"/>
      <c r="FP26" s="56"/>
      <c r="FQ26" s="56"/>
    </row>
    <row r="27" spans="1:173" s="58" customFormat="1" ht="12" hidden="1">
      <c r="A27" s="57">
        <v>43922</v>
      </c>
      <c r="C27" s="83"/>
      <c r="D27" s="83"/>
      <c r="E27" s="81">
        <f t="shared" si="0"/>
        <v>0</v>
      </c>
      <c r="F27" s="81"/>
      <c r="G27" s="81"/>
      <c r="H27" s="83"/>
      <c r="I27" s="81">
        <f t="shared" si="1"/>
        <v>0</v>
      </c>
      <c r="J27" s="82">
        <f t="shared" si="1"/>
        <v>0</v>
      </c>
      <c r="K27" s="81">
        <f t="shared" si="2"/>
        <v>0</v>
      </c>
      <c r="L27" s="81">
        <f t="shared" si="3"/>
        <v>0</v>
      </c>
      <c r="M27" s="81">
        <f t="shared" si="3"/>
        <v>0</v>
      </c>
      <c r="N27" s="83"/>
      <c r="O27" s="80">
        <f t="shared" si="99"/>
        <v>0</v>
      </c>
      <c r="P27" s="80">
        <f t="shared" si="4"/>
        <v>0</v>
      </c>
      <c r="Q27" s="80">
        <f t="shared" si="5"/>
        <v>0</v>
      </c>
      <c r="R27" s="80">
        <f t="shared" si="6"/>
        <v>0</v>
      </c>
      <c r="S27" s="80">
        <f t="shared" si="6"/>
        <v>0</v>
      </c>
      <c r="T27" s="83"/>
      <c r="U27" s="83">
        <f>C27*15.05006/100</f>
        <v>0</v>
      </c>
      <c r="V27" s="83">
        <f t="shared" si="7"/>
        <v>0</v>
      </c>
      <c r="W27" s="80">
        <f t="shared" si="8"/>
        <v>0</v>
      </c>
      <c r="X27" s="80">
        <f t="shared" si="9"/>
        <v>0</v>
      </c>
      <c r="Y27" s="80">
        <f t="shared" si="10"/>
        <v>0</v>
      </c>
      <c r="Z27" s="83"/>
      <c r="AA27" s="80">
        <f>C27*16.92584/100</f>
        <v>0</v>
      </c>
      <c r="AB27" s="80">
        <f t="shared" si="11"/>
        <v>0</v>
      </c>
      <c r="AC27" s="80">
        <f t="shared" si="12"/>
        <v>0</v>
      </c>
      <c r="AD27" s="80">
        <f t="shared" si="13"/>
        <v>0</v>
      </c>
      <c r="AE27" s="80">
        <f t="shared" si="14"/>
        <v>0</v>
      </c>
      <c r="AF27" s="83"/>
      <c r="AG27" s="80">
        <f>C27*9.75766/100</f>
        <v>0</v>
      </c>
      <c r="AH27" s="80">
        <f t="shared" si="15"/>
        <v>0</v>
      </c>
      <c r="AI27" s="80">
        <f t="shared" si="16"/>
        <v>0</v>
      </c>
      <c r="AJ27" s="80">
        <f t="shared" si="17"/>
        <v>0</v>
      </c>
      <c r="AK27" s="80">
        <f t="shared" si="18"/>
        <v>0</v>
      </c>
      <c r="AL27" s="83"/>
      <c r="AM27" s="80">
        <f>C27*7.48131/100</f>
        <v>0</v>
      </c>
      <c r="AN27" s="80">
        <f t="shared" si="19"/>
        <v>0</v>
      </c>
      <c r="AO27" s="80">
        <f t="shared" si="20"/>
        <v>0</v>
      </c>
      <c r="AP27" s="80">
        <f t="shared" si="21"/>
        <v>0</v>
      </c>
      <c r="AQ27" s="80">
        <f t="shared" si="22"/>
        <v>0</v>
      </c>
      <c r="AR27" s="83"/>
      <c r="AS27" s="80">
        <f>C27*0.21612/100</f>
        <v>0</v>
      </c>
      <c r="AT27" s="80">
        <f t="shared" si="23"/>
        <v>0</v>
      </c>
      <c r="AU27" s="80">
        <f t="shared" si="24"/>
        <v>0</v>
      </c>
      <c r="AV27" s="80">
        <f t="shared" si="25"/>
        <v>0</v>
      </c>
      <c r="AW27" s="80">
        <f t="shared" si="26"/>
        <v>0</v>
      </c>
      <c r="AX27" s="83"/>
      <c r="AY27" s="80">
        <f>C27*0.01906/100</f>
        <v>0</v>
      </c>
      <c r="AZ27" s="80">
        <f t="shared" si="27"/>
        <v>0</v>
      </c>
      <c r="BA27" s="80">
        <f t="shared" si="28"/>
        <v>0</v>
      </c>
      <c r="BB27" s="80">
        <f t="shared" si="29"/>
        <v>0</v>
      </c>
      <c r="BC27" s="80">
        <f t="shared" si="30"/>
        <v>0</v>
      </c>
      <c r="BD27" s="83"/>
      <c r="BE27" s="80">
        <f>C27*0.01369/100</f>
        <v>0</v>
      </c>
      <c r="BF27" s="80">
        <f t="shared" si="31"/>
        <v>0</v>
      </c>
      <c r="BG27" s="80">
        <f t="shared" si="32"/>
        <v>0</v>
      </c>
      <c r="BH27" s="80">
        <f t="shared" si="33"/>
        <v>0</v>
      </c>
      <c r="BI27" s="80">
        <f t="shared" si="34"/>
        <v>0</v>
      </c>
      <c r="BJ27" s="83"/>
      <c r="BK27" s="80">
        <f>C27*0.23757/100</f>
        <v>0</v>
      </c>
      <c r="BL27" s="80">
        <f t="shared" si="35"/>
        <v>0</v>
      </c>
      <c r="BM27" s="80">
        <f t="shared" si="36"/>
        <v>0</v>
      </c>
      <c r="BN27" s="80">
        <f t="shared" si="37"/>
        <v>0</v>
      </c>
      <c r="BO27" s="80">
        <f t="shared" si="38"/>
        <v>0</v>
      </c>
      <c r="BP27" s="83"/>
      <c r="BQ27" s="80">
        <f>C27*5.91225/100</f>
        <v>0</v>
      </c>
      <c r="BR27" s="80">
        <f t="shared" si="39"/>
        <v>0</v>
      </c>
      <c r="BS27" s="80">
        <f t="shared" si="40"/>
        <v>0</v>
      </c>
      <c r="BT27" s="80">
        <f t="shared" si="41"/>
        <v>0</v>
      </c>
      <c r="BU27" s="80">
        <f t="shared" si="42"/>
        <v>0</v>
      </c>
      <c r="BV27" s="83"/>
      <c r="BW27" s="80">
        <f>C27*1.80534/100</f>
        <v>0</v>
      </c>
      <c r="BX27" s="80">
        <f t="shared" si="43"/>
        <v>0</v>
      </c>
      <c r="BY27" s="80">
        <f t="shared" si="44"/>
        <v>0</v>
      </c>
      <c r="BZ27" s="80">
        <f t="shared" si="45"/>
        <v>0</v>
      </c>
      <c r="CA27" s="80">
        <f t="shared" si="46"/>
        <v>0</v>
      </c>
      <c r="CB27" s="83"/>
      <c r="CC27" s="80">
        <f>C27*5.15053/100</f>
        <v>0</v>
      </c>
      <c r="CD27" s="80">
        <f t="shared" si="47"/>
        <v>0</v>
      </c>
      <c r="CE27" s="80">
        <f t="shared" si="48"/>
        <v>0</v>
      </c>
      <c r="CF27" s="80">
        <f t="shared" si="49"/>
        <v>0</v>
      </c>
      <c r="CG27" s="80">
        <f t="shared" si="50"/>
        <v>0</v>
      </c>
      <c r="CH27" s="83"/>
      <c r="CI27" s="80">
        <f>C27*14.16042/100</f>
        <v>0</v>
      </c>
      <c r="CJ27" s="80">
        <f t="shared" si="51"/>
        <v>0</v>
      </c>
      <c r="CK27" s="80">
        <f t="shared" si="52"/>
        <v>0</v>
      </c>
      <c r="CL27" s="80">
        <f t="shared" si="53"/>
        <v>0</v>
      </c>
      <c r="CM27" s="80">
        <f t="shared" si="54"/>
        <v>0</v>
      </c>
      <c r="CN27" s="80"/>
      <c r="CO27" s="80">
        <f>C27*6.15602/100</f>
        <v>0</v>
      </c>
      <c r="CP27" s="80">
        <f t="shared" si="55"/>
        <v>0</v>
      </c>
      <c r="CQ27" s="80">
        <f t="shared" si="56"/>
        <v>0</v>
      </c>
      <c r="CR27" s="80">
        <f t="shared" si="57"/>
        <v>0</v>
      </c>
      <c r="CS27" s="80">
        <f t="shared" si="58"/>
        <v>0</v>
      </c>
      <c r="CT27" s="83"/>
      <c r="CU27" s="80">
        <f>C27*5.37414/100</f>
        <v>0</v>
      </c>
      <c r="CV27" s="80">
        <f t="shared" si="59"/>
        <v>0</v>
      </c>
      <c r="CW27" s="80">
        <f t="shared" si="60"/>
        <v>0</v>
      </c>
      <c r="CX27" s="80">
        <f t="shared" si="61"/>
        <v>0</v>
      </c>
      <c r="CY27" s="80">
        <f t="shared" si="62"/>
        <v>0</v>
      </c>
      <c r="CZ27" s="83"/>
      <c r="DA27" s="100">
        <f>C27*0.69717/100</f>
        <v>0</v>
      </c>
      <c r="DB27" s="100">
        <f t="shared" si="63"/>
        <v>0</v>
      </c>
      <c r="DC27" s="100">
        <f t="shared" si="64"/>
        <v>0</v>
      </c>
      <c r="DD27" s="100">
        <f t="shared" si="65"/>
        <v>0</v>
      </c>
      <c r="DE27" s="100">
        <f t="shared" si="66"/>
        <v>0</v>
      </c>
      <c r="DF27" s="83"/>
      <c r="DG27" s="80">
        <f>C27*0.02011/100</f>
        <v>0</v>
      </c>
      <c r="DH27" s="80">
        <f t="shared" si="67"/>
        <v>0</v>
      </c>
      <c r="DI27" s="80">
        <f t="shared" si="68"/>
        <v>0</v>
      </c>
      <c r="DJ27" s="80">
        <f t="shared" si="69"/>
        <v>0</v>
      </c>
      <c r="DK27" s="80">
        <f t="shared" si="70"/>
        <v>0</v>
      </c>
      <c r="DL27" s="83"/>
      <c r="DM27" s="80">
        <f>C27*4.70981/100</f>
        <v>0</v>
      </c>
      <c r="DN27" s="80">
        <f t="shared" si="71"/>
        <v>0</v>
      </c>
      <c r="DO27" s="80">
        <f t="shared" si="72"/>
        <v>0</v>
      </c>
      <c r="DP27" s="80">
        <f t="shared" si="73"/>
        <v>0</v>
      </c>
      <c r="DQ27" s="80">
        <f t="shared" si="74"/>
        <v>0</v>
      </c>
      <c r="DR27" s="83"/>
      <c r="DS27" s="80">
        <f>C27*0.28727/100</f>
        <v>0</v>
      </c>
      <c r="DT27" s="80">
        <f t="shared" si="75"/>
        <v>0</v>
      </c>
      <c r="DU27" s="80">
        <f t="shared" si="76"/>
        <v>0</v>
      </c>
      <c r="DV27" s="80">
        <f t="shared" si="77"/>
        <v>0</v>
      </c>
      <c r="DW27" s="80">
        <f t="shared" si="78"/>
        <v>0</v>
      </c>
      <c r="DX27" s="83"/>
      <c r="DY27" s="80">
        <f>C27*4.87421/100</f>
        <v>0</v>
      </c>
      <c r="DZ27" s="80">
        <f t="shared" si="79"/>
        <v>0</v>
      </c>
      <c r="EA27" s="80">
        <f t="shared" si="80"/>
        <v>0</v>
      </c>
      <c r="EB27" s="80">
        <f t="shared" si="81"/>
        <v>0</v>
      </c>
      <c r="EC27" s="80">
        <f t="shared" si="82"/>
        <v>0</v>
      </c>
      <c r="ED27" s="83"/>
      <c r="EE27" s="80">
        <f>C27*0.60754/100</f>
        <v>0</v>
      </c>
      <c r="EF27" s="80">
        <f t="shared" si="83"/>
        <v>0</v>
      </c>
      <c r="EG27" s="80">
        <f t="shared" si="84"/>
        <v>0</v>
      </c>
      <c r="EH27" s="80">
        <f t="shared" si="85"/>
        <v>0</v>
      </c>
      <c r="EI27" s="80">
        <f t="shared" si="86"/>
        <v>0</v>
      </c>
      <c r="EJ27" s="83"/>
      <c r="EK27" s="80">
        <f>C27*0.26185/100</f>
        <v>0</v>
      </c>
      <c r="EL27" s="80">
        <f t="shared" si="87"/>
        <v>0</v>
      </c>
      <c r="EM27" s="80">
        <f t="shared" si="88"/>
        <v>0</v>
      </c>
      <c r="EN27" s="80">
        <f t="shared" si="89"/>
        <v>0</v>
      </c>
      <c r="EO27" s="80">
        <f t="shared" si="90"/>
        <v>0</v>
      </c>
      <c r="EP27" s="83"/>
      <c r="EQ27" s="80"/>
      <c r="ER27" s="80"/>
      <c r="ES27" s="80"/>
      <c r="ET27" s="80"/>
      <c r="EU27" s="80"/>
      <c r="EV27" s="83"/>
      <c r="EW27" s="83">
        <f t="shared" si="91"/>
        <v>0</v>
      </c>
      <c r="EX27" s="83">
        <f t="shared" si="91"/>
        <v>0</v>
      </c>
      <c r="EY27" s="80">
        <f t="shared" si="92"/>
        <v>0</v>
      </c>
      <c r="EZ27" s="80">
        <f t="shared" si="93"/>
        <v>0</v>
      </c>
      <c r="FA27" s="80">
        <f t="shared" si="94"/>
        <v>0</v>
      </c>
      <c r="FB27" s="83"/>
      <c r="FC27" s="80">
        <f t="shared" si="95"/>
        <v>0</v>
      </c>
      <c r="FD27" s="80">
        <f t="shared" si="95"/>
        <v>0</v>
      </c>
      <c r="FE27" s="80">
        <f t="shared" si="96"/>
        <v>0</v>
      </c>
      <c r="FF27" s="80">
        <f t="shared" si="97"/>
        <v>0</v>
      </c>
      <c r="FG27" s="80">
        <f t="shared" si="98"/>
        <v>0</v>
      </c>
      <c r="FH27" s="83"/>
      <c r="FI27" s="83"/>
      <c r="FJ27" s="83"/>
      <c r="FK27" s="83"/>
      <c r="FL27" s="56"/>
      <c r="FM27" s="56"/>
      <c r="FN27" s="56"/>
      <c r="FO27" s="56"/>
      <c r="FP27" s="56"/>
      <c r="FQ27" s="56"/>
    </row>
    <row r="28" spans="1:173" s="58" customFormat="1" ht="12" hidden="1">
      <c r="A28" s="57">
        <v>44105</v>
      </c>
      <c r="C28" s="83"/>
      <c r="D28" s="83"/>
      <c r="E28" s="81">
        <f t="shared" si="0"/>
        <v>0</v>
      </c>
      <c r="F28" s="81"/>
      <c r="G28" s="81"/>
      <c r="H28" s="83"/>
      <c r="I28" s="81">
        <f t="shared" si="1"/>
        <v>0</v>
      </c>
      <c r="J28" s="82">
        <f t="shared" si="1"/>
        <v>0</v>
      </c>
      <c r="K28" s="81">
        <f t="shared" si="2"/>
        <v>0</v>
      </c>
      <c r="L28" s="81">
        <f t="shared" si="3"/>
        <v>0</v>
      </c>
      <c r="M28" s="81">
        <f t="shared" si="3"/>
        <v>0</v>
      </c>
      <c r="N28" s="83"/>
      <c r="O28" s="80"/>
      <c r="P28" s="80">
        <f t="shared" si="4"/>
        <v>0</v>
      </c>
      <c r="Q28" s="80">
        <f t="shared" si="5"/>
        <v>0</v>
      </c>
      <c r="R28" s="80">
        <f t="shared" si="6"/>
        <v>0</v>
      </c>
      <c r="S28" s="80">
        <f t="shared" si="6"/>
        <v>0</v>
      </c>
      <c r="T28" s="83"/>
      <c r="U28" s="83"/>
      <c r="V28" s="83">
        <f t="shared" si="7"/>
        <v>0</v>
      </c>
      <c r="W28" s="80">
        <f t="shared" si="8"/>
        <v>0</v>
      </c>
      <c r="X28" s="80">
        <f t="shared" si="9"/>
        <v>0</v>
      </c>
      <c r="Y28" s="80">
        <f t="shared" si="10"/>
        <v>0</v>
      </c>
      <c r="Z28" s="83"/>
      <c r="AA28" s="80"/>
      <c r="AB28" s="80">
        <f t="shared" si="11"/>
        <v>0</v>
      </c>
      <c r="AC28" s="80">
        <f t="shared" si="12"/>
        <v>0</v>
      </c>
      <c r="AD28" s="80">
        <f t="shared" si="13"/>
        <v>0</v>
      </c>
      <c r="AE28" s="80">
        <f t="shared" si="14"/>
        <v>0</v>
      </c>
      <c r="AF28" s="83"/>
      <c r="AG28" s="80"/>
      <c r="AH28" s="80">
        <f t="shared" si="15"/>
        <v>0</v>
      </c>
      <c r="AI28" s="80">
        <f t="shared" si="16"/>
        <v>0</v>
      </c>
      <c r="AJ28" s="80">
        <f t="shared" si="17"/>
        <v>0</v>
      </c>
      <c r="AK28" s="80">
        <f t="shared" si="18"/>
        <v>0</v>
      </c>
      <c r="AL28" s="83"/>
      <c r="AM28" s="80"/>
      <c r="AN28" s="80">
        <f t="shared" si="19"/>
        <v>0</v>
      </c>
      <c r="AO28" s="80">
        <f t="shared" si="20"/>
        <v>0</v>
      </c>
      <c r="AP28" s="80">
        <f t="shared" si="21"/>
        <v>0</v>
      </c>
      <c r="AQ28" s="80">
        <f t="shared" si="22"/>
        <v>0</v>
      </c>
      <c r="AR28" s="83"/>
      <c r="AS28" s="80"/>
      <c r="AT28" s="80">
        <f t="shared" si="23"/>
        <v>0</v>
      </c>
      <c r="AU28" s="80">
        <f t="shared" si="24"/>
        <v>0</v>
      </c>
      <c r="AV28" s="80">
        <f t="shared" si="25"/>
        <v>0</v>
      </c>
      <c r="AW28" s="80">
        <f t="shared" si="26"/>
        <v>0</v>
      </c>
      <c r="AX28" s="83"/>
      <c r="AY28" s="80"/>
      <c r="AZ28" s="80">
        <f t="shared" si="27"/>
        <v>0</v>
      </c>
      <c r="BA28" s="80">
        <f t="shared" si="28"/>
        <v>0</v>
      </c>
      <c r="BB28" s="80">
        <f t="shared" si="29"/>
        <v>0</v>
      </c>
      <c r="BC28" s="80">
        <f t="shared" si="30"/>
        <v>0</v>
      </c>
      <c r="BD28" s="83"/>
      <c r="BE28" s="80"/>
      <c r="BF28" s="80">
        <f t="shared" si="31"/>
        <v>0</v>
      </c>
      <c r="BG28" s="80">
        <f t="shared" si="32"/>
        <v>0</v>
      </c>
      <c r="BH28" s="80">
        <f t="shared" si="33"/>
        <v>0</v>
      </c>
      <c r="BI28" s="80">
        <f t="shared" si="34"/>
        <v>0</v>
      </c>
      <c r="BJ28" s="83"/>
      <c r="BK28" s="80"/>
      <c r="BL28" s="80">
        <f t="shared" si="35"/>
        <v>0</v>
      </c>
      <c r="BM28" s="80">
        <f t="shared" si="36"/>
        <v>0</v>
      </c>
      <c r="BN28" s="80">
        <f t="shared" si="37"/>
        <v>0</v>
      </c>
      <c r="BO28" s="80">
        <f t="shared" si="38"/>
        <v>0</v>
      </c>
      <c r="BP28" s="83"/>
      <c r="BQ28" s="80"/>
      <c r="BR28" s="80">
        <f t="shared" si="39"/>
        <v>0</v>
      </c>
      <c r="BS28" s="80">
        <f t="shared" si="40"/>
        <v>0</v>
      </c>
      <c r="BT28" s="80">
        <f t="shared" si="41"/>
        <v>0</v>
      </c>
      <c r="BU28" s="80">
        <f t="shared" si="42"/>
        <v>0</v>
      </c>
      <c r="BV28" s="83"/>
      <c r="BW28" s="80"/>
      <c r="BX28" s="80">
        <f t="shared" si="43"/>
        <v>0</v>
      </c>
      <c r="BY28" s="80">
        <f t="shared" si="44"/>
        <v>0</v>
      </c>
      <c r="BZ28" s="80">
        <f t="shared" si="45"/>
        <v>0</v>
      </c>
      <c r="CA28" s="80">
        <f t="shared" si="46"/>
        <v>0</v>
      </c>
      <c r="CB28" s="83"/>
      <c r="CC28" s="80"/>
      <c r="CD28" s="80">
        <f t="shared" si="47"/>
        <v>0</v>
      </c>
      <c r="CE28" s="80">
        <f t="shared" si="48"/>
        <v>0</v>
      </c>
      <c r="CF28" s="80">
        <f t="shared" si="49"/>
        <v>0</v>
      </c>
      <c r="CG28" s="80">
        <f t="shared" si="50"/>
        <v>0</v>
      </c>
      <c r="CH28" s="83"/>
      <c r="CI28" s="80"/>
      <c r="CJ28" s="80">
        <f t="shared" si="51"/>
        <v>0</v>
      </c>
      <c r="CK28" s="80">
        <f t="shared" si="52"/>
        <v>0</v>
      </c>
      <c r="CL28" s="80">
        <f t="shared" si="53"/>
        <v>0</v>
      </c>
      <c r="CM28" s="80">
        <f t="shared" si="54"/>
        <v>0</v>
      </c>
      <c r="CN28" s="80"/>
      <c r="CO28" s="80"/>
      <c r="CP28" s="80">
        <f t="shared" si="55"/>
        <v>0</v>
      </c>
      <c r="CQ28" s="80">
        <f t="shared" si="56"/>
        <v>0</v>
      </c>
      <c r="CR28" s="80">
        <f t="shared" si="57"/>
        <v>0</v>
      </c>
      <c r="CS28" s="80">
        <f t="shared" si="58"/>
        <v>0</v>
      </c>
      <c r="CT28" s="83"/>
      <c r="CU28" s="80"/>
      <c r="CV28" s="80">
        <f t="shared" si="59"/>
        <v>0</v>
      </c>
      <c r="CW28" s="80">
        <f t="shared" si="60"/>
        <v>0</v>
      </c>
      <c r="CX28" s="80">
        <f t="shared" si="61"/>
        <v>0</v>
      </c>
      <c r="CY28" s="80">
        <f t="shared" si="62"/>
        <v>0</v>
      </c>
      <c r="CZ28" s="83"/>
      <c r="DA28" s="100"/>
      <c r="DB28" s="100">
        <f t="shared" si="63"/>
        <v>0</v>
      </c>
      <c r="DC28" s="100">
        <f t="shared" si="64"/>
        <v>0</v>
      </c>
      <c r="DD28" s="100">
        <f t="shared" si="65"/>
        <v>0</v>
      </c>
      <c r="DE28" s="100">
        <f t="shared" si="66"/>
        <v>0</v>
      </c>
      <c r="DF28" s="83"/>
      <c r="DG28" s="80"/>
      <c r="DH28" s="80">
        <f t="shared" si="67"/>
        <v>0</v>
      </c>
      <c r="DI28" s="80">
        <f t="shared" si="68"/>
        <v>0</v>
      </c>
      <c r="DJ28" s="80">
        <f t="shared" si="69"/>
        <v>0</v>
      </c>
      <c r="DK28" s="80">
        <f t="shared" si="70"/>
        <v>0</v>
      </c>
      <c r="DL28" s="83"/>
      <c r="DM28" s="80"/>
      <c r="DN28" s="80">
        <f t="shared" si="71"/>
        <v>0</v>
      </c>
      <c r="DO28" s="80">
        <f t="shared" si="72"/>
        <v>0</v>
      </c>
      <c r="DP28" s="80">
        <f t="shared" si="73"/>
        <v>0</v>
      </c>
      <c r="DQ28" s="80">
        <f t="shared" si="74"/>
        <v>0</v>
      </c>
      <c r="DR28" s="83"/>
      <c r="DS28" s="80"/>
      <c r="DT28" s="80">
        <f t="shared" si="75"/>
        <v>0</v>
      </c>
      <c r="DU28" s="80">
        <f t="shared" si="76"/>
        <v>0</v>
      </c>
      <c r="DV28" s="80">
        <f t="shared" si="77"/>
        <v>0</v>
      </c>
      <c r="DW28" s="80">
        <f t="shared" si="78"/>
        <v>0</v>
      </c>
      <c r="DX28" s="83"/>
      <c r="DY28" s="80"/>
      <c r="DZ28" s="80">
        <f t="shared" si="79"/>
        <v>0</v>
      </c>
      <c r="EA28" s="80">
        <f t="shared" si="80"/>
        <v>0</v>
      </c>
      <c r="EB28" s="80">
        <f t="shared" si="81"/>
        <v>0</v>
      </c>
      <c r="EC28" s="80">
        <f t="shared" si="82"/>
        <v>0</v>
      </c>
      <c r="ED28" s="83"/>
      <c r="EE28" s="80"/>
      <c r="EF28" s="80">
        <f t="shared" si="83"/>
        <v>0</v>
      </c>
      <c r="EG28" s="80">
        <f t="shared" si="84"/>
        <v>0</v>
      </c>
      <c r="EH28" s="80">
        <f t="shared" si="85"/>
        <v>0</v>
      </c>
      <c r="EI28" s="80">
        <f t="shared" si="86"/>
        <v>0</v>
      </c>
      <c r="EJ28" s="83"/>
      <c r="EK28" s="80"/>
      <c r="EL28" s="80">
        <f t="shared" si="87"/>
        <v>0</v>
      </c>
      <c r="EM28" s="80">
        <f t="shared" si="88"/>
        <v>0</v>
      </c>
      <c r="EN28" s="80">
        <f t="shared" si="89"/>
        <v>0</v>
      </c>
      <c r="EO28" s="80">
        <f t="shared" si="90"/>
        <v>0</v>
      </c>
      <c r="EP28" s="83"/>
      <c r="EQ28" s="80"/>
      <c r="ER28" s="80"/>
      <c r="ES28" s="80"/>
      <c r="ET28" s="80"/>
      <c r="EU28" s="80"/>
      <c r="EV28" s="83"/>
      <c r="EW28" s="83">
        <f t="shared" si="91"/>
        <v>0</v>
      </c>
      <c r="EX28" s="83">
        <f t="shared" si="91"/>
        <v>0</v>
      </c>
      <c r="EY28" s="80">
        <f t="shared" si="92"/>
        <v>0</v>
      </c>
      <c r="EZ28" s="80">
        <f t="shared" si="93"/>
        <v>0</v>
      </c>
      <c r="FA28" s="80">
        <f t="shared" si="94"/>
        <v>0</v>
      </c>
      <c r="FB28" s="83"/>
      <c r="FC28" s="80">
        <f t="shared" si="95"/>
        <v>0</v>
      </c>
      <c r="FD28" s="80">
        <f t="shared" si="95"/>
        <v>0</v>
      </c>
      <c r="FE28" s="80">
        <f t="shared" si="96"/>
        <v>0</v>
      </c>
      <c r="FF28" s="80">
        <f t="shared" si="97"/>
        <v>0</v>
      </c>
      <c r="FG28" s="80">
        <f t="shared" si="98"/>
        <v>0</v>
      </c>
      <c r="FH28" s="83"/>
      <c r="FI28" s="83"/>
      <c r="FJ28" s="83"/>
      <c r="FK28" s="83"/>
      <c r="FL28" s="56"/>
      <c r="FM28" s="56"/>
      <c r="FN28" s="56"/>
      <c r="FO28" s="56"/>
      <c r="FP28" s="56"/>
      <c r="FQ28" s="56"/>
    </row>
    <row r="29" spans="1:173" s="58" customFormat="1" ht="12" hidden="1">
      <c r="A29" s="57">
        <v>44287</v>
      </c>
      <c r="C29" s="83"/>
      <c r="D29" s="83"/>
      <c r="E29" s="81">
        <f t="shared" si="0"/>
        <v>0</v>
      </c>
      <c r="F29" s="81"/>
      <c r="G29" s="81"/>
      <c r="H29" s="83"/>
      <c r="I29" s="81">
        <f t="shared" si="1"/>
        <v>0</v>
      </c>
      <c r="J29" s="82">
        <f t="shared" si="1"/>
        <v>0</v>
      </c>
      <c r="K29" s="81">
        <f t="shared" si="2"/>
        <v>0</v>
      </c>
      <c r="L29" s="81">
        <f t="shared" si="3"/>
        <v>0</v>
      </c>
      <c r="M29" s="81">
        <f t="shared" si="3"/>
        <v>0</v>
      </c>
      <c r="N29" s="83"/>
      <c r="O29" s="80">
        <f t="shared" si="99"/>
        <v>0</v>
      </c>
      <c r="P29" s="80">
        <f t="shared" si="4"/>
        <v>0</v>
      </c>
      <c r="Q29" s="80">
        <f t="shared" si="5"/>
        <v>0</v>
      </c>
      <c r="R29" s="80">
        <f t="shared" si="6"/>
        <v>0</v>
      </c>
      <c r="S29" s="80">
        <f t="shared" si="6"/>
        <v>0</v>
      </c>
      <c r="T29" s="83"/>
      <c r="U29" s="83">
        <f>C29*15.05006/100</f>
        <v>0</v>
      </c>
      <c r="V29" s="83">
        <f t="shared" si="7"/>
        <v>0</v>
      </c>
      <c r="W29" s="80">
        <f t="shared" si="8"/>
        <v>0</v>
      </c>
      <c r="X29" s="80">
        <f t="shared" si="9"/>
        <v>0</v>
      </c>
      <c r="Y29" s="80">
        <f t="shared" si="10"/>
        <v>0</v>
      </c>
      <c r="Z29" s="83"/>
      <c r="AA29" s="80">
        <f>C29*16.92584/100</f>
        <v>0</v>
      </c>
      <c r="AB29" s="80">
        <f t="shared" si="11"/>
        <v>0</v>
      </c>
      <c r="AC29" s="80">
        <f t="shared" si="12"/>
        <v>0</v>
      </c>
      <c r="AD29" s="80">
        <f t="shared" si="13"/>
        <v>0</v>
      </c>
      <c r="AE29" s="80">
        <f t="shared" si="14"/>
        <v>0</v>
      </c>
      <c r="AF29" s="83"/>
      <c r="AG29" s="80">
        <f>C29*9.75766/100</f>
        <v>0</v>
      </c>
      <c r="AH29" s="80">
        <f t="shared" si="15"/>
        <v>0</v>
      </c>
      <c r="AI29" s="80">
        <f t="shared" si="16"/>
        <v>0</v>
      </c>
      <c r="AJ29" s="80">
        <f t="shared" si="17"/>
        <v>0</v>
      </c>
      <c r="AK29" s="80">
        <f t="shared" si="18"/>
        <v>0</v>
      </c>
      <c r="AL29" s="83"/>
      <c r="AM29" s="80">
        <f>C29*7.48131/100</f>
        <v>0</v>
      </c>
      <c r="AN29" s="80">
        <f t="shared" si="19"/>
        <v>0</v>
      </c>
      <c r="AO29" s="80">
        <f t="shared" si="20"/>
        <v>0</v>
      </c>
      <c r="AP29" s="80">
        <f t="shared" si="21"/>
        <v>0</v>
      </c>
      <c r="AQ29" s="80">
        <f t="shared" si="22"/>
        <v>0</v>
      </c>
      <c r="AR29" s="83"/>
      <c r="AS29" s="80">
        <f>C29*0.21612/100</f>
        <v>0</v>
      </c>
      <c r="AT29" s="80">
        <f t="shared" si="23"/>
        <v>0</v>
      </c>
      <c r="AU29" s="80">
        <f t="shared" si="24"/>
        <v>0</v>
      </c>
      <c r="AV29" s="80">
        <f t="shared" si="25"/>
        <v>0</v>
      </c>
      <c r="AW29" s="80">
        <f t="shared" si="26"/>
        <v>0</v>
      </c>
      <c r="AX29" s="83"/>
      <c r="AY29" s="80">
        <f>C29*0.01906/100</f>
        <v>0</v>
      </c>
      <c r="AZ29" s="80">
        <f t="shared" si="27"/>
        <v>0</v>
      </c>
      <c r="BA29" s="80">
        <f t="shared" si="28"/>
        <v>0</v>
      </c>
      <c r="BB29" s="80">
        <f t="shared" si="29"/>
        <v>0</v>
      </c>
      <c r="BC29" s="80">
        <f t="shared" si="30"/>
        <v>0</v>
      </c>
      <c r="BD29" s="83"/>
      <c r="BE29" s="80">
        <f>C29*0.01369/100</f>
        <v>0</v>
      </c>
      <c r="BF29" s="80">
        <f t="shared" si="31"/>
        <v>0</v>
      </c>
      <c r="BG29" s="80">
        <f t="shared" si="32"/>
        <v>0</v>
      </c>
      <c r="BH29" s="80">
        <f t="shared" si="33"/>
        <v>0</v>
      </c>
      <c r="BI29" s="80">
        <f t="shared" si="34"/>
        <v>0</v>
      </c>
      <c r="BJ29" s="83"/>
      <c r="BK29" s="80">
        <f>C29*0.23757/100</f>
        <v>0</v>
      </c>
      <c r="BL29" s="80">
        <f t="shared" si="35"/>
        <v>0</v>
      </c>
      <c r="BM29" s="80">
        <f t="shared" si="36"/>
        <v>0</v>
      </c>
      <c r="BN29" s="80">
        <f t="shared" si="37"/>
        <v>0</v>
      </c>
      <c r="BO29" s="80">
        <f t="shared" si="38"/>
        <v>0</v>
      </c>
      <c r="BP29" s="83"/>
      <c r="BQ29" s="80">
        <f>C29*5.91225/100</f>
        <v>0</v>
      </c>
      <c r="BR29" s="80">
        <f t="shared" si="39"/>
        <v>0</v>
      </c>
      <c r="BS29" s="80">
        <f t="shared" si="40"/>
        <v>0</v>
      </c>
      <c r="BT29" s="80">
        <f t="shared" si="41"/>
        <v>0</v>
      </c>
      <c r="BU29" s="80">
        <f t="shared" si="42"/>
        <v>0</v>
      </c>
      <c r="BV29" s="83"/>
      <c r="BW29" s="80">
        <f>C29*1.80534/100</f>
        <v>0</v>
      </c>
      <c r="BX29" s="80">
        <f t="shared" si="43"/>
        <v>0</v>
      </c>
      <c r="BY29" s="80">
        <f t="shared" si="44"/>
        <v>0</v>
      </c>
      <c r="BZ29" s="80">
        <f t="shared" si="45"/>
        <v>0</v>
      </c>
      <c r="CA29" s="80">
        <f t="shared" si="46"/>
        <v>0</v>
      </c>
      <c r="CB29" s="83"/>
      <c r="CC29" s="80">
        <f>C29*5.15053/100</f>
        <v>0</v>
      </c>
      <c r="CD29" s="80">
        <f t="shared" si="47"/>
        <v>0</v>
      </c>
      <c r="CE29" s="80">
        <f t="shared" si="48"/>
        <v>0</v>
      </c>
      <c r="CF29" s="80">
        <f t="shared" si="49"/>
        <v>0</v>
      </c>
      <c r="CG29" s="80">
        <f t="shared" si="50"/>
        <v>0</v>
      </c>
      <c r="CH29" s="83"/>
      <c r="CI29" s="80">
        <f>C29*14.16042/100</f>
        <v>0</v>
      </c>
      <c r="CJ29" s="80">
        <f t="shared" si="51"/>
        <v>0</v>
      </c>
      <c r="CK29" s="80">
        <f t="shared" si="52"/>
        <v>0</v>
      </c>
      <c r="CL29" s="80">
        <f t="shared" si="53"/>
        <v>0</v>
      </c>
      <c r="CM29" s="80">
        <f t="shared" si="54"/>
        <v>0</v>
      </c>
      <c r="CN29" s="80"/>
      <c r="CO29" s="80">
        <f>C29*6.15602/100</f>
        <v>0</v>
      </c>
      <c r="CP29" s="80">
        <f t="shared" si="55"/>
        <v>0</v>
      </c>
      <c r="CQ29" s="80">
        <f t="shared" si="56"/>
        <v>0</v>
      </c>
      <c r="CR29" s="80">
        <f t="shared" si="57"/>
        <v>0</v>
      </c>
      <c r="CS29" s="80">
        <f t="shared" si="58"/>
        <v>0</v>
      </c>
      <c r="CT29" s="83"/>
      <c r="CU29" s="80">
        <f>C29*5.37414/100</f>
        <v>0</v>
      </c>
      <c r="CV29" s="80">
        <f t="shared" si="59"/>
        <v>0</v>
      </c>
      <c r="CW29" s="80">
        <f t="shared" si="60"/>
        <v>0</v>
      </c>
      <c r="CX29" s="80">
        <f t="shared" si="61"/>
        <v>0</v>
      </c>
      <c r="CY29" s="80">
        <f t="shared" si="62"/>
        <v>0</v>
      </c>
      <c r="CZ29" s="83"/>
      <c r="DA29" s="100">
        <f>C29*0.69717/100</f>
        <v>0</v>
      </c>
      <c r="DB29" s="100">
        <f t="shared" si="63"/>
        <v>0</v>
      </c>
      <c r="DC29" s="100">
        <f t="shared" si="64"/>
        <v>0</v>
      </c>
      <c r="DD29" s="100">
        <f t="shared" si="65"/>
        <v>0</v>
      </c>
      <c r="DE29" s="100">
        <f t="shared" si="66"/>
        <v>0</v>
      </c>
      <c r="DF29" s="83"/>
      <c r="DG29" s="80">
        <f>C29*0.02011/100</f>
        <v>0</v>
      </c>
      <c r="DH29" s="80">
        <f t="shared" si="67"/>
        <v>0</v>
      </c>
      <c r="DI29" s="80">
        <f t="shared" si="68"/>
        <v>0</v>
      </c>
      <c r="DJ29" s="80">
        <f t="shared" si="69"/>
        <v>0</v>
      </c>
      <c r="DK29" s="80">
        <f t="shared" si="70"/>
        <v>0</v>
      </c>
      <c r="DL29" s="83"/>
      <c r="DM29" s="80">
        <f>C29*4.70981/100</f>
        <v>0</v>
      </c>
      <c r="DN29" s="80">
        <f t="shared" si="71"/>
        <v>0</v>
      </c>
      <c r="DO29" s="80">
        <f t="shared" si="72"/>
        <v>0</v>
      </c>
      <c r="DP29" s="80">
        <f t="shared" si="73"/>
        <v>0</v>
      </c>
      <c r="DQ29" s="80">
        <f t="shared" si="74"/>
        <v>0</v>
      </c>
      <c r="DR29" s="83"/>
      <c r="DS29" s="80">
        <f>C29*0.28727/100</f>
        <v>0</v>
      </c>
      <c r="DT29" s="80">
        <f t="shared" si="75"/>
        <v>0</v>
      </c>
      <c r="DU29" s="80">
        <f t="shared" si="76"/>
        <v>0</v>
      </c>
      <c r="DV29" s="80">
        <f t="shared" si="77"/>
        <v>0</v>
      </c>
      <c r="DW29" s="80">
        <f t="shared" si="78"/>
        <v>0</v>
      </c>
      <c r="DX29" s="83"/>
      <c r="DY29" s="80">
        <f>C29*4.87421/100</f>
        <v>0</v>
      </c>
      <c r="DZ29" s="80">
        <f t="shared" si="79"/>
        <v>0</v>
      </c>
      <c r="EA29" s="80">
        <f t="shared" si="80"/>
        <v>0</v>
      </c>
      <c r="EB29" s="80">
        <f t="shared" si="81"/>
        <v>0</v>
      </c>
      <c r="EC29" s="80">
        <f t="shared" si="82"/>
        <v>0</v>
      </c>
      <c r="ED29" s="83"/>
      <c r="EE29" s="80">
        <f>C29*0.60754/100</f>
        <v>0</v>
      </c>
      <c r="EF29" s="80">
        <f t="shared" si="83"/>
        <v>0</v>
      </c>
      <c r="EG29" s="80">
        <f t="shared" si="84"/>
        <v>0</v>
      </c>
      <c r="EH29" s="80">
        <f t="shared" si="85"/>
        <v>0</v>
      </c>
      <c r="EI29" s="80">
        <f t="shared" si="86"/>
        <v>0</v>
      </c>
      <c r="EJ29" s="83"/>
      <c r="EK29" s="80">
        <f>C29*0.26185/100</f>
        <v>0</v>
      </c>
      <c r="EL29" s="80">
        <f t="shared" si="87"/>
        <v>0</v>
      </c>
      <c r="EM29" s="80">
        <f t="shared" si="88"/>
        <v>0</v>
      </c>
      <c r="EN29" s="80">
        <f t="shared" si="89"/>
        <v>0</v>
      </c>
      <c r="EO29" s="80">
        <f t="shared" si="90"/>
        <v>0</v>
      </c>
      <c r="EP29" s="83"/>
      <c r="EQ29" s="80"/>
      <c r="ER29" s="80"/>
      <c r="ES29" s="80"/>
      <c r="ET29" s="80"/>
      <c r="EU29" s="80"/>
      <c r="EV29" s="83"/>
      <c r="EW29" s="83">
        <f t="shared" si="91"/>
        <v>0</v>
      </c>
      <c r="EX29" s="83">
        <f t="shared" si="91"/>
        <v>0</v>
      </c>
      <c r="EY29" s="80">
        <f t="shared" si="92"/>
        <v>0</v>
      </c>
      <c r="EZ29" s="80">
        <f t="shared" si="93"/>
        <v>0</v>
      </c>
      <c r="FA29" s="80">
        <f t="shared" si="94"/>
        <v>0</v>
      </c>
      <c r="FB29" s="83"/>
      <c r="FC29" s="80">
        <f t="shared" si="95"/>
        <v>0</v>
      </c>
      <c r="FD29" s="80">
        <f t="shared" si="95"/>
        <v>0</v>
      </c>
      <c r="FE29" s="80">
        <f t="shared" si="96"/>
        <v>0</v>
      </c>
      <c r="FF29" s="80">
        <f t="shared" si="97"/>
        <v>0</v>
      </c>
      <c r="FG29" s="80">
        <f t="shared" si="98"/>
        <v>0</v>
      </c>
      <c r="FH29" s="83"/>
      <c r="FI29" s="83"/>
      <c r="FJ29" s="83"/>
      <c r="FK29" s="83"/>
      <c r="FL29" s="56"/>
      <c r="FM29" s="56"/>
      <c r="FN29" s="56"/>
      <c r="FO29" s="56"/>
      <c r="FP29" s="56"/>
      <c r="FQ29" s="56"/>
    </row>
    <row r="30" spans="3:173" ht="12">
      <c r="C30" s="82"/>
      <c r="D30" s="82"/>
      <c r="E30" s="82"/>
      <c r="F30" s="82"/>
      <c r="G30" s="82"/>
      <c r="H30" s="80"/>
      <c r="I30" s="82"/>
      <c r="J30" s="82"/>
      <c r="K30" s="82"/>
      <c r="L30" s="82"/>
      <c r="M30" s="82"/>
      <c r="N30" s="80"/>
      <c r="O30" s="80"/>
      <c r="P30" s="80"/>
      <c r="Q30" s="80"/>
      <c r="R30" s="80"/>
      <c r="S30" s="80"/>
      <c r="T30" s="80"/>
      <c r="U30" s="83"/>
      <c r="V30" s="83"/>
      <c r="W30" s="83"/>
      <c r="X30" s="83"/>
      <c r="Y30" s="83"/>
      <c r="Z30" s="80"/>
      <c r="AA30" s="80"/>
      <c r="AB30" s="80"/>
      <c r="AC30" s="80"/>
      <c r="AD30" s="80"/>
      <c r="AE30" s="80"/>
      <c r="AF30" s="80"/>
      <c r="AG30" s="83"/>
      <c r="AH30" s="83"/>
      <c r="AI30" s="83"/>
      <c r="AJ30" s="83"/>
      <c r="AK30" s="83"/>
      <c r="AL30" s="80"/>
      <c r="AM30" s="83"/>
      <c r="AN30" s="83"/>
      <c r="AO30" s="83"/>
      <c r="AP30" s="83"/>
      <c r="AQ30" s="83"/>
      <c r="AR30" s="80"/>
      <c r="AS30" s="83"/>
      <c r="AT30" s="83"/>
      <c r="AU30" s="83"/>
      <c r="AV30" s="83"/>
      <c r="AW30" s="83"/>
      <c r="AX30" s="80"/>
      <c r="AY30" s="83"/>
      <c r="AZ30" s="83"/>
      <c r="BA30" s="83"/>
      <c r="BB30" s="83"/>
      <c r="BC30" s="83"/>
      <c r="BD30" s="80"/>
      <c r="BE30" s="83"/>
      <c r="BF30" s="83"/>
      <c r="BG30" s="83"/>
      <c r="BH30" s="83"/>
      <c r="BI30" s="83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3"/>
      <c r="CV30" s="83"/>
      <c r="CW30" s="83"/>
      <c r="CX30" s="83"/>
      <c r="CY30" s="83"/>
      <c r="CZ30" s="83"/>
      <c r="DA30" s="101"/>
      <c r="DB30" s="101"/>
      <c r="DC30" s="101"/>
      <c r="DD30" s="101"/>
      <c r="DE30" s="101"/>
      <c r="DF30" s="83"/>
      <c r="DG30" s="83"/>
      <c r="DH30" s="83"/>
      <c r="DI30" s="83"/>
      <c r="DJ30" s="83"/>
      <c r="DK30" s="83"/>
      <c r="DL30" s="80"/>
      <c r="DM30" s="80"/>
      <c r="DN30" s="80"/>
      <c r="DO30" s="80"/>
      <c r="DP30" s="80" t="s">
        <v>88</v>
      </c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3"/>
      <c r="ER30" s="83"/>
      <c r="ES30" s="83"/>
      <c r="ET30" s="83"/>
      <c r="EU30" s="83"/>
      <c r="EV30" s="80"/>
      <c r="EW30" s="83"/>
      <c r="EX30" s="83"/>
      <c r="EY30" s="83"/>
      <c r="EZ30" s="83"/>
      <c r="FA30" s="83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39"/>
      <c r="FM30" s="39"/>
      <c r="FN30" s="39"/>
      <c r="FO30" s="39"/>
      <c r="FP30" s="39"/>
      <c r="FQ30" s="39"/>
    </row>
    <row r="31" spans="1:173" ht="12.75" thickBot="1">
      <c r="A31" s="37" t="s">
        <v>4</v>
      </c>
      <c r="C31" s="84">
        <f>SUM(C8:C29)</f>
        <v>16405000</v>
      </c>
      <c r="D31" s="84">
        <f>SUM(D8:D29)</f>
        <v>2479400</v>
      </c>
      <c r="E31" s="84">
        <f>SUM(E8:E29)</f>
        <v>18884400</v>
      </c>
      <c r="F31" s="84">
        <f>SUM(F8:F29)</f>
        <v>1053607</v>
      </c>
      <c r="G31" s="84">
        <f>SUM(G8:G29)</f>
        <v>1032736</v>
      </c>
      <c r="H31" s="80"/>
      <c r="I31" s="84">
        <f>SUM(I8:I29)</f>
        <v>46267.0215</v>
      </c>
      <c r="J31" s="84">
        <f>SUM(J8:J29)</f>
        <v>6992.65182</v>
      </c>
      <c r="K31" s="84">
        <f>SUM(K8:K29)</f>
        <v>53259.673319999994</v>
      </c>
      <c r="L31" s="84">
        <f>SUM(L8:L29)</f>
        <v>2971.4878221000004</v>
      </c>
      <c r="M31" s="84">
        <f>SUM(M8:M29)</f>
        <v>2912.6253408</v>
      </c>
      <c r="N31" s="80"/>
      <c r="O31" s="84">
        <f>SUM(O8:O29)</f>
        <v>16358732.9785</v>
      </c>
      <c r="P31" s="84">
        <f>SUM(P8:P29)</f>
        <v>2472407.3481800007</v>
      </c>
      <c r="Q31" s="84">
        <f>SUM(Q8:Q29)</f>
        <v>18831140.32668</v>
      </c>
      <c r="R31" s="84">
        <f>SUM(R8:R29)</f>
        <v>1050635.5121779002</v>
      </c>
      <c r="S31" s="84">
        <f>SUM(S8:S29)</f>
        <v>1029823.3746592003</v>
      </c>
      <c r="T31" s="80"/>
      <c r="U31" s="84">
        <f>SUM(U8:U29)</f>
        <v>2468962.343</v>
      </c>
      <c r="V31" s="84">
        <f>SUM(V8:V29)</f>
        <v>373151.18764</v>
      </c>
      <c r="W31" s="84">
        <v>17251907</v>
      </c>
      <c r="X31" s="84">
        <f>SUM(X8:X30)</f>
        <v>158568.4856642</v>
      </c>
      <c r="Y31" s="84">
        <f>SUM(Y8:Y30)</f>
        <v>155427.3876416</v>
      </c>
      <c r="Z31" s="80"/>
      <c r="AA31" s="84">
        <f>SUM(AA8:AA29)</f>
        <v>2776684.052</v>
      </c>
      <c r="AB31" s="84">
        <f>SUM(AB8:AB29)</f>
        <v>419659.27696</v>
      </c>
      <c r="AC31" s="84">
        <f>SUM(AC8:AC29)</f>
        <v>3196343.3289599996</v>
      </c>
      <c r="AD31" s="84">
        <f>SUM(AD8:AD29)</f>
        <v>178331.83504879999</v>
      </c>
      <c r="AE31" s="84">
        <f>SUM(AE8:AE29)</f>
        <v>174799.24298240003</v>
      </c>
      <c r="AF31" s="80"/>
      <c r="AG31" s="84">
        <f>SUM(AG8:AG29)</f>
        <v>1600744.1230000001</v>
      </c>
      <c r="AH31" s="84">
        <f>SUM(AH8:AH29)</f>
        <v>241931.42204</v>
      </c>
      <c r="AI31" s="84">
        <f>SUM(AI8:AI29)</f>
        <v>1842675.54504</v>
      </c>
      <c r="AJ31" s="84">
        <f>SUM(AJ8:AJ29)</f>
        <v>102807.3887962</v>
      </c>
      <c r="AK31" s="84">
        <f>SUM(AK8:AK29)</f>
        <v>100770.86757759997</v>
      </c>
      <c r="AL31" s="80"/>
      <c r="AM31" s="84">
        <f>SUM(AM8:AM29)</f>
        <v>1227308.9054999999</v>
      </c>
      <c r="AN31" s="84">
        <f>SUM(AN8:AN29)</f>
        <v>185491.60014000005</v>
      </c>
      <c r="AO31" s="84">
        <f>SUM(AO8:AO29)</f>
        <v>1412800.50564</v>
      </c>
      <c r="AP31" s="84">
        <f>SUM(AP8:AP29)</f>
        <v>78823.60585169999</v>
      </c>
      <c r="AQ31" s="84">
        <f>SUM(AQ8:AQ29)</f>
        <v>77262.1816416</v>
      </c>
      <c r="AR31" s="80"/>
      <c r="AS31" s="84">
        <f>SUM(AS8:AS29)</f>
        <v>35454.486</v>
      </c>
      <c r="AT31" s="84">
        <f>SUM(AT8:AT29)</f>
        <v>5358.4792800000005</v>
      </c>
      <c r="AU31" s="84">
        <f>SUM(AU8:AU29)</f>
        <v>40812.96528</v>
      </c>
      <c r="AV31" s="84">
        <f>SUM(AV8:AV29)</f>
        <v>2277.0554484</v>
      </c>
      <c r="AW31" s="84">
        <f>SUM(AW8:AW29)</f>
        <v>2231.9490432000002</v>
      </c>
      <c r="AX31" s="80"/>
      <c r="AY31" s="84">
        <f>SUM(AY8:AY29)</f>
        <v>3126.7930000000006</v>
      </c>
      <c r="AZ31" s="84">
        <f>SUM(AZ8:AZ29)</f>
        <v>472.57364</v>
      </c>
      <c r="BA31" s="84">
        <f>SUM(BA8:BA29)</f>
        <v>3599.3666399999997</v>
      </c>
      <c r="BB31" s="84">
        <f>SUM(BB8:BB29)</f>
        <v>200.81749419999994</v>
      </c>
      <c r="BC31" s="84">
        <f>SUM(BC8:BC29)</f>
        <v>196.83948160000003</v>
      </c>
      <c r="BD31" s="80"/>
      <c r="BE31" s="84">
        <f>SUM(BE8:BE29)</f>
        <v>2245.8445</v>
      </c>
      <c r="BF31" s="84">
        <f>SUM(BF8:BF29)</f>
        <v>339.42986</v>
      </c>
      <c r="BG31" s="84">
        <f>SUM(BG8:BG29)</f>
        <v>2585.27436</v>
      </c>
      <c r="BH31" s="84">
        <f>SUM(BH8:BH29)</f>
        <v>144.23879829999998</v>
      </c>
      <c r="BI31" s="84">
        <f>SUM(BI8:BI29)</f>
        <v>141.38155839999996</v>
      </c>
      <c r="BJ31" s="80"/>
      <c r="BK31" s="84">
        <f>SUM(BK8:BK29)</f>
        <v>38973.3585</v>
      </c>
      <c r="BL31" s="84">
        <f>SUM(BL8:BL29)</f>
        <v>5890.3105799999985</v>
      </c>
      <c r="BM31" s="84">
        <f>SUM(BM8:BM29)</f>
        <v>44863.66908000001</v>
      </c>
      <c r="BN31" s="84">
        <f>SUM(BN8:BN29)</f>
        <v>2503.054149899999</v>
      </c>
      <c r="BO31" s="84">
        <f>SUM(BO8:BO29)</f>
        <v>2453.4709152000005</v>
      </c>
      <c r="BP31" s="80"/>
      <c r="BQ31" s="84">
        <f>SUM(BQ8:BQ29)</f>
        <v>969904.6125</v>
      </c>
      <c r="BR31" s="84">
        <f>SUM(BR8:BR29)</f>
        <v>146588.3265</v>
      </c>
      <c r="BS31" s="84">
        <f>SUM(BS8:BS29)</f>
        <v>1116492.939</v>
      </c>
      <c r="BT31" s="84">
        <f>SUM(BT8:BT29)</f>
        <v>62291.8798575</v>
      </c>
      <c r="BU31" s="84">
        <f>SUM(BU8:BU29)</f>
        <v>61057.934160000004</v>
      </c>
      <c r="BV31" s="80"/>
      <c r="BW31" s="84">
        <f>SUM(BW8:BW29)</f>
        <v>296166.027</v>
      </c>
      <c r="BX31" s="84">
        <f>SUM(BX8:BX29)</f>
        <v>44761.59996000001</v>
      </c>
      <c r="BY31" s="84">
        <f>SUM(BY8:BY29)</f>
        <v>340927.62696</v>
      </c>
      <c r="BZ31" s="84">
        <f>SUM(BZ8:BZ29)</f>
        <v>19021.1886138</v>
      </c>
      <c r="CA31" s="84">
        <f>SUM(CA8:CA29)</f>
        <v>18644.3961024</v>
      </c>
      <c r="CB31" s="80"/>
      <c r="CC31" s="84">
        <f>SUM(CC8:CC29)</f>
        <v>844944.4465</v>
      </c>
      <c r="CD31" s="84">
        <f>SUM(CD8:CD29)</f>
        <v>127702.24082000004</v>
      </c>
      <c r="CE31" s="84">
        <f>SUM(CE8:CE29)</f>
        <v>972646.68732</v>
      </c>
      <c r="CF31" s="84">
        <f>SUM(CF8:CF29)</f>
        <v>54266.34461709998</v>
      </c>
      <c r="CG31" s="84">
        <f>SUM(CG8:CG29)</f>
        <v>53191.377500799994</v>
      </c>
      <c r="CH31" s="80"/>
      <c r="CI31" s="84">
        <f>SUM(CI8:CI29)</f>
        <v>2323016.9009999996</v>
      </c>
      <c r="CJ31" s="84">
        <f>SUM(CJ8:CJ29)</f>
        <v>351093.45348</v>
      </c>
      <c r="CK31" s="84">
        <f>SUM(CK8:CK29)</f>
        <v>2674110.35448</v>
      </c>
      <c r="CL31" s="84">
        <f>SUM(CL8:CL29)</f>
        <v>149195.17634940002</v>
      </c>
      <c r="CM31" s="84">
        <f>SUM(CM8:CM29)</f>
        <v>146239.75509120003</v>
      </c>
      <c r="CN31" s="82"/>
      <c r="CO31" s="84">
        <f>SUM(CO8:CO29)</f>
        <v>1009895.081</v>
      </c>
      <c r="CP31" s="84">
        <f>SUM(CP8:CP29)</f>
        <v>152632.35987999995</v>
      </c>
      <c r="CQ31" s="84">
        <f>SUM(CQ8:CQ29)</f>
        <v>1162527.44088</v>
      </c>
      <c r="CR31" s="84">
        <f>SUM(CR8:CR29)</f>
        <v>64860.25764139999</v>
      </c>
      <c r="CS31" s="84">
        <f>SUM(CS8:CS29)</f>
        <v>63575.434707199995</v>
      </c>
      <c r="CT31" s="80"/>
      <c r="CU31" s="84">
        <f>SUM(CU8:CU29)</f>
        <v>881627.6669999999</v>
      </c>
      <c r="CV31" s="84">
        <f>SUM(CV8:CV29)</f>
        <v>133246.42716</v>
      </c>
      <c r="CW31" s="84">
        <f>SUM(CW8:CW29)</f>
        <v>1014874.09416</v>
      </c>
      <c r="CX31" s="84">
        <f>SUM(CX8:CX29)</f>
        <v>56622.31522979999</v>
      </c>
      <c r="CY31" s="84">
        <f>SUM(CY8:CY29)</f>
        <v>55500.67847040002</v>
      </c>
      <c r="CZ31" s="82"/>
      <c r="DA31" s="102">
        <f>SUM(DA8:DA29)</f>
        <v>114370.73849999999</v>
      </c>
      <c r="DB31" s="102">
        <f>SUM(DB8:DB29)</f>
        <v>17285.632979999995</v>
      </c>
      <c r="DC31" s="102">
        <f>SUM(DC8:DC29)</f>
        <v>131656.37148</v>
      </c>
      <c r="DD31" s="102">
        <f>SUM(DD8:DD29)</f>
        <v>7345.431921900001</v>
      </c>
      <c r="DE31" s="102">
        <f>SUM(DE8:DE29)</f>
        <v>7199.9255711999995</v>
      </c>
      <c r="DF31" s="82"/>
      <c r="DG31" s="84">
        <f>SUM(DG8:DG29)</f>
        <v>3299.0455</v>
      </c>
      <c r="DH31" s="84">
        <f>SUM(DH8:DH29)</f>
        <v>498.6073399999999</v>
      </c>
      <c r="DI31" s="84">
        <f>SUM(DI8:DI29)</f>
        <v>3797.6528399999997</v>
      </c>
      <c r="DJ31" s="84">
        <f>SUM(DJ8:DJ29)</f>
        <v>211.88036769999997</v>
      </c>
      <c r="DK31" s="84">
        <f>SUM(DK8:DK29)</f>
        <v>207.68320960000003</v>
      </c>
      <c r="DL31" s="80"/>
      <c r="DM31" s="84">
        <f>SUM(DM8:DM29)</f>
        <v>772644.3304999999</v>
      </c>
      <c r="DN31" s="84">
        <f>SUM(DN8:DN29)</f>
        <v>116775.02914</v>
      </c>
      <c r="DO31" s="84">
        <f>SUM(DO8:DO29)</f>
        <v>889419.3596399999</v>
      </c>
      <c r="DP31" s="84">
        <f>SUM(DP8:DP29)</f>
        <v>49622.8878467</v>
      </c>
      <c r="DQ31" s="84">
        <f>SUM(DQ8:DQ29)</f>
        <v>48639.90340160001</v>
      </c>
      <c r="DR31" s="80"/>
      <c r="DS31" s="84">
        <f>SUM(DS8:DS29)</f>
        <v>47126.643500000006</v>
      </c>
      <c r="DT31" s="84">
        <f>SUM(DT8:DT29)</f>
        <v>7122.5723800000005</v>
      </c>
      <c r="DU31" s="84">
        <f>SUM(DU8:DU29)</f>
        <v>54249.21588</v>
      </c>
      <c r="DV31" s="84">
        <f>SUM(DV8:DV29)</f>
        <v>3026.6968289000006</v>
      </c>
      <c r="DW31" s="84">
        <f>SUM(DW8:DW29)</f>
        <v>2966.7407072000005</v>
      </c>
      <c r="DX31" s="80"/>
      <c r="DY31" s="84">
        <f>SUM(DY8:DY29)</f>
        <v>799614.1505</v>
      </c>
      <c r="DZ31" s="84">
        <f>SUM(DZ8:DZ29)</f>
        <v>120851.16274</v>
      </c>
      <c r="EA31" s="84">
        <f>SUM(EA8:EA29)</f>
        <v>920465.31324</v>
      </c>
      <c r="EB31" s="84">
        <f>SUM(EB8:EB29)</f>
        <v>51355.01775470001</v>
      </c>
      <c r="EC31" s="84">
        <f>SUM(EC8:EC29)</f>
        <v>50337.72138560001</v>
      </c>
      <c r="ED31" s="80"/>
      <c r="EE31" s="84">
        <f>SUM(EE8:EE29)</f>
        <v>99666.937</v>
      </c>
      <c r="EF31" s="84">
        <f>SUM(EF8:EF29)</f>
        <v>15063.346759999997</v>
      </c>
      <c r="EG31" s="84">
        <f>SUM(EG8:EG29)</f>
        <v>114730.28375999999</v>
      </c>
      <c r="EH31" s="84">
        <f>SUM(EH8:EH29)</f>
        <v>6401.083967800001</v>
      </c>
      <c r="EI31" s="84">
        <f>SUM(EI8:EI29)</f>
        <v>6274.284294400001</v>
      </c>
      <c r="EJ31" s="80"/>
      <c r="EK31" s="84">
        <f>SUM(EK8:EK29)</f>
        <v>42956.4925</v>
      </c>
      <c r="EL31" s="84">
        <f>SUM(EL8:EL29)</f>
        <v>6492.3089</v>
      </c>
      <c r="EM31" s="84">
        <f>SUM(EM8:EM29)</f>
        <v>49448.8014</v>
      </c>
      <c r="EN31" s="84">
        <f>SUM(EN8:EN29)</f>
        <v>2758.8699295</v>
      </c>
      <c r="EO31" s="84">
        <f>SUM(EO8:EO29)</f>
        <v>2704.2192160000004</v>
      </c>
      <c r="EP31" s="80"/>
      <c r="EQ31" s="84">
        <f>SUM(EQ8:EQ29)</f>
        <v>0</v>
      </c>
      <c r="ER31" s="84">
        <f>SUM(ER8:ER29)</f>
        <v>0</v>
      </c>
      <c r="ES31" s="84">
        <f>SUM(ES8:ES29)</f>
        <v>0</v>
      </c>
      <c r="ET31" s="82"/>
      <c r="EU31" s="82"/>
      <c r="EV31" s="80"/>
      <c r="EW31" s="84">
        <f>SUM(EW8:EW30)</f>
        <v>14269.069</v>
      </c>
      <c r="EX31" s="84">
        <f>SUM(EX8:EX30)</f>
        <v>2156.5821200000005</v>
      </c>
      <c r="EY31" s="84">
        <v>17251907</v>
      </c>
      <c r="EZ31" s="84">
        <f>SUM(EZ8:EZ30)</f>
        <v>916.4273685999999</v>
      </c>
      <c r="FA31" s="84">
        <f>SUM(FA8:FA30)</f>
        <v>898.2737727999997</v>
      </c>
      <c r="FB31" s="80"/>
      <c r="FC31" s="84">
        <f>SUM(FC8:FC30)</f>
        <v>31997.9525</v>
      </c>
      <c r="FD31" s="84">
        <f>SUM(FD8:FD30)</f>
        <v>4836.0697</v>
      </c>
      <c r="FE31" s="84">
        <f>SUM(FE8:FE30)</f>
        <v>36834.0222</v>
      </c>
      <c r="FF31" s="84">
        <f>SUM(FF8:FF30)</f>
        <v>2055.0604534999998</v>
      </c>
      <c r="FG31" s="84">
        <f>SUM(FG8:FG30)</f>
        <v>2014.351568</v>
      </c>
      <c r="FH31" s="80"/>
      <c r="FI31" s="80"/>
      <c r="FJ31" s="80"/>
      <c r="FK31" s="80"/>
      <c r="FL31" s="39"/>
      <c r="FM31" s="39"/>
      <c r="FN31" s="39"/>
      <c r="FO31" s="39"/>
      <c r="FP31" s="39"/>
      <c r="FQ31" s="39"/>
    </row>
    <row r="32" ht="12.75" thickTop="1"/>
    <row r="33" spans="21:27" ht="12">
      <c r="U33" s="23">
        <f>SUM(U8:U30)</f>
        <v>2468962.343</v>
      </c>
      <c r="AA33" s="23">
        <f>SUM(AA8:AA30)</f>
        <v>2776684.052</v>
      </c>
    </row>
  </sheetData>
  <sheetProtection/>
  <printOptions/>
  <pageMargins left="0.7" right="0.7" top="0.75" bottom="0.75" header="0.3" footer="0.3"/>
  <pageSetup horizontalDpi="600" verticalDpi="600" orientation="landscape" scale="77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0" sqref="N10"/>
    </sheetView>
  </sheetViews>
  <sheetFormatPr defaultColWidth="8.8515625" defaultRowHeight="12.75"/>
  <cols>
    <col min="1" max="1" width="6.7109375" style="0" customWidth="1"/>
    <col min="2" max="2" width="20.7109375" style="0" customWidth="1"/>
    <col min="3" max="3" width="25.7109375" style="0" customWidth="1"/>
    <col min="4" max="9" width="13.7109375" style="6" customWidth="1"/>
    <col min="10" max="10" width="12.7109375" style="6" customWidth="1"/>
    <col min="11" max="13" width="13.7109375" style="6" customWidth="1"/>
    <col min="14" max="14" width="13.7109375" style="13" customWidth="1"/>
    <col min="15" max="15" width="10.28125" style="0" bestFit="1" customWidth="1"/>
  </cols>
  <sheetData>
    <row r="1" ht="12">
      <c r="A1" s="21" t="s">
        <v>48</v>
      </c>
    </row>
    <row r="2" spans="5:13" ht="12">
      <c r="E2" s="13"/>
      <c r="F2" s="13"/>
      <c r="G2" s="13"/>
      <c r="H2" s="13"/>
      <c r="I2" s="13"/>
      <c r="J2" s="13"/>
      <c r="K2" s="13"/>
      <c r="L2" s="13"/>
      <c r="M2" s="13"/>
    </row>
    <row r="3" spans="1:14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6" t="s">
        <v>0</v>
      </c>
    </row>
    <row r="4" spans="1:14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19</v>
      </c>
      <c r="H4" s="4" t="s">
        <v>6</v>
      </c>
      <c r="I4" s="4" t="s">
        <v>49</v>
      </c>
      <c r="J4" s="5" t="s">
        <v>7</v>
      </c>
      <c r="K4" s="5" t="s">
        <v>20</v>
      </c>
      <c r="L4" s="5" t="s">
        <v>8</v>
      </c>
      <c r="M4" s="5" t="s">
        <v>18</v>
      </c>
      <c r="N4" s="17" t="s">
        <v>9</v>
      </c>
    </row>
    <row r="5" spans="1:14" s="12" customFormat="1" ht="12.75" thickBot="1">
      <c r="A5" s="9"/>
      <c r="B5" s="9"/>
      <c r="C5" s="9" t="s">
        <v>10</v>
      </c>
      <c r="D5" s="10">
        <f aca="true" t="shared" si="0" ref="D5:L5">SUM(D7:D30)</f>
        <v>74918330.94</v>
      </c>
      <c r="E5" s="10">
        <f t="shared" si="0"/>
        <v>37057407.47</v>
      </c>
      <c r="F5" s="10">
        <f t="shared" si="0"/>
        <v>243146.76</v>
      </c>
      <c r="G5" s="10">
        <f t="shared" si="0"/>
        <v>9640585.5</v>
      </c>
      <c r="H5" s="10">
        <f t="shared" si="0"/>
        <v>19246957</v>
      </c>
      <c r="I5" s="10">
        <f t="shared" si="0"/>
        <v>522309.72</v>
      </c>
      <c r="J5" s="10">
        <f t="shared" si="0"/>
        <v>161191.93</v>
      </c>
      <c r="K5" s="10">
        <f t="shared" si="0"/>
        <v>3528509.5</v>
      </c>
      <c r="L5" s="10">
        <f t="shared" si="0"/>
        <v>215215.87</v>
      </c>
      <c r="M5" s="10">
        <f>SUM(M7:M30)</f>
        <v>4303007.1899999995</v>
      </c>
      <c r="N5" s="18"/>
    </row>
    <row r="6" spans="1:14" ht="12.75" thickTop="1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19"/>
    </row>
    <row r="7" spans="1:14" ht="12">
      <c r="A7" t="s">
        <v>17</v>
      </c>
      <c r="B7" s="34" t="s">
        <v>72</v>
      </c>
      <c r="C7" t="s">
        <v>11</v>
      </c>
      <c r="D7" s="6">
        <f aca="true" t="shared" si="1" ref="D7:D29">SUM(E7:M7)</f>
        <v>65164.12</v>
      </c>
      <c r="F7" s="6">
        <f>65164.12</f>
        <v>65164.12</v>
      </c>
      <c r="N7" s="13">
        <f>D7/D5</f>
        <v>0.0008698020789089406</v>
      </c>
    </row>
    <row r="8" spans="1:15" ht="12">
      <c r="A8" s="34" t="s">
        <v>7</v>
      </c>
      <c r="B8" s="34" t="s">
        <v>72</v>
      </c>
      <c r="C8" t="s">
        <v>11</v>
      </c>
      <c r="D8" s="6">
        <f t="shared" si="1"/>
        <v>146124</v>
      </c>
      <c r="J8" s="6">
        <f>146124</f>
        <v>146124</v>
      </c>
      <c r="N8" s="13">
        <f>D8/D5</f>
        <v>0.0019504438789089767</v>
      </c>
      <c r="O8" s="13">
        <f>SUM(N7:N8)</f>
        <v>0.0028202459578179173</v>
      </c>
    </row>
    <row r="9" spans="1:14" ht="12">
      <c r="A9" t="s">
        <v>5</v>
      </c>
      <c r="B9" s="21" t="s">
        <v>28</v>
      </c>
      <c r="C9" t="s">
        <v>51</v>
      </c>
      <c r="D9" s="6">
        <f t="shared" si="1"/>
        <v>11275251.68</v>
      </c>
      <c r="E9" s="6">
        <f>11275251.68</f>
        <v>11275251.68</v>
      </c>
      <c r="N9" s="13">
        <v>0.1505006</v>
      </c>
    </row>
    <row r="10" spans="1:14" ht="12">
      <c r="A10" t="s">
        <v>5</v>
      </c>
      <c r="B10" s="34" t="s">
        <v>50</v>
      </c>
      <c r="C10" t="s">
        <v>51</v>
      </c>
      <c r="D10" s="6">
        <f t="shared" si="1"/>
        <v>12680561.08</v>
      </c>
      <c r="E10" s="6">
        <f>12680561.08</f>
        <v>12680561.08</v>
      </c>
      <c r="N10" s="13">
        <v>0.1692584</v>
      </c>
    </row>
    <row r="11" spans="1:14" ht="12">
      <c r="A11" t="s">
        <v>5</v>
      </c>
      <c r="B11" s="34" t="s">
        <v>28</v>
      </c>
      <c r="C11" t="s">
        <v>52</v>
      </c>
      <c r="D11" s="6">
        <f t="shared" si="1"/>
        <v>14279.61</v>
      </c>
      <c r="E11" s="6">
        <v>14279.61</v>
      </c>
      <c r="N11" s="13">
        <f>D11/D5</f>
        <v>0.00019060235086438513</v>
      </c>
    </row>
    <row r="12" spans="1:14" ht="12">
      <c r="A12" t="s">
        <v>5</v>
      </c>
      <c r="B12" s="21" t="s">
        <v>56</v>
      </c>
      <c r="C12" t="s">
        <v>54</v>
      </c>
      <c r="D12" s="6">
        <f t="shared" si="1"/>
        <v>7310274.54</v>
      </c>
      <c r="E12" s="6">
        <f>1000877.87+6309396.67</f>
        <v>7310274.54</v>
      </c>
      <c r="N12" s="13">
        <f>D12/D5</f>
        <v>0.09757658036795554</v>
      </c>
    </row>
    <row r="13" spans="1:14" ht="12">
      <c r="A13" t="s">
        <v>5</v>
      </c>
      <c r="B13" t="s">
        <v>23</v>
      </c>
      <c r="C13" t="s">
        <v>55</v>
      </c>
      <c r="D13" s="6">
        <f t="shared" si="1"/>
        <v>5604872.71</v>
      </c>
      <c r="E13" s="6">
        <v>5604872.71</v>
      </c>
      <c r="N13" s="13">
        <f>D13/D5</f>
        <v>0.0748131016758607</v>
      </c>
    </row>
    <row r="14" spans="1:14" ht="12">
      <c r="A14" t="s">
        <v>5</v>
      </c>
      <c r="B14" t="s">
        <v>23</v>
      </c>
      <c r="C14" t="s">
        <v>27</v>
      </c>
      <c r="D14" s="6">
        <f t="shared" si="1"/>
        <v>161914.68</v>
      </c>
      <c r="E14" s="6">
        <v>161914.68</v>
      </c>
      <c r="N14" s="13">
        <f>D14/D5</f>
        <v>0.0021612157928301012</v>
      </c>
    </row>
    <row r="15" spans="1:14" ht="12">
      <c r="A15" t="s">
        <v>5</v>
      </c>
      <c r="B15" t="s">
        <v>21</v>
      </c>
      <c r="C15" t="s">
        <v>22</v>
      </c>
      <c r="D15" s="6">
        <f t="shared" si="1"/>
        <v>10253.17</v>
      </c>
      <c r="E15" s="6">
        <v>10253.17</v>
      </c>
      <c r="N15" s="13">
        <f>D15/D5</f>
        <v>0.00013685796081350875</v>
      </c>
    </row>
    <row r="16" spans="1:14" ht="12">
      <c r="A16" t="s">
        <v>17</v>
      </c>
      <c r="B16" t="s">
        <v>23</v>
      </c>
      <c r="C16" t="s">
        <v>26</v>
      </c>
      <c r="D16" s="6">
        <f t="shared" si="1"/>
        <v>177982.64</v>
      </c>
      <c r="F16" s="6">
        <v>177982.64</v>
      </c>
      <c r="N16" s="13">
        <f>D16/D5</f>
        <v>0.002375688803619255</v>
      </c>
    </row>
    <row r="17" spans="1:14" ht="12">
      <c r="A17" t="s">
        <v>19</v>
      </c>
      <c r="B17" t="s">
        <v>50</v>
      </c>
      <c r="C17" t="s">
        <v>57</v>
      </c>
      <c r="D17" s="6">
        <f t="shared" si="1"/>
        <v>4429360.46</v>
      </c>
      <c r="G17" s="6">
        <v>4429360.46</v>
      </c>
      <c r="N17" s="13">
        <f>D17/D5</f>
        <v>0.0591225192075802</v>
      </c>
    </row>
    <row r="18" spans="1:14" ht="12">
      <c r="A18" t="s">
        <v>19</v>
      </c>
      <c r="B18" s="34" t="s">
        <v>23</v>
      </c>
      <c r="C18" t="s">
        <v>24</v>
      </c>
      <c r="D18" s="6">
        <f t="shared" si="1"/>
        <v>3858691.39</v>
      </c>
      <c r="G18" s="6">
        <v>3858691.39</v>
      </c>
      <c r="N18" s="13">
        <f>D18/D5</f>
        <v>0.051505303729875114</v>
      </c>
    </row>
    <row r="19" spans="1:14" ht="12">
      <c r="A19" t="s">
        <v>19</v>
      </c>
      <c r="B19" s="21" t="s">
        <v>59</v>
      </c>
      <c r="C19" t="s">
        <v>58</v>
      </c>
      <c r="D19" s="6">
        <f t="shared" si="1"/>
        <v>1352533.65</v>
      </c>
      <c r="G19" s="6">
        <f>1227277.38+125256.27</f>
        <v>1352533.65</v>
      </c>
      <c r="N19" s="13">
        <f>D19/D5</f>
        <v>0.01805344076716293</v>
      </c>
    </row>
    <row r="20" spans="1:14" ht="12">
      <c r="A20" t="s">
        <v>6</v>
      </c>
      <c r="B20" s="21" t="s">
        <v>61</v>
      </c>
      <c r="C20" t="s">
        <v>60</v>
      </c>
      <c r="D20" s="6">
        <f t="shared" si="1"/>
        <v>10608749</v>
      </c>
      <c r="H20" s="6">
        <f>2616418.98+7992330.02</f>
        <v>10608749</v>
      </c>
      <c r="N20" s="13">
        <f>D20/D5</f>
        <v>0.14160418240625583</v>
      </c>
    </row>
    <row r="21" spans="1:14" ht="12">
      <c r="A21" t="s">
        <v>6</v>
      </c>
      <c r="B21" s="34" t="s">
        <v>28</v>
      </c>
      <c r="C21" t="s">
        <v>30</v>
      </c>
      <c r="D21" s="6">
        <f t="shared" si="1"/>
        <v>4026219</v>
      </c>
      <c r="H21" s="6">
        <f>4026219</f>
        <v>4026219</v>
      </c>
      <c r="N21" s="13">
        <f>D21/D5</f>
        <v>0.05374144017202528</v>
      </c>
    </row>
    <row r="22" spans="1:14" ht="12">
      <c r="A22" t="s">
        <v>6</v>
      </c>
      <c r="B22" t="s">
        <v>23</v>
      </c>
      <c r="C22" t="s">
        <v>62</v>
      </c>
      <c r="D22" s="6">
        <f t="shared" si="1"/>
        <v>4611989</v>
      </c>
      <c r="H22" s="6">
        <f>4611989</f>
        <v>4611989</v>
      </c>
      <c r="N22" s="13">
        <f>D22/D5</f>
        <v>0.061560220871626374</v>
      </c>
    </row>
    <row r="23" spans="1:14" ht="12">
      <c r="A23" t="s">
        <v>49</v>
      </c>
      <c r="B23" t="s">
        <v>50</v>
      </c>
      <c r="C23" t="s">
        <v>63</v>
      </c>
      <c r="D23" s="6">
        <f t="shared" si="1"/>
        <v>522309.72</v>
      </c>
      <c r="I23" s="6">
        <v>522309.72</v>
      </c>
      <c r="N23" s="13">
        <f>D23/D5</f>
        <v>0.006971721252283413</v>
      </c>
    </row>
    <row r="24" spans="1:14" ht="12">
      <c r="A24" t="s">
        <v>7</v>
      </c>
      <c r="B24" t="s">
        <v>28</v>
      </c>
      <c r="C24" t="s">
        <v>31</v>
      </c>
      <c r="D24" s="6">
        <f t="shared" si="1"/>
        <v>15067.93</v>
      </c>
      <c r="J24" s="6">
        <f>15067.93</f>
        <v>15067.93</v>
      </c>
      <c r="N24" s="13">
        <f>D24/D5</f>
        <v>0.00020112474224856245</v>
      </c>
    </row>
    <row r="25" spans="1:14" ht="12">
      <c r="A25" t="s">
        <v>20</v>
      </c>
      <c r="B25" t="s">
        <v>65</v>
      </c>
      <c r="C25" t="s">
        <v>24</v>
      </c>
      <c r="D25" s="6">
        <f t="shared" si="1"/>
        <v>3528509.5</v>
      </c>
      <c r="K25" s="6">
        <f>3528509.5</f>
        <v>3528509.5</v>
      </c>
      <c r="N25" s="13">
        <f>D25/D5</f>
        <v>0.047098079411644726</v>
      </c>
    </row>
    <row r="26" spans="1:14" ht="12">
      <c r="A26" t="s">
        <v>8</v>
      </c>
      <c r="B26" s="21" t="s">
        <v>66</v>
      </c>
      <c r="C26" t="s">
        <v>64</v>
      </c>
      <c r="D26" s="6">
        <f t="shared" si="1"/>
        <v>215215.87</v>
      </c>
      <c r="L26" s="6">
        <f>79402.9+135812.97</f>
        <v>215215.87</v>
      </c>
      <c r="N26" s="13">
        <f>D26/D5</f>
        <v>0.002872673046765556</v>
      </c>
    </row>
    <row r="27" spans="1:14" ht="12">
      <c r="A27" t="s">
        <v>18</v>
      </c>
      <c r="B27" s="21" t="s">
        <v>53</v>
      </c>
      <c r="C27" t="s">
        <v>29</v>
      </c>
      <c r="D27" s="6">
        <f t="shared" si="1"/>
        <v>455161.53</v>
      </c>
      <c r="M27" s="6">
        <f>261068.04+194093.49</f>
        <v>455161.53</v>
      </c>
      <c r="N27" s="13">
        <f>D27/D5</f>
        <v>0.006075436068704283</v>
      </c>
    </row>
    <row r="28" spans="1:14" ht="12">
      <c r="A28" t="s">
        <v>18</v>
      </c>
      <c r="B28" s="34" t="s">
        <v>50</v>
      </c>
      <c r="C28" t="s">
        <v>67</v>
      </c>
      <c r="D28" s="6">
        <f t="shared" si="1"/>
        <v>196170.17</v>
      </c>
      <c r="M28" s="6">
        <f>196170.17</f>
        <v>196170.17</v>
      </c>
      <c r="N28" s="13">
        <f>D28/D5</f>
        <v>0.0026184535552067657</v>
      </c>
    </row>
    <row r="29" spans="1:14" ht="12">
      <c r="A29" t="s">
        <v>18</v>
      </c>
      <c r="B29" s="21" t="s">
        <v>61</v>
      </c>
      <c r="C29" t="s">
        <v>25</v>
      </c>
      <c r="D29" s="6">
        <f t="shared" si="1"/>
        <v>3651675.4899999998</v>
      </c>
      <c r="M29" s="6">
        <f>3036580.3+615095.19</f>
        <v>3651675.4899999998</v>
      </c>
      <c r="N29" s="13">
        <f>D29/D5</f>
        <v>0.04874208280113081</v>
      </c>
    </row>
    <row r="30" spans="4:14" ht="12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0"/>
    </row>
    <row r="31" spans="3:14" s="13" customFormat="1" ht="12.75" thickBot="1">
      <c r="C31" s="14"/>
      <c r="D31" s="15">
        <f>SUM(E31:M31)</f>
        <v>0.9999999999999999</v>
      </c>
      <c r="E31" s="15">
        <f>E5/D5</f>
        <v>0.494637387206053</v>
      </c>
      <c r="F31" s="15">
        <f>F5/D5</f>
        <v>0.0032454908825281957</v>
      </c>
      <c r="G31" s="15">
        <f>G5/D5</f>
        <v>0.12868126370461824</v>
      </c>
      <c r="H31" s="15">
        <f>H5/D5</f>
        <v>0.25690584344990747</v>
      </c>
      <c r="I31" s="15">
        <f>I5/D5</f>
        <v>0.006971721252283413</v>
      </c>
      <c r="J31" s="15">
        <f>J5/D5</f>
        <v>0.002151568621157539</v>
      </c>
      <c r="K31" s="15">
        <f>K5/D5</f>
        <v>0.047098079411644726</v>
      </c>
      <c r="L31" s="15">
        <f>L5/D5</f>
        <v>0.002872673046765556</v>
      </c>
      <c r="M31" s="15">
        <f>M5/D5</f>
        <v>0.05743597242504185</v>
      </c>
      <c r="N31" s="15">
        <f>SUM(N7:N30)</f>
        <v>0.9999999709422712</v>
      </c>
    </row>
    <row r="32" spans="1:14" s="13" customFormat="1" ht="12.75" thickTop="1">
      <c r="A32" s="40"/>
      <c r="C32" s="1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13" customFormat="1" ht="12">
      <c r="A33" s="40"/>
      <c r="C33" s="14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">
      <c r="A34" s="66"/>
    </row>
    <row r="35" spans="1:14" s="58" customFormat="1" ht="12">
      <c r="A35" s="40"/>
      <c r="B35" s="7"/>
      <c r="C35" s="7"/>
      <c r="D35" s="19"/>
      <c r="E35" s="33"/>
      <c r="F35" s="33"/>
      <c r="G35" s="40"/>
      <c r="H35" s="8"/>
      <c r="I35" s="8"/>
      <c r="J35" s="8"/>
      <c r="K35" s="8"/>
      <c r="L35" s="8"/>
      <c r="M35" s="8"/>
      <c r="N35" s="32"/>
    </row>
    <row r="36" spans="1:14" s="58" customFormat="1" ht="12">
      <c r="A36" s="7"/>
      <c r="B36" s="7"/>
      <c r="C36" s="7"/>
      <c r="D36" s="19"/>
      <c r="E36" s="33"/>
      <c r="F36" s="33"/>
      <c r="G36" s="40"/>
      <c r="H36" s="8"/>
      <c r="I36" s="8"/>
      <c r="J36" s="8"/>
      <c r="K36" s="8"/>
      <c r="L36" s="8"/>
      <c r="M36" s="8"/>
      <c r="N36" s="32"/>
    </row>
    <row r="37" spans="4:7" ht="12">
      <c r="D37" s="13"/>
      <c r="G37" s="41"/>
    </row>
    <row r="38" spans="4:7" ht="12">
      <c r="D38" s="13"/>
      <c r="G38" s="41"/>
    </row>
    <row r="39" ht="12">
      <c r="D39" s="13"/>
    </row>
    <row r="40" ht="12">
      <c r="D40" s="13"/>
    </row>
    <row r="41" ht="12">
      <c r="D41" s="13"/>
    </row>
    <row r="42" ht="12">
      <c r="D42" s="13"/>
    </row>
    <row r="43" ht="12">
      <c r="D43" s="13"/>
    </row>
    <row r="44" ht="12">
      <c r="D44" s="13"/>
    </row>
    <row r="45" ht="12">
      <c r="D45" s="13"/>
    </row>
    <row r="46" ht="12">
      <c r="D46" s="13"/>
    </row>
    <row r="47" ht="12">
      <c r="D47" s="13"/>
    </row>
    <row r="48" spans="3:4" ht="12">
      <c r="C48" s="21"/>
      <c r="D48" s="13"/>
    </row>
    <row r="49" ht="12">
      <c r="D49" s="13"/>
    </row>
    <row r="50" ht="12">
      <c r="D50" s="13"/>
    </row>
    <row r="51" ht="12">
      <c r="D51" s="13"/>
    </row>
  </sheetData>
  <sheetProtection/>
  <printOptions/>
  <pageMargins left="0" right="0" top="1" bottom="0" header="0.5" footer="0.5"/>
  <pageSetup horizontalDpi="300" verticalDpi="300" orientation="landscape" scale="65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2011-04-28T20:55:29Z</cp:lastPrinted>
  <dcterms:created xsi:type="dcterms:W3CDTF">1998-02-23T20:58:01Z</dcterms:created>
  <dcterms:modified xsi:type="dcterms:W3CDTF">2011-04-28T20:56:29Z</dcterms:modified>
  <cp:category/>
  <cp:version/>
  <cp:contentType/>
  <cp:contentStatus/>
</cp:coreProperties>
</file>