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480" windowHeight="11080" activeTab="0"/>
  </bookViews>
  <sheets>
    <sheet name="2011A" sheetId="1" r:id="rId1"/>
    <sheet name="Academic Project " sheetId="2" r:id="rId2"/>
    <sheet name="Percentage-10,2012" sheetId="3" r:id="rId3"/>
    <sheet name="Percentage-04,2012" sheetId="4" r:id="rId4"/>
    <sheet name="Percentage - Final" sheetId="5" r:id="rId5"/>
  </sheets>
  <definedNames>
    <definedName name="_xlnm.Print_Titles" localSheetId="0">'2011A'!$A:$A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<sst xmlns="http://schemas.openxmlformats.org/spreadsheetml/2006/main" count="804" uniqueCount="163">
  <si>
    <t>Payment</t>
  </si>
  <si>
    <t xml:space="preserve">   UMCP Fraternity/Sorority Houses (Auxiliary)</t>
  </si>
  <si>
    <t xml:space="preserve">   UMBC Resident Hall Renovation (Auxiliary)</t>
  </si>
  <si>
    <t xml:space="preserve"> USMO Shady Grove Parking Garage (Auxiliary)</t>
  </si>
  <si>
    <t xml:space="preserve">         BSU New Student Center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</si>
  <si>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</si>
  <si>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</si>
  <si>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</si>
  <si>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</si>
  <si>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</si>
  <si>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</si>
  <si>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</si>
  <si>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</si>
  <si>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</si>
  <si>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</si>
  <si>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</si>
  <si>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</si>
  <si>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</si>
  <si>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</si>
  <si>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</si>
  <si>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</si>
  <si>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</si>
  <si>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</si>
  <si>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</si>
  <si>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</si>
  <si>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</si>
  <si>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</si>
  <si>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</si>
  <si>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</si>
  <si>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</si>
  <si>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</si>
  <si>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</si>
  <si>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</si>
  <si>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</si>
  <si>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</si>
  <si>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</si>
  <si>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</si>
  <si>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</si>
  <si>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</si>
  <si>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</si>
  <si>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</si>
  <si>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</si>
  <si>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</si>
  <si>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</si>
  <si>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</si>
  <si>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</si>
  <si>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</si>
  <si>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</si>
  <si>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</si>
  <si>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</si>
  <si>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</si>
  <si>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</si>
  <si>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</si>
  <si>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</si>
  <si>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</si>
  <si>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</si>
  <si>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</si>
  <si>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</si>
  <si>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</si>
  <si>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</si>
  <si>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</si>
  <si>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</si>
  <si>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</si>
  <si>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</si>
  <si>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26th Aux</t>
  </si>
  <si>
    <t>Hillcrest Demolition/Parking Lot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</si>
  <si>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</si>
  <si>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</si>
  <si>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</si>
  <si>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</si>
  <si>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</si>
  <si>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</si>
  <si>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</si>
  <si>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</si>
  <si>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</si>
  <si>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</si>
  <si>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</si>
  <si>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</si>
  <si>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</si>
  <si>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</si>
  <si>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</si>
  <si>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</si>
  <si>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College of Liberal Arts Complex</t>
  </si>
  <si>
    <t>26,27,28,29th Acad</t>
  </si>
  <si>
    <t>26th Acad</t>
  </si>
  <si>
    <t>Dental School</t>
  </si>
  <si>
    <t>26,28,29,32th Acad</t>
  </si>
  <si>
    <t>Utilities Upgrade/Site Improvement</t>
  </si>
  <si>
    <t>32nd Aux</t>
  </si>
  <si>
    <t>Parking System Improvements</t>
  </si>
  <si>
    <t>29,32th Aux</t>
  </si>
  <si>
    <t>28,29,32th Aux</t>
  </si>
  <si>
    <t>29,32nd Aux</t>
  </si>
  <si>
    <t>27,28,29th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</si>
  <si>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</si>
  <si>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</si>
  <si>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</si>
  <si>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</si>
  <si>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 xml:space="preserve">   UMCP High Rise Residence - 32nd (Auxiliary)</t>
  </si>
  <si>
    <t>2011 Series A Bonds</t>
  </si>
  <si>
    <t>33rd Acad</t>
  </si>
  <si>
    <t>New Performing Arts &amp; Humanities Facility</t>
  </si>
  <si>
    <t>29, 32, 33 Acad</t>
  </si>
  <si>
    <t>29,32th Acad</t>
  </si>
  <si>
    <t>28,29,32th Acad</t>
  </si>
  <si>
    <t>27,28,29,32th Acad</t>
  </si>
  <si>
    <t>27,28,32th Acad</t>
  </si>
  <si>
    <t>24,25,26,27,28,29,32th Acad</t>
  </si>
  <si>
    <t>19,24,32th Acad</t>
  </si>
  <si>
    <t>28,29,32,33 Acad</t>
  </si>
  <si>
    <t>Campus-Wide Safety &amp; Circulation Improve</t>
  </si>
  <si>
    <t>26,29,32th Acad</t>
  </si>
  <si>
    <t>19th Acad</t>
  </si>
  <si>
    <t>33rd Aux</t>
  </si>
  <si>
    <t>Replace Carroll, Caroline, Wicomico &amp; Sci</t>
  </si>
  <si>
    <t>29,32,33th Aux</t>
  </si>
  <si>
    <t>28,32th Aux</t>
  </si>
  <si>
    <t>28,29,32,33th Aux</t>
  </si>
  <si>
    <t>Burdick PH 2 Air Conditioning</t>
  </si>
  <si>
    <t>Ward Hall Renovation, Health Center</t>
  </si>
  <si>
    <t>26,27,28th Aux</t>
  </si>
  <si>
    <t xml:space="preserve">          Total Debt Services - 2011 Series A </t>
  </si>
  <si>
    <t xml:space="preserve">    2011 Series A Bond Funded Projects</t>
  </si>
  <si>
    <t>2011A Balance</t>
  </si>
  <si>
    <t>2011A</t>
  </si>
  <si>
    <t>Balance</t>
  </si>
  <si>
    <t>UMBC New Performing Arts &amp; Humanities (Acad)</t>
  </si>
  <si>
    <t>BSU Fine and performing Arts Center (Acad)</t>
  </si>
  <si>
    <t xml:space="preserve">  CSU New Physical Edu. Complex (Acad)</t>
  </si>
  <si>
    <t xml:space="preserve">   TU Campus-Wide Safety &amp; Circulation (Acad)</t>
  </si>
  <si>
    <t xml:space="preserve">         Total Academic Projects - 2011A</t>
  </si>
  <si>
    <t xml:space="preserve">        Total Academic Projects - 2011A</t>
  </si>
  <si>
    <t xml:space="preserve"> UMCP Repl Carroll, Caroline, Wicomico (Aux)</t>
  </si>
  <si>
    <t xml:space="preserve">   TU Burdick PH 2 Air Conditioning (Auxiliary)</t>
  </si>
  <si>
    <t>TU West Village Dining Commons (Auxiliary)</t>
  </si>
  <si>
    <t xml:space="preserve">                         2011 A Bonds</t>
  </si>
  <si>
    <t xml:space="preserve">           Total Auxiliary Projects - 2011A</t>
  </si>
  <si>
    <t>29,32,33th Acad</t>
  </si>
  <si>
    <t>24,25,26,27,28,29,32,33th Acad</t>
  </si>
  <si>
    <t>28,29,32,33th Acad</t>
  </si>
  <si>
    <t>26,27,29,32th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</si>
  <si>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</si>
  <si>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</si>
  <si>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</si>
  <si>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</si>
  <si>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</si>
  <si>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</si>
  <si>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</si>
  <si>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</si>
  <si>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</si>
  <si>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     CSU Parking Garage (Auxiliary)</t>
  </si>
  <si>
    <t>28,29,32,33,34 Acad</t>
  </si>
  <si>
    <t>29,32,33,34th Acad</t>
  </si>
  <si>
    <t>27,28,32,33th Acad</t>
  </si>
  <si>
    <t>28,29,32,33,34th Acad</t>
  </si>
  <si>
    <t>27,28,29,32,33th Acad</t>
  </si>
  <si>
    <t>New Campus Center</t>
  </si>
  <si>
    <t>21,25,27th Aux</t>
  </si>
  <si>
    <t xml:space="preserve">      CEES Emergency Funds (Academic)</t>
  </si>
  <si>
    <t>Amort of</t>
  </si>
  <si>
    <t>Premium</t>
  </si>
  <si>
    <t xml:space="preserve">        UMCP/ UMBI Facilities Renewal (Academic) </t>
  </si>
  <si>
    <t xml:space="preserve">      UMCP/ UMBI Emergency Projects (Academic)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</si>
</sst>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7">
    <font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0" fillId="34" borderId="13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573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0" sqref="D10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6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6" customWidth="1"/>
    <col min="62" max="62" width="3.7109375" style="6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2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</cols>
  <sheetData>
    <row r="1" spans="1:113" ht="12">
      <c r="A1" s="1"/>
      <c r="B1" s="2"/>
      <c r="D1" s="4"/>
      <c r="H1" s="4" t="s">
        <v>95</v>
      </c>
      <c r="M1" s="4"/>
      <c r="W1" s="4" t="s">
        <v>95</v>
      </c>
      <c r="AL1" s="4" t="s">
        <v>95</v>
      </c>
      <c r="BA1" s="4" t="s">
        <v>95</v>
      </c>
      <c r="BK1" s="4"/>
      <c r="BP1" s="4" t="s">
        <v>95</v>
      </c>
      <c r="BU1" s="4"/>
      <c r="CE1" s="4" t="s">
        <v>95</v>
      </c>
      <c r="CJ1" s="4"/>
      <c r="CT1" s="4" t="s">
        <v>95</v>
      </c>
      <c r="DI1" s="4" t="s">
        <v>95</v>
      </c>
    </row>
    <row r="2" spans="1:113" ht="12">
      <c r="A2" s="1"/>
      <c r="B2" s="2"/>
      <c r="D2" s="4"/>
      <c r="H2" s="4" t="s">
        <v>94</v>
      </c>
      <c r="M2" s="4"/>
      <c r="W2" s="4" t="s">
        <v>94</v>
      </c>
      <c r="AL2" s="4" t="s">
        <v>94</v>
      </c>
      <c r="BA2" s="4" t="s">
        <v>94</v>
      </c>
      <c r="BK2" s="4"/>
      <c r="BP2" s="4" t="s">
        <v>94</v>
      </c>
      <c r="BU2" s="4"/>
      <c r="CE2" s="4" t="s">
        <v>94</v>
      </c>
      <c r="CJ2" s="4"/>
      <c r="CT2" s="4" t="s">
        <v>94</v>
      </c>
      <c r="DI2" s="4" t="s">
        <v>94</v>
      </c>
    </row>
    <row r="3" spans="1:113" ht="12">
      <c r="A3" s="1"/>
      <c r="B3" s="2"/>
      <c r="D3" s="7"/>
      <c r="H3" s="4" t="s">
        <v>122</v>
      </c>
      <c r="M3" s="4"/>
      <c r="N3" s="8"/>
      <c r="W3" s="4" t="s">
        <v>122</v>
      </c>
      <c r="AL3" s="4" t="s">
        <v>122</v>
      </c>
      <c r="BA3" s="4" t="s">
        <v>122</v>
      </c>
      <c r="BK3" s="4"/>
      <c r="BP3" s="4" t="s">
        <v>122</v>
      </c>
      <c r="BU3" s="4"/>
      <c r="CE3" s="4" t="s">
        <v>122</v>
      </c>
      <c r="CJ3" s="4"/>
      <c r="CT3" s="4" t="s">
        <v>122</v>
      </c>
      <c r="DI3" s="4" t="s">
        <v>122</v>
      </c>
    </row>
    <row r="4" spans="1:4" ht="12">
      <c r="A4" s="1"/>
      <c r="B4" s="2"/>
      <c r="C4" s="7"/>
      <c r="D4" s="4"/>
    </row>
    <row r="5" spans="1:116" ht="12">
      <c r="A5" s="9" t="s">
        <v>0</v>
      </c>
      <c r="C5" s="10" t="s">
        <v>121</v>
      </c>
      <c r="D5" s="11"/>
      <c r="E5" s="12"/>
      <c r="F5" s="12"/>
      <c r="H5" s="13" t="s">
        <v>131</v>
      </c>
      <c r="I5" s="14"/>
      <c r="J5" s="15"/>
      <c r="K5" s="74"/>
      <c r="M5" s="13" t="s">
        <v>136</v>
      </c>
      <c r="N5" s="16"/>
      <c r="O5" s="15"/>
      <c r="P5" s="74"/>
      <c r="R5" s="20" t="s">
        <v>132</v>
      </c>
      <c r="S5" s="18"/>
      <c r="T5" s="19"/>
      <c r="U5" s="74"/>
      <c r="W5" s="17" t="s">
        <v>1</v>
      </c>
      <c r="X5" s="18"/>
      <c r="Y5" s="19"/>
      <c r="Z5" s="74"/>
      <c r="AB5" s="20" t="s">
        <v>98</v>
      </c>
      <c r="AC5" s="18"/>
      <c r="AD5" s="19"/>
      <c r="AE5" s="74"/>
      <c r="AG5" s="20" t="s">
        <v>147</v>
      </c>
      <c r="AH5" s="18"/>
      <c r="AI5" s="19"/>
      <c r="AJ5" s="74"/>
      <c r="AL5" s="17" t="s">
        <v>148</v>
      </c>
      <c r="AM5" s="18"/>
      <c r="AN5" s="19"/>
      <c r="AO5" s="74"/>
      <c r="AQ5" s="20" t="s">
        <v>149</v>
      </c>
      <c r="AR5" s="18"/>
      <c r="AS5" s="19"/>
      <c r="AT5" s="74"/>
      <c r="AV5" s="17" t="s">
        <v>2</v>
      </c>
      <c r="AW5" s="18"/>
      <c r="AX5" s="19"/>
      <c r="AY5" s="74"/>
      <c r="BA5" s="17" t="s">
        <v>3</v>
      </c>
      <c r="BB5" s="18"/>
      <c r="BC5" s="19"/>
      <c r="BD5" s="74"/>
      <c r="BE5" s="21"/>
      <c r="BF5" s="17" t="s">
        <v>4</v>
      </c>
      <c r="BG5" s="18"/>
      <c r="BH5" s="19"/>
      <c r="BI5" s="74"/>
      <c r="BK5" s="20" t="s">
        <v>150</v>
      </c>
      <c r="BL5" s="18"/>
      <c r="BM5" s="19"/>
      <c r="BN5" s="74"/>
      <c r="BP5" s="17" t="s">
        <v>5</v>
      </c>
      <c r="BQ5" s="18"/>
      <c r="BR5" s="19"/>
      <c r="BS5" s="74"/>
      <c r="BU5" s="17" t="s">
        <v>6</v>
      </c>
      <c r="BV5" s="18"/>
      <c r="BW5" s="19"/>
      <c r="BX5" s="74"/>
      <c r="BZ5" s="20" t="s">
        <v>7</v>
      </c>
      <c r="CA5" s="18"/>
      <c r="CB5" s="19"/>
      <c r="CC5" s="74"/>
      <c r="CE5" s="17" t="s">
        <v>133</v>
      </c>
      <c r="CF5" s="18"/>
      <c r="CG5" s="19"/>
      <c r="CH5" s="74"/>
      <c r="CJ5" s="20" t="s">
        <v>8</v>
      </c>
      <c r="CK5" s="18"/>
      <c r="CL5" s="19"/>
      <c r="CM5" s="74"/>
      <c r="CO5" s="20" t="s">
        <v>9</v>
      </c>
      <c r="CP5" s="18"/>
      <c r="CQ5" s="19"/>
      <c r="CR5" s="74"/>
      <c r="CT5" s="20" t="s">
        <v>10</v>
      </c>
      <c r="CU5" s="18"/>
      <c r="CV5" s="19"/>
      <c r="CW5" s="74"/>
      <c r="CY5" s="20" t="s">
        <v>134</v>
      </c>
      <c r="CZ5" s="18"/>
      <c r="DA5" s="19"/>
      <c r="DB5" s="74"/>
      <c r="DD5" s="17" t="s">
        <v>11</v>
      </c>
      <c r="DE5" s="18"/>
      <c r="DF5" s="19"/>
      <c r="DG5" s="74"/>
      <c r="DI5" s="20" t="s">
        <v>12</v>
      </c>
      <c r="DJ5" s="18"/>
      <c r="DK5" s="19"/>
      <c r="DL5" s="21"/>
    </row>
    <row r="6" spans="1:116" s="8" customFormat="1" ht="12">
      <c r="A6" s="22" t="s">
        <v>13</v>
      </c>
      <c r="C6" s="42" t="s">
        <v>135</v>
      </c>
      <c r="D6" s="14"/>
      <c r="E6" s="41"/>
      <c r="F6" s="31" t="s">
        <v>159</v>
      </c>
      <c r="G6" s="5"/>
      <c r="H6" s="23">
        <v>0.0276096</v>
      </c>
      <c r="I6" s="24">
        <v>0.1184027</v>
      </c>
      <c r="J6" s="25">
        <v>0.150722</v>
      </c>
      <c r="K6" s="31" t="s">
        <v>159</v>
      </c>
      <c r="L6" s="5"/>
      <c r="M6" s="23">
        <f>R6+W6+AB6+AG6+AL6+AQ6+AV6+BA6+BF6+BP6+BU6+BZ6+CE6+CJ6+CO6+CT6+CY6+DD6+DI6+BK6</f>
        <v>0.977088</v>
      </c>
      <c r="N6" s="26">
        <f>S6+AM6+AR6+CA6+DE6+DJ6+X6+AW6+BQ6+BV6+CK6+CU6+CZ6+AC6+AH6+BB6+CF6+CP6+BG6+BL6</f>
        <v>0.8815973000000001</v>
      </c>
      <c r="O6" s="25">
        <f>T6+Y6+AD6+AI6+AN6+AS6+AX6+BC6+BH6+BM6+BR6+BW6+CB6+CG6+CL6+CQ6+CV6+DA6+DF6+DK6</f>
        <v>0.8492780000000001</v>
      </c>
      <c r="P6" s="31" t="s">
        <v>159</v>
      </c>
      <c r="Q6" s="5"/>
      <c r="R6" s="27">
        <v>0.0027577</v>
      </c>
      <c r="S6" s="28">
        <v>0.0225364</v>
      </c>
      <c r="T6" s="25">
        <v>0.0383301</v>
      </c>
      <c r="U6" s="31" t="s">
        <v>159</v>
      </c>
      <c r="V6" s="5"/>
      <c r="W6" s="27">
        <v>0.0314922</v>
      </c>
      <c r="X6" s="28">
        <v>0.0639529</v>
      </c>
      <c r="Y6" s="25">
        <v>0.0694557</v>
      </c>
      <c r="Z6" s="31" t="s">
        <v>159</v>
      </c>
      <c r="AA6" s="5"/>
      <c r="AB6" s="27">
        <v>0.0028391</v>
      </c>
      <c r="AC6" s="28">
        <v>0.0537729</v>
      </c>
      <c r="AD6" s="25">
        <v>0.0559651</v>
      </c>
      <c r="AE6" s="31" t="s">
        <v>159</v>
      </c>
      <c r="AF6" s="5"/>
      <c r="AG6" s="27">
        <v>0</v>
      </c>
      <c r="AH6" s="28">
        <v>0.0405662</v>
      </c>
      <c r="AI6" s="25">
        <v>0.066509</v>
      </c>
      <c r="AJ6" s="31" t="s">
        <v>159</v>
      </c>
      <c r="AK6" s="5"/>
      <c r="AL6" s="27">
        <v>0</v>
      </c>
      <c r="AM6" s="28">
        <v>0.00163</v>
      </c>
      <c r="AN6" s="25">
        <v>0.0039726</v>
      </c>
      <c r="AO6" s="31" t="s">
        <v>159</v>
      </c>
      <c r="AP6" s="5"/>
      <c r="AQ6" s="27">
        <v>0</v>
      </c>
      <c r="AR6" s="28">
        <v>0.0003304</v>
      </c>
      <c r="AS6" s="25">
        <v>0.0003576</v>
      </c>
      <c r="AT6" s="31" t="s">
        <v>159</v>
      </c>
      <c r="AV6" s="27">
        <v>0.0037598</v>
      </c>
      <c r="AW6" s="28">
        <v>0.0424374</v>
      </c>
      <c r="AX6" s="25">
        <v>0.0731656</v>
      </c>
      <c r="AY6" s="31" t="s">
        <v>159</v>
      </c>
      <c r="BA6" s="27">
        <v>2.5E-06</v>
      </c>
      <c r="BB6" s="28">
        <v>2.5E-06</v>
      </c>
      <c r="BC6" s="25">
        <v>2.6E-06</v>
      </c>
      <c r="BD6" s="31" t="s">
        <v>159</v>
      </c>
      <c r="BE6" s="72"/>
      <c r="BF6" s="27">
        <v>0.0031753</v>
      </c>
      <c r="BG6" s="28">
        <v>0.0638023</v>
      </c>
      <c r="BH6" s="25">
        <v>0.093455</v>
      </c>
      <c r="BI6" s="31" t="s">
        <v>159</v>
      </c>
      <c r="BK6" s="27">
        <v>0</v>
      </c>
      <c r="BL6" s="28">
        <v>1.49E-05</v>
      </c>
      <c r="BM6" s="25">
        <v>0.0002205</v>
      </c>
      <c r="BN6" s="31" t="s">
        <v>159</v>
      </c>
      <c r="BP6" s="27">
        <v>0.0072025</v>
      </c>
      <c r="BQ6" s="28">
        <v>0.0214144</v>
      </c>
      <c r="BR6" s="25">
        <v>0.0391863</v>
      </c>
      <c r="BS6" s="31" t="s">
        <v>159</v>
      </c>
      <c r="BU6" s="27">
        <v>8.66E-05</v>
      </c>
      <c r="BV6" s="28">
        <v>0.0001901</v>
      </c>
      <c r="BW6" s="25">
        <v>0.0001978</v>
      </c>
      <c r="BX6" s="31" t="s">
        <v>159</v>
      </c>
      <c r="BZ6" s="27">
        <v>0.0004635</v>
      </c>
      <c r="CA6" s="28">
        <v>0.0049698</v>
      </c>
      <c r="CB6" s="25">
        <v>0.0076906</v>
      </c>
      <c r="CC6" s="31" t="s">
        <v>159</v>
      </c>
      <c r="CE6" s="27">
        <v>0.0021123</v>
      </c>
      <c r="CF6" s="28">
        <v>0.0024687</v>
      </c>
      <c r="CG6" s="25">
        <v>0.0040943</v>
      </c>
      <c r="CH6" s="31" t="s">
        <v>159</v>
      </c>
      <c r="CJ6" s="27">
        <v>0.0114827</v>
      </c>
      <c r="CK6" s="28">
        <v>0.0127301</v>
      </c>
      <c r="CL6" s="25">
        <v>0.0133414</v>
      </c>
      <c r="CM6" s="31" t="s">
        <v>159</v>
      </c>
      <c r="CO6" s="27">
        <v>0.0341885</v>
      </c>
      <c r="CP6" s="28">
        <v>0.0945673</v>
      </c>
      <c r="CQ6" s="25">
        <v>0.1174377</v>
      </c>
      <c r="CR6" s="31" t="s">
        <v>159</v>
      </c>
      <c r="CT6" s="27">
        <v>0.0324867</v>
      </c>
      <c r="CU6" s="28">
        <v>0.1778921</v>
      </c>
      <c r="CV6" s="25">
        <v>0.2431357</v>
      </c>
      <c r="CW6" s="31" t="s">
        <v>159</v>
      </c>
      <c r="CY6" s="27">
        <v>0.0078216</v>
      </c>
      <c r="CZ6" s="28">
        <v>0.0102824</v>
      </c>
      <c r="DA6" s="25">
        <v>0.0107909</v>
      </c>
      <c r="DB6" s="31" t="s">
        <v>159</v>
      </c>
      <c r="DD6" s="27">
        <v>0.0042498</v>
      </c>
      <c r="DE6" s="28">
        <v>0.0114622</v>
      </c>
      <c r="DF6" s="25">
        <v>0.0119695</v>
      </c>
      <c r="DG6" s="31" t="s">
        <v>159</v>
      </c>
      <c r="DI6" s="27">
        <v>0.8329672</v>
      </c>
      <c r="DJ6" s="28">
        <v>0.2565743</v>
      </c>
      <c r="DK6" s="25"/>
      <c r="DL6" s="72"/>
    </row>
    <row r="7" spans="1:116" ht="12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2" t="s">
        <v>14</v>
      </c>
      <c r="S7" s="32" t="s">
        <v>15</v>
      </c>
      <c r="T7" s="32" t="s">
        <v>16</v>
      </c>
      <c r="U7" s="31" t="s">
        <v>160</v>
      </c>
      <c r="W7" s="32" t="s">
        <v>14</v>
      </c>
      <c r="X7" s="32" t="s">
        <v>15</v>
      </c>
      <c r="Y7" s="32" t="s">
        <v>16</v>
      </c>
      <c r="Z7" s="31" t="s">
        <v>160</v>
      </c>
      <c r="AB7" s="32" t="s">
        <v>14</v>
      </c>
      <c r="AC7" s="32" t="s">
        <v>15</v>
      </c>
      <c r="AD7" s="32" t="s">
        <v>16</v>
      </c>
      <c r="AE7" s="31" t="s">
        <v>160</v>
      </c>
      <c r="AG7" s="32" t="s">
        <v>14</v>
      </c>
      <c r="AH7" s="32" t="s">
        <v>15</v>
      </c>
      <c r="AI7" s="32" t="s">
        <v>16</v>
      </c>
      <c r="AJ7" s="31" t="s">
        <v>160</v>
      </c>
      <c r="AL7" s="32" t="s">
        <v>14</v>
      </c>
      <c r="AM7" s="32" t="s">
        <v>15</v>
      </c>
      <c r="AN7" s="32" t="s">
        <v>16</v>
      </c>
      <c r="AO7" s="31" t="s">
        <v>160</v>
      </c>
      <c r="AQ7" s="32" t="s">
        <v>14</v>
      </c>
      <c r="AR7" s="32" t="s">
        <v>15</v>
      </c>
      <c r="AS7" s="32" t="s">
        <v>16</v>
      </c>
      <c r="AT7" s="31" t="s">
        <v>160</v>
      </c>
      <c r="AV7" s="32" t="s">
        <v>14</v>
      </c>
      <c r="AW7" s="32" t="s">
        <v>15</v>
      </c>
      <c r="AX7" s="32" t="s">
        <v>16</v>
      </c>
      <c r="AY7" s="31" t="s">
        <v>160</v>
      </c>
      <c r="BA7" s="32" t="s">
        <v>14</v>
      </c>
      <c r="BB7" s="32" t="s">
        <v>15</v>
      </c>
      <c r="BC7" s="32" t="s">
        <v>16</v>
      </c>
      <c r="BD7" s="31" t="s">
        <v>160</v>
      </c>
      <c r="BE7" s="33"/>
      <c r="BF7" s="32" t="s">
        <v>14</v>
      </c>
      <c r="BG7" s="32" t="s">
        <v>15</v>
      </c>
      <c r="BH7" s="32" t="s">
        <v>16</v>
      </c>
      <c r="BI7" s="31" t="s">
        <v>160</v>
      </c>
      <c r="BK7" s="32" t="s">
        <v>14</v>
      </c>
      <c r="BL7" s="32" t="s">
        <v>15</v>
      </c>
      <c r="BM7" s="32" t="s">
        <v>16</v>
      </c>
      <c r="BN7" s="31" t="s">
        <v>160</v>
      </c>
      <c r="BP7" s="32" t="s">
        <v>14</v>
      </c>
      <c r="BQ7" s="32" t="s">
        <v>15</v>
      </c>
      <c r="BR7" s="32" t="s">
        <v>16</v>
      </c>
      <c r="BS7" s="31" t="s">
        <v>160</v>
      </c>
      <c r="BU7" s="32" t="s">
        <v>14</v>
      </c>
      <c r="BV7" s="32" t="s">
        <v>15</v>
      </c>
      <c r="BW7" s="32" t="s">
        <v>16</v>
      </c>
      <c r="BX7" s="31" t="s">
        <v>160</v>
      </c>
      <c r="BZ7" s="32" t="s">
        <v>14</v>
      </c>
      <c r="CA7" s="32" t="s">
        <v>15</v>
      </c>
      <c r="CB7" s="32" t="s">
        <v>16</v>
      </c>
      <c r="CC7" s="31" t="s">
        <v>160</v>
      </c>
      <c r="CE7" s="32" t="s">
        <v>14</v>
      </c>
      <c r="CF7" s="32" t="s">
        <v>15</v>
      </c>
      <c r="CG7" s="32" t="s">
        <v>16</v>
      </c>
      <c r="CH7" s="31" t="s">
        <v>160</v>
      </c>
      <c r="CJ7" s="32" t="s">
        <v>14</v>
      </c>
      <c r="CK7" s="32" t="s">
        <v>15</v>
      </c>
      <c r="CL7" s="32" t="s">
        <v>16</v>
      </c>
      <c r="CM7" s="31" t="s">
        <v>160</v>
      </c>
      <c r="CO7" s="32" t="s">
        <v>14</v>
      </c>
      <c r="CP7" s="32" t="s">
        <v>15</v>
      </c>
      <c r="CQ7" s="32" t="s">
        <v>16</v>
      </c>
      <c r="CR7" s="31" t="s">
        <v>160</v>
      </c>
      <c r="CT7" s="32" t="s">
        <v>14</v>
      </c>
      <c r="CU7" s="32" t="s">
        <v>15</v>
      </c>
      <c r="CV7" s="32" t="s">
        <v>16</v>
      </c>
      <c r="CW7" s="31" t="s">
        <v>160</v>
      </c>
      <c r="CY7" s="32" t="s">
        <v>14</v>
      </c>
      <c r="CZ7" s="32" t="s">
        <v>15</v>
      </c>
      <c r="DA7" s="32" t="s">
        <v>16</v>
      </c>
      <c r="DB7" s="31" t="s">
        <v>160</v>
      </c>
      <c r="DD7" s="32" t="s">
        <v>14</v>
      </c>
      <c r="DE7" s="32" t="s">
        <v>15</v>
      </c>
      <c r="DF7" s="32" t="s">
        <v>16</v>
      </c>
      <c r="DG7" s="31" t="s">
        <v>160</v>
      </c>
      <c r="DI7" s="32" t="s">
        <v>14</v>
      </c>
      <c r="DJ7" s="32" t="s">
        <v>15</v>
      </c>
      <c r="DK7" s="32" t="s">
        <v>16</v>
      </c>
      <c r="DL7" s="33"/>
    </row>
    <row r="8" spans="1:131" ht="12">
      <c r="A8" s="37">
        <v>41913</v>
      </c>
      <c r="D8" s="3">
        <v>2361475</v>
      </c>
      <c r="E8" s="35">
        <f aca="true" t="shared" si="0" ref="E8:E41">C8+D8</f>
        <v>2361475</v>
      </c>
      <c r="F8" s="35">
        <v>280412</v>
      </c>
      <c r="H8" s="36"/>
      <c r="I8" s="36">
        <v>355926</v>
      </c>
      <c r="J8" s="36">
        <f aca="true" t="shared" si="1" ref="J8:J41">H8+I8</f>
        <v>355926</v>
      </c>
      <c r="K8" s="35">
        <f>'Academic Project '!K8</f>
        <v>42264.25746400001</v>
      </c>
      <c r="M8" s="36"/>
      <c r="N8" s="35">
        <f aca="true" t="shared" si="2" ref="N8:N41">S8+X8+AC8+AH8+AM8+AR8+AW8+BB8+BG8+BL8+BQ8+BV8+CA8+CF8+CK8+CP8+CU8+CZ8+DE8+DJ8</f>
        <v>2005548.76505</v>
      </c>
      <c r="O8" s="5">
        <f aca="true" t="shared" si="3" ref="O8:O41">M8+N8</f>
        <v>2005548.76505</v>
      </c>
      <c r="P8" s="35">
        <f aca="true" t="shared" si="4" ref="P8:P41">U8+Z8+AE8+AJ8+AO8+AT8+AY8+BD8+BI8+BN8+BS8+BX8+CC8+CH8+CM8+CR8+CW8+DB8+DG8+DL8</f>
        <v>238147.74253599998</v>
      </c>
      <c r="R8" s="36"/>
      <c r="S8" s="36">
        <f aca="true" t="shared" si="5" ref="S8:S41">D8*$T$6</f>
        <v>90515.5728975</v>
      </c>
      <c r="T8" s="5">
        <f aca="true" t="shared" si="6" ref="T8:T41">R8+S8</f>
        <v>90515.5728975</v>
      </c>
      <c r="U8" s="36">
        <f aca="true" t="shared" si="7" ref="U8:U41">T$6*$F8</f>
        <v>10748.2200012</v>
      </c>
      <c r="X8" s="36">
        <f aca="true" t="shared" si="8" ref="X8:X41">D8*$Y$6</f>
        <v>164017.89915749998</v>
      </c>
      <c r="Y8" s="36">
        <f aca="true" t="shared" si="9" ref="Y8:Y41">W8+X8</f>
        <v>164017.89915749998</v>
      </c>
      <c r="Z8" s="36">
        <f aca="true" t="shared" si="10" ref="Z8:Z41">Y$6*$F8</f>
        <v>19476.211748399997</v>
      </c>
      <c r="AC8" s="5">
        <f aca="true" t="shared" si="11" ref="AC8:AC41">D8*$AD$6</f>
        <v>132160.1845225</v>
      </c>
      <c r="AD8" s="5">
        <f aca="true" t="shared" si="12" ref="AD8:AD41">AB8+AC8</f>
        <v>132160.1845225</v>
      </c>
      <c r="AE8" s="36">
        <f aca="true" t="shared" si="13" ref="AE8:AE41">AD$6*$F8</f>
        <v>15693.285621199999</v>
      </c>
      <c r="AH8" s="5">
        <f aca="true" t="shared" si="14" ref="AH8:AH41">D8*$AI$6</f>
        <v>157059.340775</v>
      </c>
      <c r="AI8" s="5">
        <f aca="true" t="shared" si="15" ref="AI8:AI41">AG8+AH8</f>
        <v>157059.340775</v>
      </c>
      <c r="AJ8" s="36">
        <f aca="true" t="shared" si="16" ref="AJ8:AJ41">AI$6*$F8</f>
        <v>18649.921707999998</v>
      </c>
      <c r="AL8" s="36"/>
      <c r="AM8" s="36">
        <f aca="true" t="shared" si="17" ref="AM8:AM41">D8*$AN$6</f>
        <v>9381.195585</v>
      </c>
      <c r="AN8" s="5">
        <f aca="true" t="shared" si="18" ref="AN8:AN41">AL8+AM8</f>
        <v>9381.195585</v>
      </c>
      <c r="AO8" s="36">
        <f aca="true" t="shared" si="19" ref="AO8:AO41">AN$6*$F8</f>
        <v>1113.9647112</v>
      </c>
      <c r="AQ8" s="36"/>
      <c r="AR8" s="36">
        <f aca="true" t="shared" si="20" ref="AR8:AR41">D8*$AS$6</f>
        <v>844.46346</v>
      </c>
      <c r="AS8" s="5">
        <f aca="true" t="shared" si="21" ref="AS8:AS41">AQ8+AR8</f>
        <v>844.46346</v>
      </c>
      <c r="AT8" s="36">
        <f aca="true" t="shared" si="22" ref="AT8:AT41">AS$6*$F8</f>
        <v>100.27533120000001</v>
      </c>
      <c r="AU8" s="5"/>
      <c r="AV8" s="36"/>
      <c r="AW8" s="36">
        <f aca="true" t="shared" si="23" ref="AW8:AW41">D8*$AX$6</f>
        <v>172778.73526</v>
      </c>
      <c r="AX8" s="5">
        <f aca="true" t="shared" si="24" ref="AX8:AX41">AV8+AW8</f>
        <v>172778.73526</v>
      </c>
      <c r="AY8" s="36">
        <f aca="true" t="shared" si="25" ref="AY8:AY41">AX$6*$F8</f>
        <v>20516.5122272</v>
      </c>
      <c r="AZ8" s="5"/>
      <c r="BA8" s="36"/>
      <c r="BB8" s="36">
        <f aca="true" t="shared" si="26" ref="BB8:BB41">D8*$BC$6</f>
        <v>6.139835000000001</v>
      </c>
      <c r="BC8" s="5">
        <f aca="true" t="shared" si="27" ref="BC8:BC41">BA8+BB8</f>
        <v>6.139835000000001</v>
      </c>
      <c r="BD8" s="36">
        <f aca="true" t="shared" si="28" ref="BD8:BD41">BC$6*$F8</f>
        <v>0.7290712</v>
      </c>
      <c r="BE8" s="5"/>
      <c r="BF8" s="36"/>
      <c r="BG8" s="36">
        <f aca="true" t="shared" si="29" ref="BG8:BG41">D8*$BH$6</f>
        <v>220691.646125</v>
      </c>
      <c r="BH8" s="5">
        <f aca="true" t="shared" si="30" ref="BH8:BH41">BF8+BG8</f>
        <v>220691.646125</v>
      </c>
      <c r="BI8" s="36">
        <f aca="true" t="shared" si="31" ref="BI8:BI41">BH$6*$F8</f>
        <v>26205.903459999998</v>
      </c>
      <c r="BJ8" s="5"/>
      <c r="BK8" s="36"/>
      <c r="BL8" s="36">
        <f aca="true" t="shared" si="32" ref="BL8:BL41">D8*$BM$6</f>
        <v>520.7052375</v>
      </c>
      <c r="BM8" s="5">
        <f aca="true" t="shared" si="33" ref="BM8:BM41">BK8+BL8</f>
        <v>520.7052375</v>
      </c>
      <c r="BN8" s="36">
        <f aca="true" t="shared" si="34" ref="BN8:BN41">BM$6*$F8</f>
        <v>61.830846</v>
      </c>
      <c r="BO8" s="5"/>
      <c r="BP8" s="36"/>
      <c r="BQ8" s="36">
        <f aca="true" t="shared" si="35" ref="BQ8:BQ41">D8*$BR$6</f>
        <v>92537.4677925</v>
      </c>
      <c r="BR8" s="5">
        <f aca="true" t="shared" si="36" ref="BR8:BR41">BP8+BQ8</f>
        <v>92537.4677925</v>
      </c>
      <c r="BS8" s="36">
        <f aca="true" t="shared" si="37" ref="BS8:BS41">BR$6*$F8</f>
        <v>10988.308755600001</v>
      </c>
      <c r="BT8" s="5"/>
      <c r="BU8" s="5"/>
      <c r="BV8" s="5">
        <f aca="true" t="shared" si="38" ref="BV8:BV41">D8*$BW$6</f>
        <v>467.099755</v>
      </c>
      <c r="BW8" s="5">
        <f aca="true" t="shared" si="39" ref="BW8:BW41">BU8+BV8</f>
        <v>467.099755</v>
      </c>
      <c r="BX8" s="36">
        <f aca="true" t="shared" si="40" ref="BX8:BX41">BW$6*$F8</f>
        <v>55.4654936</v>
      </c>
      <c r="BY8" s="5"/>
      <c r="BZ8" s="36"/>
      <c r="CA8" s="36">
        <f aca="true" t="shared" si="41" ref="CA8:CA41">D8*$CB$6</f>
        <v>18161.159635</v>
      </c>
      <c r="CB8" s="5">
        <f aca="true" t="shared" si="42" ref="CB8:CB41">BZ8+CA8</f>
        <v>18161.159635</v>
      </c>
      <c r="CC8" s="36">
        <f aca="true" t="shared" si="43" ref="CC8:CC41">CB$6*$F8</f>
        <v>2156.5365272</v>
      </c>
      <c r="CD8" s="5"/>
      <c r="CE8" s="36"/>
      <c r="CF8" s="36">
        <f aca="true" t="shared" si="44" ref="CF8:CF41">D8*$CG$6</f>
        <v>9668.587092500002</v>
      </c>
      <c r="CG8" s="5">
        <f aca="true" t="shared" si="45" ref="CG8:CG41">CE8+CF8</f>
        <v>9668.587092500002</v>
      </c>
      <c r="CH8" s="36">
        <f aca="true" t="shared" si="46" ref="CH8:CH41">CG$6*$F8</f>
        <v>1148.0908516000002</v>
      </c>
      <c r="CI8" s="5"/>
      <c r="CJ8" s="5"/>
      <c r="CK8" s="36">
        <f aca="true" t="shared" si="47" ref="CK8:CK41">D8*$CL$6</f>
        <v>31505.382565</v>
      </c>
      <c r="CL8" s="36">
        <f aca="true" t="shared" si="48" ref="CL8:CL41">CJ8+CK8</f>
        <v>31505.382565</v>
      </c>
      <c r="CM8" s="36">
        <f aca="true" t="shared" si="49" ref="CM8:CM41">CL$6*$F8</f>
        <v>3741.0886568</v>
      </c>
      <c r="CN8" s="5"/>
      <c r="CO8" s="5"/>
      <c r="CP8" s="36">
        <f aca="true" t="shared" si="50" ref="CP8:CP41">D8*$CQ$6</f>
        <v>277326.1926075</v>
      </c>
      <c r="CQ8" s="36">
        <f aca="true" t="shared" si="51" ref="CQ8:CQ41">CO8+CP8</f>
        <v>277326.1926075</v>
      </c>
      <c r="CR8" s="36">
        <f aca="true" t="shared" si="52" ref="CR8:CR41">CQ$6*$F8</f>
        <v>32930.9403324</v>
      </c>
      <c r="CS8" s="5"/>
      <c r="CT8" s="36"/>
      <c r="CU8" s="36">
        <f aca="true" t="shared" si="53" ref="CU8:CU41">D8*$CV$6</f>
        <v>574158.8771575</v>
      </c>
      <c r="CV8" s="5">
        <f aca="true" t="shared" si="54" ref="CV8:CV41">CT8+CU8</f>
        <v>574158.8771575</v>
      </c>
      <c r="CW8" s="36">
        <f aca="true" t="shared" si="55" ref="CW8:CW41">CV$6*$F8</f>
        <v>68178.1679084</v>
      </c>
      <c r="CX8" s="5"/>
      <c r="CY8" s="5"/>
      <c r="CZ8" s="5">
        <f aca="true" t="shared" si="56" ref="CZ8:CZ41">D8*$DA$6</f>
        <v>25482.4405775</v>
      </c>
      <c r="DA8" s="5">
        <f aca="true" t="shared" si="57" ref="DA8:DA41">CY8+CZ8</f>
        <v>25482.4405775</v>
      </c>
      <c r="DB8" s="36">
        <f aca="true" t="shared" si="58" ref="DB8:DB41">DA$6*$F8</f>
        <v>3025.8978508</v>
      </c>
      <c r="DC8" s="5"/>
      <c r="DD8" s="36"/>
      <c r="DE8" s="36">
        <f aca="true" t="shared" si="59" ref="DE8:DE41">D8*$DF$6</f>
        <v>28265.6750125</v>
      </c>
      <c r="DF8" s="5">
        <f aca="true" t="shared" si="60" ref="DF8:DF41">DD8+DE8</f>
        <v>28265.6750125</v>
      </c>
      <c r="DG8" s="36">
        <f aca="true" t="shared" si="61" ref="DG8:DG41">DF$6*$F8</f>
        <v>3356.3914339999997</v>
      </c>
      <c r="DH8" s="5"/>
      <c r="DI8" s="36"/>
      <c r="DJ8" s="36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</row>
    <row r="9" spans="1:131" ht="12">
      <c r="A9" s="37">
        <v>42095</v>
      </c>
      <c r="C9" s="3">
        <v>4130000</v>
      </c>
      <c r="D9" s="3">
        <v>2361475</v>
      </c>
      <c r="E9" s="35">
        <f t="shared" si="0"/>
        <v>6491475</v>
      </c>
      <c r="F9" s="35">
        <v>280412</v>
      </c>
      <c r="H9" s="36">
        <v>622482</v>
      </c>
      <c r="I9" s="36">
        <v>355926</v>
      </c>
      <c r="J9" s="36">
        <f t="shared" si="1"/>
        <v>978408</v>
      </c>
      <c r="K9" s="35">
        <f>'Academic Project '!K9</f>
        <v>42264.25746400001</v>
      </c>
      <c r="M9" s="36">
        <f aca="true" t="shared" si="62" ref="M9:M41">R9+W9+AB9+AG9+AL9+AQ9+AV9+BA9+BF9+BK9+BP9+BU9+BZ9+CA120+CE9+CJ9+CO9+CT9+CY9+DD9+DI9</f>
        <v>3507518.14</v>
      </c>
      <c r="N9" s="35">
        <f t="shared" si="2"/>
        <v>2005548.76505</v>
      </c>
      <c r="O9" s="5">
        <f t="shared" si="3"/>
        <v>5513066.90505</v>
      </c>
      <c r="P9" s="35">
        <f t="shared" si="4"/>
        <v>238147.74253599998</v>
      </c>
      <c r="R9" s="36">
        <f aca="true" t="shared" si="63" ref="R9:R41">C9*$T$6</f>
        <v>158303.313</v>
      </c>
      <c r="S9" s="36">
        <f t="shared" si="5"/>
        <v>90515.5728975</v>
      </c>
      <c r="T9" s="5">
        <f t="shared" si="6"/>
        <v>248818.88589749997</v>
      </c>
      <c r="U9" s="36">
        <f t="shared" si="7"/>
        <v>10748.2200012</v>
      </c>
      <c r="W9" s="5">
        <f aca="true" t="shared" si="64" ref="W9:W41">C9*$Y$6</f>
        <v>286852.04099999997</v>
      </c>
      <c r="X9" s="36">
        <f t="shared" si="8"/>
        <v>164017.89915749998</v>
      </c>
      <c r="Y9" s="36">
        <f t="shared" si="9"/>
        <v>450869.9401575</v>
      </c>
      <c r="Z9" s="36">
        <f t="shared" si="10"/>
        <v>19476.211748399997</v>
      </c>
      <c r="AB9" s="5">
        <f aca="true" t="shared" si="65" ref="AB9:AB41">C9*$AD$6</f>
        <v>231135.86299999998</v>
      </c>
      <c r="AC9" s="5">
        <f t="shared" si="11"/>
        <v>132160.1845225</v>
      </c>
      <c r="AD9" s="5">
        <f t="shared" si="12"/>
        <v>363296.0475225</v>
      </c>
      <c r="AE9" s="36">
        <f t="shared" si="13"/>
        <v>15693.285621199999</v>
      </c>
      <c r="AG9" s="5">
        <f aca="true" t="shared" si="66" ref="AG9:AG41">C9*$AI$6</f>
        <v>274682.17</v>
      </c>
      <c r="AH9" s="5">
        <f t="shared" si="14"/>
        <v>157059.340775</v>
      </c>
      <c r="AI9" s="5">
        <f t="shared" si="15"/>
        <v>431741.510775</v>
      </c>
      <c r="AJ9" s="36">
        <f t="shared" si="16"/>
        <v>18649.921707999998</v>
      </c>
      <c r="AL9" s="36">
        <f aca="true" t="shared" si="67" ref="AL9:AL41">C9*$AN$6</f>
        <v>16406.838</v>
      </c>
      <c r="AM9" s="36">
        <f t="shared" si="17"/>
        <v>9381.195585</v>
      </c>
      <c r="AN9" s="5">
        <f t="shared" si="18"/>
        <v>25788.033584999997</v>
      </c>
      <c r="AO9" s="36">
        <f t="shared" si="19"/>
        <v>1113.9647112</v>
      </c>
      <c r="AQ9" s="36">
        <f aca="true" t="shared" si="68" ref="AQ9:AQ41">C9*$AS$6</f>
        <v>1476.8880000000001</v>
      </c>
      <c r="AR9" s="36">
        <f t="shared" si="20"/>
        <v>844.46346</v>
      </c>
      <c r="AS9" s="5">
        <f t="shared" si="21"/>
        <v>2321.3514600000003</v>
      </c>
      <c r="AT9" s="36">
        <f t="shared" si="22"/>
        <v>100.27533120000001</v>
      </c>
      <c r="AU9" s="5"/>
      <c r="AV9" s="36">
        <f aca="true" t="shared" si="69" ref="AV9:AV41">C9*$AX$6</f>
        <v>302173.928</v>
      </c>
      <c r="AW9" s="36">
        <f t="shared" si="23"/>
        <v>172778.73526</v>
      </c>
      <c r="AX9" s="5">
        <f t="shared" si="24"/>
        <v>474952.66326</v>
      </c>
      <c r="AY9" s="36">
        <f t="shared" si="25"/>
        <v>20516.5122272</v>
      </c>
      <c r="AZ9" s="5"/>
      <c r="BA9" s="36">
        <f aca="true" t="shared" si="70" ref="BA9:BA41">C9*$BC$6</f>
        <v>10.738</v>
      </c>
      <c r="BB9" s="36">
        <f t="shared" si="26"/>
        <v>6.139835000000001</v>
      </c>
      <c r="BC9" s="5">
        <f t="shared" si="27"/>
        <v>16.877835</v>
      </c>
      <c r="BD9" s="36">
        <f t="shared" si="28"/>
        <v>0.7290712</v>
      </c>
      <c r="BE9" s="5"/>
      <c r="BF9" s="36">
        <f aca="true" t="shared" si="71" ref="BF9:BF41">C9*$BH$6</f>
        <v>385969.14999999997</v>
      </c>
      <c r="BG9" s="36">
        <f t="shared" si="29"/>
        <v>220691.646125</v>
      </c>
      <c r="BH9" s="5">
        <f t="shared" si="30"/>
        <v>606660.796125</v>
      </c>
      <c r="BI9" s="36">
        <f t="shared" si="31"/>
        <v>26205.903459999998</v>
      </c>
      <c r="BJ9" s="5"/>
      <c r="BK9" s="36">
        <f aca="true" t="shared" si="72" ref="BK9:BK41">C9*$BM$6</f>
        <v>910.665</v>
      </c>
      <c r="BL9" s="36">
        <f t="shared" si="32"/>
        <v>520.7052375</v>
      </c>
      <c r="BM9" s="5">
        <f t="shared" si="33"/>
        <v>1431.3702374999998</v>
      </c>
      <c r="BN9" s="36">
        <f t="shared" si="34"/>
        <v>61.830846</v>
      </c>
      <c r="BO9" s="5"/>
      <c r="BP9" s="36">
        <f aca="true" t="shared" si="73" ref="BP9:BP41">C9*$BR$6</f>
        <v>161839.419</v>
      </c>
      <c r="BQ9" s="36">
        <f t="shared" si="35"/>
        <v>92537.4677925</v>
      </c>
      <c r="BR9" s="5">
        <f t="shared" si="36"/>
        <v>254376.88679249998</v>
      </c>
      <c r="BS9" s="36">
        <f t="shared" si="37"/>
        <v>10988.308755600001</v>
      </c>
      <c r="BT9" s="5"/>
      <c r="BU9" s="5">
        <f aca="true" t="shared" si="74" ref="BU9:BU41">C9*$BW$6</f>
        <v>816.914</v>
      </c>
      <c r="BV9" s="5">
        <f t="shared" si="38"/>
        <v>467.099755</v>
      </c>
      <c r="BW9" s="5">
        <f t="shared" si="39"/>
        <v>1284.013755</v>
      </c>
      <c r="BX9" s="36">
        <f t="shared" si="40"/>
        <v>55.4654936</v>
      </c>
      <c r="BY9" s="5"/>
      <c r="BZ9" s="36">
        <f aca="true" t="shared" si="75" ref="BZ9:BZ41">C9*$CB$6</f>
        <v>31762.178</v>
      </c>
      <c r="CA9" s="36">
        <f t="shared" si="41"/>
        <v>18161.159635</v>
      </c>
      <c r="CB9" s="5">
        <f t="shared" si="42"/>
        <v>49923.337635</v>
      </c>
      <c r="CC9" s="36">
        <f t="shared" si="43"/>
        <v>2156.5365272</v>
      </c>
      <c r="CD9" s="5"/>
      <c r="CE9" s="36">
        <f aca="true" t="shared" si="76" ref="CE9:CE41">C9*$CG$6</f>
        <v>16909.459000000003</v>
      </c>
      <c r="CF9" s="36">
        <f t="shared" si="44"/>
        <v>9668.587092500002</v>
      </c>
      <c r="CG9" s="5">
        <f t="shared" si="45"/>
        <v>26578.046092500004</v>
      </c>
      <c r="CH9" s="36">
        <f t="shared" si="46"/>
        <v>1148.0908516000002</v>
      </c>
      <c r="CI9" s="5"/>
      <c r="CJ9" s="5">
        <f aca="true" t="shared" si="77" ref="CJ9:CJ41">C9*$CL$6</f>
        <v>55099.981999999996</v>
      </c>
      <c r="CK9" s="36">
        <f t="shared" si="47"/>
        <v>31505.382565</v>
      </c>
      <c r="CL9" s="36">
        <f t="shared" si="48"/>
        <v>86605.364565</v>
      </c>
      <c r="CM9" s="36">
        <f t="shared" si="49"/>
        <v>3741.0886568</v>
      </c>
      <c r="CN9" s="5"/>
      <c r="CO9" s="5">
        <f aca="true" t="shared" si="78" ref="CO9:CO41">C9*$CQ$6</f>
        <v>485017.701</v>
      </c>
      <c r="CP9" s="36">
        <f t="shared" si="50"/>
        <v>277326.1926075</v>
      </c>
      <c r="CQ9" s="36">
        <f t="shared" si="51"/>
        <v>762343.8936075</v>
      </c>
      <c r="CR9" s="36">
        <f t="shared" si="52"/>
        <v>32930.9403324</v>
      </c>
      <c r="CS9" s="5"/>
      <c r="CT9" s="36">
        <f aca="true" t="shared" si="79" ref="CT9:CT41">C9*$CV$6</f>
        <v>1004150.441</v>
      </c>
      <c r="CU9" s="36">
        <f t="shared" si="53"/>
        <v>574158.8771575</v>
      </c>
      <c r="CV9" s="5">
        <f t="shared" si="54"/>
        <v>1578309.3181575001</v>
      </c>
      <c r="CW9" s="36">
        <f t="shared" si="55"/>
        <v>68178.1679084</v>
      </c>
      <c r="CX9" s="5"/>
      <c r="CY9" s="5">
        <f aca="true" t="shared" si="80" ref="CY9:CY41">C9*$DA$6</f>
        <v>44566.417</v>
      </c>
      <c r="CZ9" s="5">
        <f t="shared" si="56"/>
        <v>25482.4405775</v>
      </c>
      <c r="DA9" s="5">
        <f t="shared" si="57"/>
        <v>70048.8575775</v>
      </c>
      <c r="DB9" s="36">
        <f t="shared" si="58"/>
        <v>3025.8978508</v>
      </c>
      <c r="DC9" s="5"/>
      <c r="DD9" s="36">
        <f aca="true" t="shared" si="81" ref="DD9:DD41">C9*$DF$6</f>
        <v>49434.034999999996</v>
      </c>
      <c r="DE9" s="36">
        <f t="shared" si="59"/>
        <v>28265.6750125</v>
      </c>
      <c r="DF9" s="5">
        <f t="shared" si="60"/>
        <v>77699.7100125</v>
      </c>
      <c r="DG9" s="36">
        <f t="shared" si="61"/>
        <v>3356.3914339999997</v>
      </c>
      <c r="DH9" s="5"/>
      <c r="DI9" s="36"/>
      <c r="DJ9" s="36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</row>
    <row r="10" spans="1:131" ht="12">
      <c r="A10" s="37">
        <v>42278</v>
      </c>
      <c r="D10" s="3">
        <v>2278875</v>
      </c>
      <c r="E10" s="35">
        <f t="shared" si="0"/>
        <v>2278875</v>
      </c>
      <c r="F10" s="35">
        <v>280412</v>
      </c>
      <c r="H10" s="36"/>
      <c r="I10" s="36">
        <v>343477</v>
      </c>
      <c r="J10" s="36">
        <f t="shared" si="1"/>
        <v>343477</v>
      </c>
      <c r="K10" s="35">
        <f>'Academic Project '!K10</f>
        <v>42264.25746400001</v>
      </c>
      <c r="M10" s="36"/>
      <c r="N10" s="35">
        <f t="shared" si="2"/>
        <v>1935398.4022499998</v>
      </c>
      <c r="O10" s="5">
        <f t="shared" si="3"/>
        <v>1935398.4022499998</v>
      </c>
      <c r="P10" s="35">
        <f t="shared" si="4"/>
        <v>238147.74253599998</v>
      </c>
      <c r="R10" s="36"/>
      <c r="S10" s="36">
        <f t="shared" si="5"/>
        <v>87349.5066375</v>
      </c>
      <c r="T10" s="5">
        <f t="shared" si="6"/>
        <v>87349.5066375</v>
      </c>
      <c r="U10" s="36">
        <f t="shared" si="7"/>
        <v>10748.2200012</v>
      </c>
      <c r="X10" s="36">
        <f t="shared" si="8"/>
        <v>158280.8583375</v>
      </c>
      <c r="Y10" s="36">
        <f t="shared" si="9"/>
        <v>158280.8583375</v>
      </c>
      <c r="Z10" s="36">
        <f t="shared" si="10"/>
        <v>19476.211748399997</v>
      </c>
      <c r="AC10" s="5">
        <f t="shared" si="11"/>
        <v>127537.4672625</v>
      </c>
      <c r="AD10" s="5">
        <f t="shared" si="12"/>
        <v>127537.4672625</v>
      </c>
      <c r="AE10" s="36">
        <f t="shared" si="13"/>
        <v>15693.285621199999</v>
      </c>
      <c r="AH10" s="5">
        <f t="shared" si="14"/>
        <v>151565.697375</v>
      </c>
      <c r="AI10" s="5">
        <f t="shared" si="15"/>
        <v>151565.697375</v>
      </c>
      <c r="AJ10" s="36">
        <f t="shared" si="16"/>
        <v>18649.921707999998</v>
      </c>
      <c r="AL10" s="36"/>
      <c r="AM10" s="36">
        <f t="shared" si="17"/>
        <v>9053.058825</v>
      </c>
      <c r="AN10" s="5">
        <f t="shared" si="18"/>
        <v>9053.058825</v>
      </c>
      <c r="AO10" s="36">
        <f t="shared" si="19"/>
        <v>1113.9647112</v>
      </c>
      <c r="AQ10" s="36"/>
      <c r="AR10" s="36">
        <f t="shared" si="20"/>
        <v>814.9257</v>
      </c>
      <c r="AS10" s="5">
        <f t="shared" si="21"/>
        <v>814.9257</v>
      </c>
      <c r="AT10" s="36">
        <f t="shared" si="22"/>
        <v>100.27533120000001</v>
      </c>
      <c r="AU10" s="5"/>
      <c r="AV10" s="36"/>
      <c r="AW10" s="36">
        <f t="shared" si="23"/>
        <v>166735.2567</v>
      </c>
      <c r="AX10" s="5">
        <f t="shared" si="24"/>
        <v>166735.2567</v>
      </c>
      <c r="AY10" s="36">
        <f t="shared" si="25"/>
        <v>20516.5122272</v>
      </c>
      <c r="AZ10" s="5"/>
      <c r="BA10" s="36"/>
      <c r="BB10" s="36">
        <f t="shared" si="26"/>
        <v>5.9250750000000005</v>
      </c>
      <c r="BC10" s="5">
        <f t="shared" si="27"/>
        <v>5.9250750000000005</v>
      </c>
      <c r="BD10" s="36">
        <f t="shared" si="28"/>
        <v>0.7290712</v>
      </c>
      <c r="BE10" s="5"/>
      <c r="BF10" s="36"/>
      <c r="BG10" s="36">
        <f t="shared" si="29"/>
        <v>212972.263125</v>
      </c>
      <c r="BH10" s="5">
        <f t="shared" si="30"/>
        <v>212972.263125</v>
      </c>
      <c r="BI10" s="36">
        <f t="shared" si="31"/>
        <v>26205.903459999998</v>
      </c>
      <c r="BJ10" s="5"/>
      <c r="BK10" s="36"/>
      <c r="BL10" s="36">
        <f t="shared" si="32"/>
        <v>502.4919375</v>
      </c>
      <c r="BM10" s="5">
        <f t="shared" si="33"/>
        <v>502.4919375</v>
      </c>
      <c r="BN10" s="36">
        <f t="shared" si="34"/>
        <v>61.830846</v>
      </c>
      <c r="BO10" s="5"/>
      <c r="BP10" s="36"/>
      <c r="BQ10" s="36">
        <f t="shared" si="35"/>
        <v>89300.6794125</v>
      </c>
      <c r="BR10" s="5">
        <f t="shared" si="36"/>
        <v>89300.6794125</v>
      </c>
      <c r="BS10" s="36">
        <f t="shared" si="37"/>
        <v>10988.308755600001</v>
      </c>
      <c r="BT10" s="5"/>
      <c r="BU10" s="5"/>
      <c r="BV10" s="5">
        <f t="shared" si="38"/>
        <v>450.761475</v>
      </c>
      <c r="BW10" s="5">
        <f t="shared" si="39"/>
        <v>450.761475</v>
      </c>
      <c r="BX10" s="36">
        <f t="shared" si="40"/>
        <v>55.4654936</v>
      </c>
      <c r="BY10" s="5"/>
      <c r="BZ10" s="36"/>
      <c r="CA10" s="36">
        <f t="shared" si="41"/>
        <v>17525.916075</v>
      </c>
      <c r="CB10" s="5">
        <f t="shared" si="42"/>
        <v>17525.916075</v>
      </c>
      <c r="CC10" s="36">
        <f t="shared" si="43"/>
        <v>2156.5365272</v>
      </c>
      <c r="CD10" s="5"/>
      <c r="CE10" s="36"/>
      <c r="CF10" s="36">
        <f t="shared" si="44"/>
        <v>9330.3979125</v>
      </c>
      <c r="CG10" s="5">
        <f t="shared" si="45"/>
        <v>9330.3979125</v>
      </c>
      <c r="CH10" s="36">
        <f t="shared" si="46"/>
        <v>1148.0908516000002</v>
      </c>
      <c r="CI10" s="5"/>
      <c r="CJ10" s="5"/>
      <c r="CK10" s="36">
        <f t="shared" si="47"/>
        <v>30403.382924999998</v>
      </c>
      <c r="CL10" s="36">
        <f t="shared" si="48"/>
        <v>30403.382924999998</v>
      </c>
      <c r="CM10" s="36">
        <f t="shared" si="49"/>
        <v>3741.0886568</v>
      </c>
      <c r="CN10" s="5"/>
      <c r="CO10" s="5"/>
      <c r="CP10" s="36">
        <f t="shared" si="50"/>
        <v>267625.83858750004</v>
      </c>
      <c r="CQ10" s="36">
        <f t="shared" si="51"/>
        <v>267625.83858750004</v>
      </c>
      <c r="CR10" s="36">
        <f t="shared" si="52"/>
        <v>32930.9403324</v>
      </c>
      <c r="CS10" s="5"/>
      <c r="CT10" s="36"/>
      <c r="CU10" s="36">
        <f t="shared" si="53"/>
        <v>554075.8683375</v>
      </c>
      <c r="CV10" s="5">
        <f t="shared" si="54"/>
        <v>554075.8683375</v>
      </c>
      <c r="CW10" s="36">
        <f t="shared" si="55"/>
        <v>68178.1679084</v>
      </c>
      <c r="CX10" s="5"/>
      <c r="CY10" s="5"/>
      <c r="CZ10" s="5">
        <f t="shared" si="56"/>
        <v>24591.1122375</v>
      </c>
      <c r="DA10" s="5">
        <f t="shared" si="57"/>
        <v>24591.1122375</v>
      </c>
      <c r="DB10" s="36">
        <f t="shared" si="58"/>
        <v>3025.8978508</v>
      </c>
      <c r="DC10" s="5"/>
      <c r="DD10" s="36"/>
      <c r="DE10" s="36">
        <f t="shared" si="59"/>
        <v>27276.9943125</v>
      </c>
      <c r="DF10" s="5">
        <f t="shared" si="60"/>
        <v>27276.9943125</v>
      </c>
      <c r="DG10" s="36">
        <f t="shared" si="61"/>
        <v>3356.3914339999997</v>
      </c>
      <c r="DH10" s="5"/>
      <c r="DI10" s="36"/>
      <c r="DJ10" s="36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ht="12">
      <c r="A11" s="37">
        <v>42461</v>
      </c>
      <c r="C11" s="3">
        <v>4295000</v>
      </c>
      <c r="D11" s="3">
        <v>2278875</v>
      </c>
      <c r="E11" s="35">
        <f t="shared" si="0"/>
        <v>6573875</v>
      </c>
      <c r="F11" s="35">
        <v>280412</v>
      </c>
      <c r="H11" s="36">
        <v>647351</v>
      </c>
      <c r="I11" s="36">
        <v>343477</v>
      </c>
      <c r="J11" s="36">
        <f t="shared" si="1"/>
        <v>990828</v>
      </c>
      <c r="K11" s="35">
        <f>'Academic Project '!K11</f>
        <v>42264.25746400001</v>
      </c>
      <c r="M11" s="36">
        <f t="shared" si="62"/>
        <v>3647649.0100000002</v>
      </c>
      <c r="N11" s="35">
        <f t="shared" si="2"/>
        <v>1935398.4022499998</v>
      </c>
      <c r="O11" s="5">
        <f t="shared" si="3"/>
        <v>5583047.41225</v>
      </c>
      <c r="P11" s="35">
        <f t="shared" si="4"/>
        <v>238147.74253599998</v>
      </c>
      <c r="R11" s="36">
        <f t="shared" si="63"/>
        <v>164627.7795</v>
      </c>
      <c r="S11" s="36">
        <f t="shared" si="5"/>
        <v>87349.5066375</v>
      </c>
      <c r="T11" s="5">
        <f t="shared" si="6"/>
        <v>251977.28613750002</v>
      </c>
      <c r="U11" s="36">
        <f t="shared" si="7"/>
        <v>10748.2200012</v>
      </c>
      <c r="W11" s="5">
        <f t="shared" si="64"/>
        <v>298312.2315</v>
      </c>
      <c r="X11" s="36">
        <f t="shared" si="8"/>
        <v>158280.8583375</v>
      </c>
      <c r="Y11" s="36">
        <f t="shared" si="9"/>
        <v>456593.0898375</v>
      </c>
      <c r="Z11" s="36">
        <f t="shared" si="10"/>
        <v>19476.211748399997</v>
      </c>
      <c r="AB11" s="5">
        <f t="shared" si="65"/>
        <v>240370.1045</v>
      </c>
      <c r="AC11" s="5">
        <f t="shared" si="11"/>
        <v>127537.4672625</v>
      </c>
      <c r="AD11" s="5">
        <f t="shared" si="12"/>
        <v>367907.5717625</v>
      </c>
      <c r="AE11" s="36">
        <f t="shared" si="13"/>
        <v>15693.285621199999</v>
      </c>
      <c r="AG11" s="5">
        <f t="shared" si="66"/>
        <v>285656.15499999997</v>
      </c>
      <c r="AH11" s="5">
        <f t="shared" si="14"/>
        <v>151565.697375</v>
      </c>
      <c r="AI11" s="5">
        <f t="shared" si="15"/>
        <v>437221.85237499996</v>
      </c>
      <c r="AJ11" s="36">
        <f t="shared" si="16"/>
        <v>18649.921707999998</v>
      </c>
      <c r="AL11" s="36">
        <f t="shared" si="67"/>
        <v>17062.317</v>
      </c>
      <c r="AM11" s="36">
        <f t="shared" si="17"/>
        <v>9053.058825</v>
      </c>
      <c r="AN11" s="5">
        <f t="shared" si="18"/>
        <v>26115.375825</v>
      </c>
      <c r="AO11" s="36">
        <f t="shared" si="19"/>
        <v>1113.9647112</v>
      </c>
      <c r="AQ11" s="36">
        <f t="shared" si="68"/>
        <v>1535.892</v>
      </c>
      <c r="AR11" s="36">
        <f t="shared" si="20"/>
        <v>814.9257</v>
      </c>
      <c r="AS11" s="5">
        <f t="shared" si="21"/>
        <v>2350.8177</v>
      </c>
      <c r="AT11" s="36">
        <f t="shared" si="22"/>
        <v>100.27533120000001</v>
      </c>
      <c r="AU11" s="5"/>
      <c r="AV11" s="36">
        <f t="shared" si="69"/>
        <v>314246.252</v>
      </c>
      <c r="AW11" s="36">
        <f t="shared" si="23"/>
        <v>166735.2567</v>
      </c>
      <c r="AX11" s="5">
        <f t="shared" si="24"/>
        <v>480981.5087</v>
      </c>
      <c r="AY11" s="36">
        <f t="shared" si="25"/>
        <v>20516.5122272</v>
      </c>
      <c r="AZ11" s="5"/>
      <c r="BA11" s="36">
        <f t="shared" si="70"/>
        <v>11.167</v>
      </c>
      <c r="BB11" s="36">
        <f t="shared" si="26"/>
        <v>5.9250750000000005</v>
      </c>
      <c r="BC11" s="5">
        <f t="shared" si="27"/>
        <v>17.092075</v>
      </c>
      <c r="BD11" s="36">
        <f t="shared" si="28"/>
        <v>0.7290712</v>
      </c>
      <c r="BE11" s="5"/>
      <c r="BF11" s="36">
        <f t="shared" si="71"/>
        <v>401389.225</v>
      </c>
      <c r="BG11" s="36">
        <f t="shared" si="29"/>
        <v>212972.263125</v>
      </c>
      <c r="BH11" s="5">
        <f t="shared" si="30"/>
        <v>614361.4881249999</v>
      </c>
      <c r="BI11" s="36">
        <f t="shared" si="31"/>
        <v>26205.903459999998</v>
      </c>
      <c r="BJ11" s="5"/>
      <c r="BK11" s="36">
        <f t="shared" si="72"/>
        <v>947.0475</v>
      </c>
      <c r="BL11" s="36">
        <f t="shared" si="32"/>
        <v>502.4919375</v>
      </c>
      <c r="BM11" s="5">
        <f t="shared" si="33"/>
        <v>1449.5394375</v>
      </c>
      <c r="BN11" s="36">
        <f t="shared" si="34"/>
        <v>61.830846</v>
      </c>
      <c r="BO11" s="5"/>
      <c r="BP11" s="36">
        <f t="shared" si="73"/>
        <v>168305.1585</v>
      </c>
      <c r="BQ11" s="36">
        <f t="shared" si="35"/>
        <v>89300.6794125</v>
      </c>
      <c r="BR11" s="5">
        <f t="shared" si="36"/>
        <v>257605.8379125</v>
      </c>
      <c r="BS11" s="36">
        <f t="shared" si="37"/>
        <v>10988.308755600001</v>
      </c>
      <c r="BT11" s="5"/>
      <c r="BU11" s="5">
        <f t="shared" si="74"/>
        <v>849.551</v>
      </c>
      <c r="BV11" s="5">
        <f t="shared" si="38"/>
        <v>450.761475</v>
      </c>
      <c r="BW11" s="5">
        <f t="shared" si="39"/>
        <v>1300.3124750000002</v>
      </c>
      <c r="BX11" s="36">
        <f t="shared" si="40"/>
        <v>55.4654936</v>
      </c>
      <c r="BY11" s="5"/>
      <c r="BZ11" s="36">
        <f t="shared" si="75"/>
        <v>33031.127</v>
      </c>
      <c r="CA11" s="36">
        <f t="shared" si="41"/>
        <v>17525.916075</v>
      </c>
      <c r="CB11" s="5">
        <f t="shared" si="42"/>
        <v>50557.043075</v>
      </c>
      <c r="CC11" s="36">
        <f t="shared" si="43"/>
        <v>2156.5365272</v>
      </c>
      <c r="CD11" s="5"/>
      <c r="CE11" s="36">
        <f t="shared" si="76"/>
        <v>17585.018500000002</v>
      </c>
      <c r="CF11" s="36">
        <f t="shared" si="44"/>
        <v>9330.3979125</v>
      </c>
      <c r="CG11" s="5">
        <f t="shared" si="45"/>
        <v>26915.416412500002</v>
      </c>
      <c r="CH11" s="36">
        <f t="shared" si="46"/>
        <v>1148.0908516000002</v>
      </c>
      <c r="CI11" s="5"/>
      <c r="CJ11" s="5">
        <f t="shared" si="77"/>
        <v>57301.313</v>
      </c>
      <c r="CK11" s="36">
        <f t="shared" si="47"/>
        <v>30403.382924999998</v>
      </c>
      <c r="CL11" s="36">
        <f t="shared" si="48"/>
        <v>87704.695925</v>
      </c>
      <c r="CM11" s="36">
        <f t="shared" si="49"/>
        <v>3741.0886568</v>
      </c>
      <c r="CN11" s="5"/>
      <c r="CO11" s="5">
        <f t="shared" si="78"/>
        <v>504394.9215</v>
      </c>
      <c r="CP11" s="36">
        <f t="shared" si="50"/>
        <v>267625.83858750004</v>
      </c>
      <c r="CQ11" s="36">
        <f t="shared" si="51"/>
        <v>772020.7600875001</v>
      </c>
      <c r="CR11" s="36">
        <f t="shared" si="52"/>
        <v>32930.9403324</v>
      </c>
      <c r="CS11" s="5"/>
      <c r="CT11" s="36">
        <f t="shared" si="79"/>
        <v>1044267.8315000001</v>
      </c>
      <c r="CU11" s="36">
        <f t="shared" si="53"/>
        <v>554075.8683375</v>
      </c>
      <c r="CV11" s="5">
        <f t="shared" si="54"/>
        <v>1598343.6998375002</v>
      </c>
      <c r="CW11" s="36">
        <f t="shared" si="55"/>
        <v>68178.1679084</v>
      </c>
      <c r="CX11" s="5"/>
      <c r="CY11" s="5">
        <f t="shared" si="80"/>
        <v>46346.9155</v>
      </c>
      <c r="CZ11" s="5">
        <f t="shared" si="56"/>
        <v>24591.1122375</v>
      </c>
      <c r="DA11" s="5">
        <f t="shared" si="57"/>
        <v>70938.0277375</v>
      </c>
      <c r="DB11" s="36">
        <f t="shared" si="58"/>
        <v>3025.8978508</v>
      </c>
      <c r="DC11" s="5"/>
      <c r="DD11" s="36">
        <f t="shared" si="81"/>
        <v>51409.002499999995</v>
      </c>
      <c r="DE11" s="36">
        <f t="shared" si="59"/>
        <v>27276.9943125</v>
      </c>
      <c r="DF11" s="5">
        <f t="shared" si="60"/>
        <v>78685.9968125</v>
      </c>
      <c r="DG11" s="36">
        <f t="shared" si="61"/>
        <v>3356.3914339999997</v>
      </c>
      <c r="DH11" s="5"/>
      <c r="DI11" s="36"/>
      <c r="DJ11" s="36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</row>
    <row r="12" spans="1:131" ht="12">
      <c r="A12" s="37">
        <v>42644</v>
      </c>
      <c r="D12" s="3">
        <v>2192975</v>
      </c>
      <c r="E12" s="35">
        <f t="shared" si="0"/>
        <v>2192975</v>
      </c>
      <c r="F12" s="35">
        <v>280412</v>
      </c>
      <c r="H12" s="36"/>
      <c r="I12" s="36">
        <v>330530</v>
      </c>
      <c r="J12" s="36">
        <f t="shared" si="1"/>
        <v>330530</v>
      </c>
      <c r="K12" s="35">
        <f>'Academic Project '!K12</f>
        <v>42264.25746400001</v>
      </c>
      <c r="M12" s="36"/>
      <c r="N12" s="35">
        <f t="shared" si="2"/>
        <v>1862445.4220499997</v>
      </c>
      <c r="O12" s="5">
        <f t="shared" si="3"/>
        <v>1862445.4220499997</v>
      </c>
      <c r="P12" s="35">
        <f t="shared" si="4"/>
        <v>238147.74253599998</v>
      </c>
      <c r="R12" s="36"/>
      <c r="S12" s="36">
        <f t="shared" si="5"/>
        <v>84056.9510475</v>
      </c>
      <c r="T12" s="5">
        <f t="shared" si="6"/>
        <v>84056.9510475</v>
      </c>
      <c r="U12" s="36">
        <f t="shared" si="7"/>
        <v>10748.2200012</v>
      </c>
      <c r="X12" s="36">
        <f t="shared" si="8"/>
        <v>152314.6137075</v>
      </c>
      <c r="Y12" s="36">
        <f t="shared" si="9"/>
        <v>152314.6137075</v>
      </c>
      <c r="Z12" s="36">
        <f t="shared" si="10"/>
        <v>19476.211748399997</v>
      </c>
      <c r="AC12" s="5">
        <f t="shared" si="11"/>
        <v>122730.06517249999</v>
      </c>
      <c r="AD12" s="5">
        <f t="shared" si="12"/>
        <v>122730.06517249999</v>
      </c>
      <c r="AE12" s="36">
        <f t="shared" si="13"/>
        <v>15693.285621199999</v>
      </c>
      <c r="AH12" s="5">
        <f t="shared" si="14"/>
        <v>145852.574275</v>
      </c>
      <c r="AI12" s="5">
        <f t="shared" si="15"/>
        <v>145852.574275</v>
      </c>
      <c r="AJ12" s="36">
        <f t="shared" si="16"/>
        <v>18649.921707999998</v>
      </c>
      <c r="AL12" s="36"/>
      <c r="AM12" s="36">
        <f t="shared" si="17"/>
        <v>8711.812484999999</v>
      </c>
      <c r="AN12" s="5">
        <f t="shared" si="18"/>
        <v>8711.812484999999</v>
      </c>
      <c r="AO12" s="36">
        <f t="shared" si="19"/>
        <v>1113.9647112</v>
      </c>
      <c r="AQ12" s="36"/>
      <c r="AR12" s="36">
        <f t="shared" si="20"/>
        <v>784.2078600000001</v>
      </c>
      <c r="AS12" s="5">
        <f t="shared" si="21"/>
        <v>784.2078600000001</v>
      </c>
      <c r="AT12" s="36">
        <f t="shared" si="22"/>
        <v>100.27533120000001</v>
      </c>
      <c r="AU12" s="5"/>
      <c r="AV12" s="36"/>
      <c r="AW12" s="36">
        <f t="shared" si="23"/>
        <v>160450.33166</v>
      </c>
      <c r="AX12" s="5">
        <f t="shared" si="24"/>
        <v>160450.33166</v>
      </c>
      <c r="AY12" s="36">
        <f t="shared" si="25"/>
        <v>20516.5122272</v>
      </c>
      <c r="AZ12" s="5"/>
      <c r="BA12" s="36"/>
      <c r="BB12" s="36">
        <f t="shared" si="26"/>
        <v>5.701735</v>
      </c>
      <c r="BC12" s="5">
        <f t="shared" si="27"/>
        <v>5.701735</v>
      </c>
      <c r="BD12" s="36">
        <f t="shared" si="28"/>
        <v>0.7290712</v>
      </c>
      <c r="BE12" s="5"/>
      <c r="BF12" s="36"/>
      <c r="BG12" s="36">
        <f t="shared" si="29"/>
        <v>204944.478625</v>
      </c>
      <c r="BH12" s="5">
        <f t="shared" si="30"/>
        <v>204944.478625</v>
      </c>
      <c r="BI12" s="36">
        <f t="shared" si="31"/>
        <v>26205.903459999998</v>
      </c>
      <c r="BJ12" s="5"/>
      <c r="BK12" s="36"/>
      <c r="BL12" s="36">
        <f t="shared" si="32"/>
        <v>483.55098749999996</v>
      </c>
      <c r="BM12" s="5">
        <f t="shared" si="33"/>
        <v>483.55098749999996</v>
      </c>
      <c r="BN12" s="36">
        <f t="shared" si="34"/>
        <v>61.830846</v>
      </c>
      <c r="BO12" s="5"/>
      <c r="BP12" s="36"/>
      <c r="BQ12" s="36">
        <f t="shared" si="35"/>
        <v>85934.5762425</v>
      </c>
      <c r="BR12" s="5">
        <f t="shared" si="36"/>
        <v>85934.5762425</v>
      </c>
      <c r="BS12" s="36">
        <f t="shared" si="37"/>
        <v>10988.308755600001</v>
      </c>
      <c r="BT12" s="5"/>
      <c r="BU12" s="5"/>
      <c r="BV12" s="5">
        <f t="shared" si="38"/>
        <v>433.770455</v>
      </c>
      <c r="BW12" s="5">
        <f t="shared" si="39"/>
        <v>433.770455</v>
      </c>
      <c r="BX12" s="36">
        <f t="shared" si="40"/>
        <v>55.4654936</v>
      </c>
      <c r="BY12" s="5"/>
      <c r="BZ12" s="36"/>
      <c r="CA12" s="36">
        <f t="shared" si="41"/>
        <v>16865.293535</v>
      </c>
      <c r="CB12" s="5">
        <f t="shared" si="42"/>
        <v>16865.293535</v>
      </c>
      <c r="CC12" s="36">
        <f t="shared" si="43"/>
        <v>2156.5365272</v>
      </c>
      <c r="CD12" s="5"/>
      <c r="CE12" s="36"/>
      <c r="CF12" s="36">
        <f t="shared" si="44"/>
        <v>8978.6975425</v>
      </c>
      <c r="CG12" s="5">
        <f t="shared" si="45"/>
        <v>8978.6975425</v>
      </c>
      <c r="CH12" s="36">
        <f t="shared" si="46"/>
        <v>1148.0908516000002</v>
      </c>
      <c r="CI12" s="5"/>
      <c r="CJ12" s="5"/>
      <c r="CK12" s="36">
        <f t="shared" si="47"/>
        <v>29257.356665</v>
      </c>
      <c r="CL12" s="36">
        <f t="shared" si="48"/>
        <v>29257.356665</v>
      </c>
      <c r="CM12" s="36">
        <f t="shared" si="49"/>
        <v>3741.0886568</v>
      </c>
      <c r="CN12" s="5"/>
      <c r="CO12" s="5"/>
      <c r="CP12" s="36">
        <f t="shared" si="50"/>
        <v>257537.9401575</v>
      </c>
      <c r="CQ12" s="36">
        <f t="shared" si="51"/>
        <v>257537.9401575</v>
      </c>
      <c r="CR12" s="36">
        <f t="shared" si="52"/>
        <v>32930.9403324</v>
      </c>
      <c r="CS12" s="5"/>
      <c r="CT12" s="36"/>
      <c r="CU12" s="36">
        <f t="shared" si="53"/>
        <v>533190.5117075</v>
      </c>
      <c r="CV12" s="5">
        <f t="shared" si="54"/>
        <v>533190.5117075</v>
      </c>
      <c r="CW12" s="36">
        <f t="shared" si="55"/>
        <v>68178.1679084</v>
      </c>
      <c r="CX12" s="5"/>
      <c r="CY12" s="5"/>
      <c r="CZ12" s="5">
        <f t="shared" si="56"/>
        <v>23664.173927500004</v>
      </c>
      <c r="DA12" s="5">
        <f t="shared" si="57"/>
        <v>23664.173927500004</v>
      </c>
      <c r="DB12" s="36">
        <f t="shared" si="58"/>
        <v>3025.8978508</v>
      </c>
      <c r="DC12" s="5"/>
      <c r="DD12" s="36"/>
      <c r="DE12" s="36">
        <f t="shared" si="59"/>
        <v>26248.8142625</v>
      </c>
      <c r="DF12" s="5">
        <f t="shared" si="60"/>
        <v>26248.8142625</v>
      </c>
      <c r="DG12" s="36">
        <f t="shared" si="61"/>
        <v>3356.3914339999997</v>
      </c>
      <c r="DH12" s="5"/>
      <c r="DI12" s="36"/>
      <c r="DJ12" s="36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</row>
    <row r="13" spans="1:131" ht="12">
      <c r="A13" s="37">
        <v>42826</v>
      </c>
      <c r="C13" s="3">
        <v>4470000</v>
      </c>
      <c r="D13" s="3">
        <v>2192975</v>
      </c>
      <c r="E13" s="35">
        <f t="shared" si="0"/>
        <v>6662975</v>
      </c>
      <c r="F13" s="35">
        <v>280412</v>
      </c>
      <c r="H13" s="36">
        <v>673727</v>
      </c>
      <c r="I13" s="36">
        <v>330530</v>
      </c>
      <c r="J13" s="36">
        <f t="shared" si="1"/>
        <v>1004257</v>
      </c>
      <c r="K13" s="35">
        <f>'Academic Project '!K13</f>
        <v>42264.25746400001</v>
      </c>
      <c r="M13" s="36">
        <f t="shared" si="62"/>
        <v>3796272.66</v>
      </c>
      <c r="N13" s="35">
        <f t="shared" si="2"/>
        <v>1862445.4220499997</v>
      </c>
      <c r="O13" s="5">
        <f t="shared" si="3"/>
        <v>5658718.082049999</v>
      </c>
      <c r="P13" s="35">
        <f t="shared" si="4"/>
        <v>238147.74253599998</v>
      </c>
      <c r="R13" s="36">
        <f t="shared" si="63"/>
        <v>171335.547</v>
      </c>
      <c r="S13" s="36">
        <f t="shared" si="5"/>
        <v>84056.9510475</v>
      </c>
      <c r="T13" s="5">
        <f t="shared" si="6"/>
        <v>255392.49804749998</v>
      </c>
      <c r="U13" s="36">
        <f t="shared" si="7"/>
        <v>10748.2200012</v>
      </c>
      <c r="W13" s="5">
        <f t="shared" si="64"/>
        <v>310466.979</v>
      </c>
      <c r="X13" s="36">
        <f t="shared" si="8"/>
        <v>152314.6137075</v>
      </c>
      <c r="Y13" s="36">
        <f t="shared" si="9"/>
        <v>462781.5927075</v>
      </c>
      <c r="Z13" s="36">
        <f t="shared" si="10"/>
        <v>19476.211748399997</v>
      </c>
      <c r="AB13" s="5">
        <f t="shared" si="65"/>
        <v>250163.99699999997</v>
      </c>
      <c r="AC13" s="5">
        <f t="shared" si="11"/>
        <v>122730.06517249999</v>
      </c>
      <c r="AD13" s="5">
        <f t="shared" si="12"/>
        <v>372894.06217249995</v>
      </c>
      <c r="AE13" s="36">
        <f t="shared" si="13"/>
        <v>15693.285621199999</v>
      </c>
      <c r="AG13" s="5">
        <f t="shared" si="66"/>
        <v>297295.23</v>
      </c>
      <c r="AH13" s="5">
        <f t="shared" si="14"/>
        <v>145852.574275</v>
      </c>
      <c r="AI13" s="5">
        <f t="shared" si="15"/>
        <v>443147.804275</v>
      </c>
      <c r="AJ13" s="36">
        <f t="shared" si="16"/>
        <v>18649.921707999998</v>
      </c>
      <c r="AL13" s="36">
        <f t="shared" si="67"/>
        <v>17757.521999999997</v>
      </c>
      <c r="AM13" s="36">
        <f t="shared" si="17"/>
        <v>8711.812484999999</v>
      </c>
      <c r="AN13" s="5">
        <f t="shared" si="18"/>
        <v>26469.334484999996</v>
      </c>
      <c r="AO13" s="36">
        <f t="shared" si="19"/>
        <v>1113.9647112</v>
      </c>
      <c r="AQ13" s="36">
        <f t="shared" si="68"/>
        <v>1598.472</v>
      </c>
      <c r="AR13" s="36">
        <f t="shared" si="20"/>
        <v>784.2078600000001</v>
      </c>
      <c r="AS13" s="5">
        <f t="shared" si="21"/>
        <v>2382.67986</v>
      </c>
      <c r="AT13" s="36">
        <f t="shared" si="22"/>
        <v>100.27533120000001</v>
      </c>
      <c r="AU13" s="5"/>
      <c r="AV13" s="36">
        <f t="shared" si="69"/>
        <v>327050.23199999996</v>
      </c>
      <c r="AW13" s="36">
        <f t="shared" si="23"/>
        <v>160450.33166</v>
      </c>
      <c r="AX13" s="5">
        <f t="shared" si="24"/>
        <v>487500.56366</v>
      </c>
      <c r="AY13" s="36">
        <f t="shared" si="25"/>
        <v>20516.5122272</v>
      </c>
      <c r="AZ13" s="5"/>
      <c r="BA13" s="36">
        <f t="shared" si="70"/>
        <v>11.622</v>
      </c>
      <c r="BB13" s="36">
        <f t="shared" si="26"/>
        <v>5.701735</v>
      </c>
      <c r="BC13" s="5">
        <f t="shared" si="27"/>
        <v>17.323735</v>
      </c>
      <c r="BD13" s="36">
        <f t="shared" si="28"/>
        <v>0.7290712</v>
      </c>
      <c r="BE13" s="5"/>
      <c r="BF13" s="36">
        <f t="shared" si="71"/>
        <v>417743.85</v>
      </c>
      <c r="BG13" s="36">
        <f t="shared" si="29"/>
        <v>204944.478625</v>
      </c>
      <c r="BH13" s="5">
        <f t="shared" si="30"/>
        <v>622688.328625</v>
      </c>
      <c r="BI13" s="36">
        <f t="shared" si="31"/>
        <v>26205.903459999998</v>
      </c>
      <c r="BJ13" s="5"/>
      <c r="BK13" s="36">
        <f t="shared" si="72"/>
        <v>985.635</v>
      </c>
      <c r="BL13" s="36">
        <f t="shared" si="32"/>
        <v>483.55098749999996</v>
      </c>
      <c r="BM13" s="5">
        <f t="shared" si="33"/>
        <v>1469.1859875</v>
      </c>
      <c r="BN13" s="36">
        <f t="shared" si="34"/>
        <v>61.830846</v>
      </c>
      <c r="BO13" s="5"/>
      <c r="BP13" s="36">
        <f t="shared" si="73"/>
        <v>175162.761</v>
      </c>
      <c r="BQ13" s="36">
        <f t="shared" si="35"/>
        <v>85934.5762425</v>
      </c>
      <c r="BR13" s="5">
        <f t="shared" si="36"/>
        <v>261097.33724249998</v>
      </c>
      <c r="BS13" s="36">
        <f t="shared" si="37"/>
        <v>10988.308755600001</v>
      </c>
      <c r="BT13" s="5"/>
      <c r="BU13" s="5">
        <f t="shared" si="74"/>
        <v>884.166</v>
      </c>
      <c r="BV13" s="5">
        <f t="shared" si="38"/>
        <v>433.770455</v>
      </c>
      <c r="BW13" s="5">
        <f t="shared" si="39"/>
        <v>1317.936455</v>
      </c>
      <c r="BX13" s="36">
        <f t="shared" si="40"/>
        <v>55.4654936</v>
      </c>
      <c r="BY13" s="5"/>
      <c r="BZ13" s="36">
        <f t="shared" si="75"/>
        <v>34376.981999999996</v>
      </c>
      <c r="CA13" s="36">
        <f t="shared" si="41"/>
        <v>16865.293535</v>
      </c>
      <c r="CB13" s="5">
        <f t="shared" si="42"/>
        <v>51242.27553499999</v>
      </c>
      <c r="CC13" s="36">
        <f t="shared" si="43"/>
        <v>2156.5365272</v>
      </c>
      <c r="CD13" s="5"/>
      <c r="CE13" s="36">
        <f t="shared" si="76"/>
        <v>18301.521</v>
      </c>
      <c r="CF13" s="36">
        <f t="shared" si="44"/>
        <v>8978.6975425</v>
      </c>
      <c r="CG13" s="5">
        <f t="shared" si="45"/>
        <v>27280.2185425</v>
      </c>
      <c r="CH13" s="36">
        <f t="shared" si="46"/>
        <v>1148.0908516000002</v>
      </c>
      <c r="CI13" s="5"/>
      <c r="CJ13" s="5">
        <f t="shared" si="77"/>
        <v>59636.058</v>
      </c>
      <c r="CK13" s="36">
        <f t="shared" si="47"/>
        <v>29257.356665</v>
      </c>
      <c r="CL13" s="36">
        <f t="shared" si="48"/>
        <v>88893.41466499999</v>
      </c>
      <c r="CM13" s="36">
        <f t="shared" si="49"/>
        <v>3741.0886568</v>
      </c>
      <c r="CN13" s="5"/>
      <c r="CO13" s="5">
        <f t="shared" si="78"/>
        <v>524946.519</v>
      </c>
      <c r="CP13" s="36">
        <f t="shared" si="50"/>
        <v>257537.9401575</v>
      </c>
      <c r="CQ13" s="36">
        <f t="shared" si="51"/>
        <v>782484.4591575</v>
      </c>
      <c r="CR13" s="36">
        <f t="shared" si="52"/>
        <v>32930.9403324</v>
      </c>
      <c r="CS13" s="5"/>
      <c r="CT13" s="36">
        <f t="shared" si="79"/>
        <v>1086816.5790000001</v>
      </c>
      <c r="CU13" s="36">
        <f t="shared" si="53"/>
        <v>533190.5117075</v>
      </c>
      <c r="CV13" s="5">
        <f t="shared" si="54"/>
        <v>1620007.0907075</v>
      </c>
      <c r="CW13" s="36">
        <f t="shared" si="55"/>
        <v>68178.1679084</v>
      </c>
      <c r="CX13" s="5"/>
      <c r="CY13" s="5">
        <f t="shared" si="80"/>
        <v>48235.323000000004</v>
      </c>
      <c r="CZ13" s="5">
        <f t="shared" si="56"/>
        <v>23664.173927500004</v>
      </c>
      <c r="DA13" s="5">
        <f t="shared" si="57"/>
        <v>71899.4969275</v>
      </c>
      <c r="DB13" s="36">
        <f t="shared" si="58"/>
        <v>3025.8978508</v>
      </c>
      <c r="DC13" s="5"/>
      <c r="DD13" s="36">
        <f t="shared" si="81"/>
        <v>53503.66499999999</v>
      </c>
      <c r="DE13" s="36">
        <f t="shared" si="59"/>
        <v>26248.8142625</v>
      </c>
      <c r="DF13" s="5">
        <f t="shared" si="60"/>
        <v>79752.4792625</v>
      </c>
      <c r="DG13" s="36">
        <f t="shared" si="61"/>
        <v>3356.3914339999997</v>
      </c>
      <c r="DH13" s="5"/>
      <c r="DI13" s="36"/>
      <c r="DJ13" s="36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</row>
    <row r="14" spans="1:131" ht="12">
      <c r="A14" s="37">
        <v>43009</v>
      </c>
      <c r="B14" s="38"/>
      <c r="D14" s="3">
        <v>2081225</v>
      </c>
      <c r="E14" s="35">
        <f t="shared" si="0"/>
        <v>2081225</v>
      </c>
      <c r="F14" s="35">
        <v>280412</v>
      </c>
      <c r="H14" s="36"/>
      <c r="I14" s="36">
        <v>313686</v>
      </c>
      <c r="J14" s="36">
        <f t="shared" si="1"/>
        <v>313686</v>
      </c>
      <c r="K14" s="35">
        <f>'Academic Project '!K14</f>
        <v>42264.25746400001</v>
      </c>
      <c r="M14" s="36"/>
      <c r="N14" s="35">
        <f t="shared" si="2"/>
        <v>1767538.6055499997</v>
      </c>
      <c r="O14" s="5">
        <f t="shared" si="3"/>
        <v>1767538.6055499997</v>
      </c>
      <c r="P14" s="35">
        <f t="shared" si="4"/>
        <v>238147.74253599998</v>
      </c>
      <c r="R14" s="36"/>
      <c r="S14" s="36">
        <f t="shared" si="5"/>
        <v>79773.5623725</v>
      </c>
      <c r="T14" s="5">
        <f t="shared" si="6"/>
        <v>79773.5623725</v>
      </c>
      <c r="U14" s="36">
        <f t="shared" si="7"/>
        <v>10748.2200012</v>
      </c>
      <c r="X14" s="36">
        <f t="shared" si="8"/>
        <v>144552.93923249998</v>
      </c>
      <c r="Y14" s="36">
        <f t="shared" si="9"/>
        <v>144552.93923249998</v>
      </c>
      <c r="Z14" s="36">
        <f t="shared" si="10"/>
        <v>19476.211748399997</v>
      </c>
      <c r="AC14" s="5">
        <f t="shared" si="11"/>
        <v>116475.96524749999</v>
      </c>
      <c r="AD14" s="5">
        <f t="shared" si="12"/>
        <v>116475.96524749999</v>
      </c>
      <c r="AE14" s="36">
        <f t="shared" si="13"/>
        <v>15693.285621199999</v>
      </c>
      <c r="AH14" s="5">
        <f t="shared" si="14"/>
        <v>138420.193525</v>
      </c>
      <c r="AI14" s="5">
        <f t="shared" si="15"/>
        <v>138420.193525</v>
      </c>
      <c r="AJ14" s="36">
        <f t="shared" si="16"/>
        <v>18649.921707999998</v>
      </c>
      <c r="AL14" s="36"/>
      <c r="AM14" s="36">
        <f t="shared" si="17"/>
        <v>8267.874435</v>
      </c>
      <c r="AN14" s="5">
        <f t="shared" si="18"/>
        <v>8267.874435</v>
      </c>
      <c r="AO14" s="36">
        <f t="shared" si="19"/>
        <v>1113.9647112</v>
      </c>
      <c r="AQ14" s="36"/>
      <c r="AR14" s="36">
        <f t="shared" si="20"/>
        <v>744.24606</v>
      </c>
      <c r="AS14" s="5">
        <f t="shared" si="21"/>
        <v>744.24606</v>
      </c>
      <c r="AT14" s="36">
        <f t="shared" si="22"/>
        <v>100.27533120000001</v>
      </c>
      <c r="AU14" s="5"/>
      <c r="AV14" s="36"/>
      <c r="AW14" s="36">
        <f t="shared" si="23"/>
        <v>152274.07585999998</v>
      </c>
      <c r="AX14" s="5">
        <f t="shared" si="24"/>
        <v>152274.07585999998</v>
      </c>
      <c r="AY14" s="36">
        <f t="shared" si="25"/>
        <v>20516.5122272</v>
      </c>
      <c r="AZ14" s="5"/>
      <c r="BA14" s="36"/>
      <c r="BB14" s="36">
        <f t="shared" si="26"/>
        <v>5.411185000000001</v>
      </c>
      <c r="BC14" s="5">
        <f t="shared" si="27"/>
        <v>5.411185000000001</v>
      </c>
      <c r="BD14" s="36">
        <f t="shared" si="28"/>
        <v>0.7290712</v>
      </c>
      <c r="BE14" s="5"/>
      <c r="BF14" s="36"/>
      <c r="BG14" s="36">
        <f t="shared" si="29"/>
        <v>194500.882375</v>
      </c>
      <c r="BH14" s="5">
        <f t="shared" si="30"/>
        <v>194500.882375</v>
      </c>
      <c r="BI14" s="36">
        <f t="shared" si="31"/>
        <v>26205.903459999998</v>
      </c>
      <c r="BJ14" s="5"/>
      <c r="BK14" s="36"/>
      <c r="BL14" s="36">
        <f t="shared" si="32"/>
        <v>458.91011249999997</v>
      </c>
      <c r="BM14" s="5">
        <f t="shared" si="33"/>
        <v>458.91011249999997</v>
      </c>
      <c r="BN14" s="36">
        <f t="shared" si="34"/>
        <v>61.830846</v>
      </c>
      <c r="BO14" s="5"/>
      <c r="BP14" s="36"/>
      <c r="BQ14" s="36">
        <f t="shared" si="35"/>
        <v>81555.5072175</v>
      </c>
      <c r="BR14" s="5">
        <f t="shared" si="36"/>
        <v>81555.5072175</v>
      </c>
      <c r="BS14" s="36">
        <f t="shared" si="37"/>
        <v>10988.308755600001</v>
      </c>
      <c r="BT14" s="5"/>
      <c r="BU14" s="5"/>
      <c r="BV14" s="5">
        <f t="shared" si="38"/>
        <v>411.666305</v>
      </c>
      <c r="BW14" s="5">
        <f t="shared" si="39"/>
        <v>411.666305</v>
      </c>
      <c r="BX14" s="36">
        <f t="shared" si="40"/>
        <v>55.4654936</v>
      </c>
      <c r="BY14" s="5"/>
      <c r="BZ14" s="36"/>
      <c r="CA14" s="36">
        <f t="shared" si="41"/>
        <v>16005.868985</v>
      </c>
      <c r="CB14" s="5">
        <f t="shared" si="42"/>
        <v>16005.868985</v>
      </c>
      <c r="CC14" s="36">
        <f t="shared" si="43"/>
        <v>2156.5365272</v>
      </c>
      <c r="CD14" s="5"/>
      <c r="CE14" s="36"/>
      <c r="CF14" s="36">
        <f t="shared" si="44"/>
        <v>8521.1595175</v>
      </c>
      <c r="CG14" s="5">
        <f t="shared" si="45"/>
        <v>8521.1595175</v>
      </c>
      <c r="CH14" s="36">
        <f t="shared" si="46"/>
        <v>1148.0908516000002</v>
      </c>
      <c r="CI14" s="5"/>
      <c r="CJ14" s="5"/>
      <c r="CK14" s="36">
        <f t="shared" si="47"/>
        <v>27766.455214999998</v>
      </c>
      <c r="CL14" s="36">
        <f t="shared" si="48"/>
        <v>27766.455214999998</v>
      </c>
      <c r="CM14" s="36">
        <f t="shared" si="49"/>
        <v>3741.0886568</v>
      </c>
      <c r="CN14" s="5"/>
      <c r="CO14" s="5"/>
      <c r="CP14" s="36">
        <f t="shared" si="50"/>
        <v>244414.27718250002</v>
      </c>
      <c r="CQ14" s="36">
        <f t="shared" si="51"/>
        <v>244414.27718250002</v>
      </c>
      <c r="CR14" s="36">
        <f t="shared" si="52"/>
        <v>32930.9403324</v>
      </c>
      <c r="CS14" s="5"/>
      <c r="CT14" s="36"/>
      <c r="CU14" s="36">
        <f t="shared" si="53"/>
        <v>506020.09723250003</v>
      </c>
      <c r="CV14" s="5">
        <f t="shared" si="54"/>
        <v>506020.09723250003</v>
      </c>
      <c r="CW14" s="36">
        <f t="shared" si="55"/>
        <v>68178.1679084</v>
      </c>
      <c r="CX14" s="5"/>
      <c r="CY14" s="5"/>
      <c r="CZ14" s="5">
        <f t="shared" si="56"/>
        <v>22458.290852500002</v>
      </c>
      <c r="DA14" s="5">
        <f t="shared" si="57"/>
        <v>22458.290852500002</v>
      </c>
      <c r="DB14" s="36">
        <f t="shared" si="58"/>
        <v>3025.8978508</v>
      </c>
      <c r="DC14" s="5"/>
      <c r="DD14" s="36"/>
      <c r="DE14" s="36">
        <f t="shared" si="59"/>
        <v>24911.2226375</v>
      </c>
      <c r="DF14" s="5">
        <f t="shared" si="60"/>
        <v>24911.2226375</v>
      </c>
      <c r="DG14" s="36">
        <f t="shared" si="61"/>
        <v>3356.3914339999997</v>
      </c>
      <c r="DH14" s="5"/>
      <c r="DI14" s="36"/>
      <c r="DJ14" s="36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</row>
    <row r="15" spans="1:131" ht="12">
      <c r="A15" s="37">
        <v>43191</v>
      </c>
      <c r="C15" s="3">
        <v>4690000</v>
      </c>
      <c r="D15" s="3">
        <v>2081225</v>
      </c>
      <c r="E15" s="35">
        <f t="shared" si="0"/>
        <v>6771225</v>
      </c>
      <c r="F15" s="35">
        <v>280412</v>
      </c>
      <c r="H15" s="36">
        <v>706886</v>
      </c>
      <c r="I15" s="36">
        <v>313686</v>
      </c>
      <c r="J15" s="36">
        <f t="shared" si="1"/>
        <v>1020572</v>
      </c>
      <c r="K15" s="35">
        <f>'Academic Project '!K15</f>
        <v>42264.25746400001</v>
      </c>
      <c r="M15" s="36">
        <f t="shared" si="62"/>
        <v>3983113.82</v>
      </c>
      <c r="N15" s="35">
        <f t="shared" si="2"/>
        <v>1767538.6055499997</v>
      </c>
      <c r="O15" s="5">
        <f t="shared" si="3"/>
        <v>5750652.42555</v>
      </c>
      <c r="P15" s="35">
        <f t="shared" si="4"/>
        <v>238147.74253599998</v>
      </c>
      <c r="R15" s="36">
        <f t="shared" si="63"/>
        <v>179768.169</v>
      </c>
      <c r="S15" s="36">
        <f t="shared" si="5"/>
        <v>79773.5623725</v>
      </c>
      <c r="T15" s="5">
        <f t="shared" si="6"/>
        <v>259541.7313725</v>
      </c>
      <c r="U15" s="36">
        <f t="shared" si="7"/>
        <v>10748.2200012</v>
      </c>
      <c r="W15" s="5">
        <f t="shared" si="64"/>
        <v>325747.23299999995</v>
      </c>
      <c r="X15" s="36">
        <f t="shared" si="8"/>
        <v>144552.93923249998</v>
      </c>
      <c r="Y15" s="36">
        <f t="shared" si="9"/>
        <v>470300.1722324999</v>
      </c>
      <c r="Z15" s="36">
        <f t="shared" si="10"/>
        <v>19476.211748399997</v>
      </c>
      <c r="AB15" s="5">
        <f t="shared" si="65"/>
        <v>262476.31899999996</v>
      </c>
      <c r="AC15" s="5">
        <f t="shared" si="11"/>
        <v>116475.96524749999</v>
      </c>
      <c r="AD15" s="5">
        <f t="shared" si="12"/>
        <v>378952.28424749995</v>
      </c>
      <c r="AE15" s="36">
        <f t="shared" si="13"/>
        <v>15693.285621199999</v>
      </c>
      <c r="AG15" s="5">
        <f t="shared" si="66"/>
        <v>311927.21</v>
      </c>
      <c r="AH15" s="5">
        <f t="shared" si="14"/>
        <v>138420.193525</v>
      </c>
      <c r="AI15" s="5">
        <f t="shared" si="15"/>
        <v>450347.40352500003</v>
      </c>
      <c r="AJ15" s="36">
        <f t="shared" si="16"/>
        <v>18649.921707999998</v>
      </c>
      <c r="AL15" s="36">
        <f t="shared" si="67"/>
        <v>18631.494</v>
      </c>
      <c r="AM15" s="36">
        <f t="shared" si="17"/>
        <v>8267.874435</v>
      </c>
      <c r="AN15" s="5">
        <f t="shared" si="18"/>
        <v>26899.368434999997</v>
      </c>
      <c r="AO15" s="36">
        <f t="shared" si="19"/>
        <v>1113.9647112</v>
      </c>
      <c r="AQ15" s="36">
        <f t="shared" si="68"/>
        <v>1677.144</v>
      </c>
      <c r="AR15" s="36">
        <f t="shared" si="20"/>
        <v>744.24606</v>
      </c>
      <c r="AS15" s="5">
        <f t="shared" si="21"/>
        <v>2421.39006</v>
      </c>
      <c r="AT15" s="36">
        <f t="shared" si="22"/>
        <v>100.27533120000001</v>
      </c>
      <c r="AU15" s="5"/>
      <c r="AV15" s="36">
        <f t="shared" si="69"/>
        <v>343146.664</v>
      </c>
      <c r="AW15" s="36">
        <f t="shared" si="23"/>
        <v>152274.07585999998</v>
      </c>
      <c r="AX15" s="5">
        <f t="shared" si="24"/>
        <v>495420.73986</v>
      </c>
      <c r="AY15" s="36">
        <f t="shared" si="25"/>
        <v>20516.5122272</v>
      </c>
      <c r="AZ15" s="5"/>
      <c r="BA15" s="36">
        <f t="shared" si="70"/>
        <v>12.194</v>
      </c>
      <c r="BB15" s="36">
        <f t="shared" si="26"/>
        <v>5.411185000000001</v>
      </c>
      <c r="BC15" s="5">
        <f t="shared" si="27"/>
        <v>17.605185000000002</v>
      </c>
      <c r="BD15" s="36">
        <f t="shared" si="28"/>
        <v>0.7290712</v>
      </c>
      <c r="BE15" s="5"/>
      <c r="BF15" s="36">
        <f t="shared" si="71"/>
        <v>438303.95</v>
      </c>
      <c r="BG15" s="36">
        <f t="shared" si="29"/>
        <v>194500.882375</v>
      </c>
      <c r="BH15" s="5">
        <f t="shared" si="30"/>
        <v>632804.832375</v>
      </c>
      <c r="BI15" s="36">
        <f t="shared" si="31"/>
        <v>26205.903459999998</v>
      </c>
      <c r="BJ15" s="5"/>
      <c r="BK15" s="36">
        <f t="shared" si="72"/>
        <v>1034.145</v>
      </c>
      <c r="BL15" s="36">
        <f t="shared" si="32"/>
        <v>458.91011249999997</v>
      </c>
      <c r="BM15" s="5">
        <f t="shared" si="33"/>
        <v>1493.0551125</v>
      </c>
      <c r="BN15" s="36">
        <f t="shared" si="34"/>
        <v>61.830846</v>
      </c>
      <c r="BO15" s="5"/>
      <c r="BP15" s="36">
        <f t="shared" si="73"/>
        <v>183783.747</v>
      </c>
      <c r="BQ15" s="36">
        <f t="shared" si="35"/>
        <v>81555.5072175</v>
      </c>
      <c r="BR15" s="5">
        <f t="shared" si="36"/>
        <v>265339.2542175</v>
      </c>
      <c r="BS15" s="36">
        <f t="shared" si="37"/>
        <v>10988.308755600001</v>
      </c>
      <c r="BT15" s="5"/>
      <c r="BU15" s="5">
        <f t="shared" si="74"/>
        <v>927.682</v>
      </c>
      <c r="BV15" s="5">
        <f t="shared" si="38"/>
        <v>411.666305</v>
      </c>
      <c r="BW15" s="5">
        <f t="shared" si="39"/>
        <v>1339.348305</v>
      </c>
      <c r="BX15" s="36">
        <f t="shared" si="40"/>
        <v>55.4654936</v>
      </c>
      <c r="BY15" s="5"/>
      <c r="BZ15" s="36">
        <f t="shared" si="75"/>
        <v>36068.914</v>
      </c>
      <c r="CA15" s="36">
        <f t="shared" si="41"/>
        <v>16005.868985</v>
      </c>
      <c r="CB15" s="5">
        <f t="shared" si="42"/>
        <v>52074.782985</v>
      </c>
      <c r="CC15" s="36">
        <f t="shared" si="43"/>
        <v>2156.5365272</v>
      </c>
      <c r="CD15" s="5"/>
      <c r="CE15" s="36">
        <f t="shared" si="76"/>
        <v>19202.267000000003</v>
      </c>
      <c r="CF15" s="36">
        <f t="shared" si="44"/>
        <v>8521.1595175</v>
      </c>
      <c r="CG15" s="5">
        <f t="shared" si="45"/>
        <v>27723.426517500004</v>
      </c>
      <c r="CH15" s="36">
        <f t="shared" si="46"/>
        <v>1148.0908516000002</v>
      </c>
      <c r="CI15" s="5"/>
      <c r="CJ15" s="5">
        <f t="shared" si="77"/>
        <v>62571.166</v>
      </c>
      <c r="CK15" s="36">
        <f t="shared" si="47"/>
        <v>27766.455214999998</v>
      </c>
      <c r="CL15" s="36">
        <f t="shared" si="48"/>
        <v>90337.62121499999</v>
      </c>
      <c r="CM15" s="36">
        <f t="shared" si="49"/>
        <v>3741.0886568</v>
      </c>
      <c r="CN15" s="5"/>
      <c r="CO15" s="5">
        <f t="shared" si="78"/>
        <v>550782.8130000001</v>
      </c>
      <c r="CP15" s="36">
        <f t="shared" si="50"/>
        <v>244414.27718250002</v>
      </c>
      <c r="CQ15" s="36">
        <f t="shared" si="51"/>
        <v>795197.0901825001</v>
      </c>
      <c r="CR15" s="36">
        <f t="shared" si="52"/>
        <v>32930.9403324</v>
      </c>
      <c r="CS15" s="5"/>
      <c r="CT15" s="36">
        <f t="shared" si="79"/>
        <v>1140306.433</v>
      </c>
      <c r="CU15" s="36">
        <f t="shared" si="53"/>
        <v>506020.09723250003</v>
      </c>
      <c r="CV15" s="5">
        <f t="shared" si="54"/>
        <v>1646326.5302325</v>
      </c>
      <c r="CW15" s="36">
        <f t="shared" si="55"/>
        <v>68178.1679084</v>
      </c>
      <c r="CX15" s="5"/>
      <c r="CY15" s="5">
        <f t="shared" si="80"/>
        <v>50609.321</v>
      </c>
      <c r="CZ15" s="5">
        <f t="shared" si="56"/>
        <v>22458.290852500002</v>
      </c>
      <c r="DA15" s="5">
        <f t="shared" si="57"/>
        <v>73067.6118525</v>
      </c>
      <c r="DB15" s="36">
        <f t="shared" si="58"/>
        <v>3025.8978508</v>
      </c>
      <c r="DC15" s="5"/>
      <c r="DD15" s="36">
        <f t="shared" si="81"/>
        <v>56136.954999999994</v>
      </c>
      <c r="DE15" s="36">
        <f t="shared" si="59"/>
        <v>24911.2226375</v>
      </c>
      <c r="DF15" s="5">
        <f t="shared" si="60"/>
        <v>81048.17763749999</v>
      </c>
      <c r="DG15" s="36">
        <f t="shared" si="61"/>
        <v>3356.3914339999997</v>
      </c>
      <c r="DH15" s="5"/>
      <c r="DI15" s="36"/>
      <c r="DJ15" s="36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</row>
    <row r="16" spans="1:131" ht="12">
      <c r="A16" s="37">
        <v>43374</v>
      </c>
      <c r="D16" s="3">
        <v>1963975</v>
      </c>
      <c r="E16" s="35">
        <f t="shared" si="0"/>
        <v>1963975</v>
      </c>
      <c r="F16" s="35">
        <v>280412</v>
      </c>
      <c r="H16" s="36"/>
      <c r="I16" s="36">
        <v>296014</v>
      </c>
      <c r="J16" s="36">
        <f t="shared" si="1"/>
        <v>296014</v>
      </c>
      <c r="K16" s="35">
        <f>'Academic Project '!K16</f>
        <v>42264.25746400001</v>
      </c>
      <c r="M16" s="36"/>
      <c r="N16" s="35">
        <f t="shared" si="2"/>
        <v>1667960.7600499997</v>
      </c>
      <c r="O16" s="5">
        <f t="shared" si="3"/>
        <v>1667960.7600499997</v>
      </c>
      <c r="P16" s="35">
        <f t="shared" si="4"/>
        <v>238147.74253599998</v>
      </c>
      <c r="R16" s="36"/>
      <c r="S16" s="36">
        <f t="shared" si="5"/>
        <v>75279.3581475</v>
      </c>
      <c r="T16" s="5">
        <f t="shared" si="6"/>
        <v>75279.3581475</v>
      </c>
      <c r="U16" s="36">
        <f t="shared" si="7"/>
        <v>10748.2200012</v>
      </c>
      <c r="X16" s="36">
        <f t="shared" si="8"/>
        <v>136409.2584075</v>
      </c>
      <c r="Y16" s="36">
        <f t="shared" si="9"/>
        <v>136409.2584075</v>
      </c>
      <c r="Z16" s="36">
        <f t="shared" si="10"/>
        <v>19476.211748399997</v>
      </c>
      <c r="AC16" s="5">
        <f t="shared" si="11"/>
        <v>109914.0572725</v>
      </c>
      <c r="AD16" s="5">
        <f t="shared" si="12"/>
        <v>109914.0572725</v>
      </c>
      <c r="AE16" s="36">
        <f t="shared" si="13"/>
        <v>15693.285621199999</v>
      </c>
      <c r="AH16" s="5">
        <f t="shared" si="14"/>
        <v>130622.01327499999</v>
      </c>
      <c r="AI16" s="5">
        <f t="shared" si="15"/>
        <v>130622.01327499999</v>
      </c>
      <c r="AJ16" s="36">
        <f t="shared" si="16"/>
        <v>18649.921707999998</v>
      </c>
      <c r="AL16" s="36"/>
      <c r="AM16" s="36">
        <f t="shared" si="17"/>
        <v>7802.087084999999</v>
      </c>
      <c r="AN16" s="5">
        <f t="shared" si="18"/>
        <v>7802.087084999999</v>
      </c>
      <c r="AO16" s="36">
        <f t="shared" si="19"/>
        <v>1113.9647112</v>
      </c>
      <c r="AQ16" s="36"/>
      <c r="AR16" s="36">
        <f t="shared" si="20"/>
        <v>702.31746</v>
      </c>
      <c r="AS16" s="5">
        <f t="shared" si="21"/>
        <v>702.31746</v>
      </c>
      <c r="AT16" s="36">
        <f t="shared" si="22"/>
        <v>100.27533120000001</v>
      </c>
      <c r="AU16" s="5"/>
      <c r="AV16" s="36"/>
      <c r="AW16" s="36">
        <f t="shared" si="23"/>
        <v>143695.40926</v>
      </c>
      <c r="AX16" s="5">
        <f t="shared" si="24"/>
        <v>143695.40926</v>
      </c>
      <c r="AY16" s="36">
        <f t="shared" si="25"/>
        <v>20516.5122272</v>
      </c>
      <c r="AZ16" s="5"/>
      <c r="BA16" s="36"/>
      <c r="BB16" s="36">
        <f t="shared" si="26"/>
        <v>5.1063350000000005</v>
      </c>
      <c r="BC16" s="5">
        <f t="shared" si="27"/>
        <v>5.1063350000000005</v>
      </c>
      <c r="BD16" s="36">
        <f t="shared" si="28"/>
        <v>0.7290712</v>
      </c>
      <c r="BE16" s="5"/>
      <c r="BF16" s="36"/>
      <c r="BG16" s="36">
        <f t="shared" si="29"/>
        <v>183543.28362499998</v>
      </c>
      <c r="BH16" s="5">
        <f t="shared" si="30"/>
        <v>183543.28362499998</v>
      </c>
      <c r="BI16" s="36">
        <f t="shared" si="31"/>
        <v>26205.903459999998</v>
      </c>
      <c r="BJ16" s="5"/>
      <c r="BK16" s="36"/>
      <c r="BL16" s="36">
        <f t="shared" si="32"/>
        <v>433.0564875</v>
      </c>
      <c r="BM16" s="5">
        <f t="shared" si="33"/>
        <v>433.0564875</v>
      </c>
      <c r="BN16" s="36">
        <f t="shared" si="34"/>
        <v>61.830846</v>
      </c>
      <c r="BO16" s="5"/>
      <c r="BP16" s="36"/>
      <c r="BQ16" s="36">
        <f t="shared" si="35"/>
        <v>76960.9135425</v>
      </c>
      <c r="BR16" s="5">
        <f t="shared" si="36"/>
        <v>76960.9135425</v>
      </c>
      <c r="BS16" s="36">
        <f t="shared" si="37"/>
        <v>10988.308755600001</v>
      </c>
      <c r="BT16" s="5"/>
      <c r="BU16" s="5"/>
      <c r="BV16" s="5">
        <f t="shared" si="38"/>
        <v>388.474255</v>
      </c>
      <c r="BW16" s="5">
        <f t="shared" si="39"/>
        <v>388.474255</v>
      </c>
      <c r="BX16" s="36">
        <f t="shared" si="40"/>
        <v>55.4654936</v>
      </c>
      <c r="BY16" s="5"/>
      <c r="BZ16" s="36"/>
      <c r="CA16" s="36">
        <f t="shared" si="41"/>
        <v>15104.146134999999</v>
      </c>
      <c r="CB16" s="5">
        <f t="shared" si="42"/>
        <v>15104.146134999999</v>
      </c>
      <c r="CC16" s="36">
        <f t="shared" si="43"/>
        <v>2156.5365272</v>
      </c>
      <c r="CD16" s="5"/>
      <c r="CE16" s="36"/>
      <c r="CF16" s="36">
        <f t="shared" si="44"/>
        <v>8041.1028425</v>
      </c>
      <c r="CG16" s="5">
        <f t="shared" si="45"/>
        <v>8041.1028425</v>
      </c>
      <c r="CH16" s="36">
        <f t="shared" si="46"/>
        <v>1148.0908516000002</v>
      </c>
      <c r="CI16" s="5"/>
      <c r="CJ16" s="5"/>
      <c r="CK16" s="36">
        <f t="shared" si="47"/>
        <v>26202.176065</v>
      </c>
      <c r="CL16" s="36">
        <f t="shared" si="48"/>
        <v>26202.176065</v>
      </c>
      <c r="CM16" s="36">
        <f t="shared" si="49"/>
        <v>3741.0886568</v>
      </c>
      <c r="CN16" s="5"/>
      <c r="CO16" s="5"/>
      <c r="CP16" s="36">
        <f t="shared" si="50"/>
        <v>230644.70685750002</v>
      </c>
      <c r="CQ16" s="36">
        <f t="shared" si="51"/>
        <v>230644.70685750002</v>
      </c>
      <c r="CR16" s="36">
        <f t="shared" si="52"/>
        <v>32930.9403324</v>
      </c>
      <c r="CS16" s="5"/>
      <c r="CT16" s="36"/>
      <c r="CU16" s="36">
        <f t="shared" si="53"/>
        <v>477512.4364075</v>
      </c>
      <c r="CV16" s="5">
        <f t="shared" si="54"/>
        <v>477512.4364075</v>
      </c>
      <c r="CW16" s="36">
        <f t="shared" si="55"/>
        <v>68178.1679084</v>
      </c>
      <c r="CX16" s="5"/>
      <c r="CY16" s="5"/>
      <c r="CZ16" s="5">
        <f t="shared" si="56"/>
        <v>21193.0578275</v>
      </c>
      <c r="DA16" s="5">
        <f t="shared" si="57"/>
        <v>21193.0578275</v>
      </c>
      <c r="DB16" s="36">
        <f t="shared" si="58"/>
        <v>3025.8978508</v>
      </c>
      <c r="DC16" s="5"/>
      <c r="DD16" s="36"/>
      <c r="DE16" s="36">
        <f t="shared" si="59"/>
        <v>23507.7987625</v>
      </c>
      <c r="DF16" s="5">
        <f t="shared" si="60"/>
        <v>23507.7987625</v>
      </c>
      <c r="DG16" s="36">
        <f t="shared" si="61"/>
        <v>3356.3914339999997</v>
      </c>
      <c r="DH16" s="5"/>
      <c r="DI16" s="36"/>
      <c r="DJ16" s="36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</row>
    <row r="17" spans="1:131" ht="12">
      <c r="A17" s="37">
        <v>43556</v>
      </c>
      <c r="C17" s="3">
        <v>4925000</v>
      </c>
      <c r="D17" s="3">
        <v>1963975</v>
      </c>
      <c r="E17" s="35">
        <f t="shared" si="0"/>
        <v>6888975</v>
      </c>
      <c r="F17" s="35">
        <v>280412</v>
      </c>
      <c r="H17" s="36">
        <v>742306</v>
      </c>
      <c r="I17" s="36">
        <v>296014</v>
      </c>
      <c r="J17" s="36">
        <f t="shared" si="1"/>
        <v>1038320</v>
      </c>
      <c r="K17" s="35">
        <f>'Academic Project '!K17</f>
        <v>42264.25746400001</v>
      </c>
      <c r="M17" s="36">
        <f t="shared" si="62"/>
        <v>4182694.15</v>
      </c>
      <c r="N17" s="35">
        <f t="shared" si="2"/>
        <v>1667960.7600499997</v>
      </c>
      <c r="O17" s="5">
        <f t="shared" si="3"/>
        <v>5850654.910049999</v>
      </c>
      <c r="P17" s="35">
        <f t="shared" si="4"/>
        <v>238147.74253599998</v>
      </c>
      <c r="R17" s="36">
        <f t="shared" si="63"/>
        <v>188775.7425</v>
      </c>
      <c r="S17" s="36">
        <f t="shared" si="5"/>
        <v>75279.3581475</v>
      </c>
      <c r="T17" s="5">
        <f t="shared" si="6"/>
        <v>264055.1006475</v>
      </c>
      <c r="U17" s="36">
        <f t="shared" si="7"/>
        <v>10748.2200012</v>
      </c>
      <c r="W17" s="5">
        <f t="shared" si="64"/>
        <v>342069.32249999995</v>
      </c>
      <c r="X17" s="36">
        <f t="shared" si="8"/>
        <v>136409.2584075</v>
      </c>
      <c r="Y17" s="36">
        <f t="shared" si="9"/>
        <v>478478.58090749994</v>
      </c>
      <c r="Z17" s="36">
        <f t="shared" si="10"/>
        <v>19476.211748399997</v>
      </c>
      <c r="AB17" s="5">
        <f t="shared" si="65"/>
        <v>275628.1175</v>
      </c>
      <c r="AC17" s="5">
        <f t="shared" si="11"/>
        <v>109914.0572725</v>
      </c>
      <c r="AD17" s="5">
        <f t="shared" si="12"/>
        <v>385542.1747725</v>
      </c>
      <c r="AE17" s="36">
        <f t="shared" si="13"/>
        <v>15693.285621199999</v>
      </c>
      <c r="AG17" s="5">
        <f t="shared" si="66"/>
        <v>327556.825</v>
      </c>
      <c r="AH17" s="5">
        <f t="shared" si="14"/>
        <v>130622.01327499999</v>
      </c>
      <c r="AI17" s="5">
        <f t="shared" si="15"/>
        <v>458178.838275</v>
      </c>
      <c r="AJ17" s="36">
        <f t="shared" si="16"/>
        <v>18649.921707999998</v>
      </c>
      <c r="AL17" s="36">
        <f t="shared" si="67"/>
        <v>19565.055</v>
      </c>
      <c r="AM17" s="36">
        <f t="shared" si="17"/>
        <v>7802.087084999999</v>
      </c>
      <c r="AN17" s="5">
        <f t="shared" si="18"/>
        <v>27367.142085</v>
      </c>
      <c r="AO17" s="36">
        <f t="shared" si="19"/>
        <v>1113.9647112</v>
      </c>
      <c r="AQ17" s="36">
        <f t="shared" si="68"/>
        <v>1761.18</v>
      </c>
      <c r="AR17" s="36">
        <f t="shared" si="20"/>
        <v>702.31746</v>
      </c>
      <c r="AS17" s="5">
        <f t="shared" si="21"/>
        <v>2463.49746</v>
      </c>
      <c r="AT17" s="36">
        <f t="shared" si="22"/>
        <v>100.27533120000001</v>
      </c>
      <c r="AU17" s="5"/>
      <c r="AV17" s="36">
        <f t="shared" si="69"/>
        <v>360340.57999999996</v>
      </c>
      <c r="AW17" s="36">
        <f t="shared" si="23"/>
        <v>143695.40926</v>
      </c>
      <c r="AX17" s="5">
        <f t="shared" si="24"/>
        <v>504035.98925999994</v>
      </c>
      <c r="AY17" s="36">
        <f t="shared" si="25"/>
        <v>20516.5122272</v>
      </c>
      <c r="AZ17" s="5"/>
      <c r="BA17" s="36">
        <f t="shared" si="70"/>
        <v>12.805</v>
      </c>
      <c r="BB17" s="36">
        <f t="shared" si="26"/>
        <v>5.1063350000000005</v>
      </c>
      <c r="BC17" s="5">
        <f t="shared" si="27"/>
        <v>17.911335</v>
      </c>
      <c r="BD17" s="36">
        <f t="shared" si="28"/>
        <v>0.7290712</v>
      </c>
      <c r="BE17" s="5"/>
      <c r="BF17" s="36">
        <f t="shared" si="71"/>
        <v>460265.875</v>
      </c>
      <c r="BG17" s="36">
        <f t="shared" si="29"/>
        <v>183543.28362499998</v>
      </c>
      <c r="BH17" s="5">
        <f t="shared" si="30"/>
        <v>643809.1586249999</v>
      </c>
      <c r="BI17" s="36">
        <f t="shared" si="31"/>
        <v>26205.903459999998</v>
      </c>
      <c r="BJ17" s="5"/>
      <c r="BK17" s="36">
        <f t="shared" si="72"/>
        <v>1085.9624999999999</v>
      </c>
      <c r="BL17" s="36">
        <f t="shared" si="32"/>
        <v>433.0564875</v>
      </c>
      <c r="BM17" s="5">
        <f t="shared" si="33"/>
        <v>1519.0189874999999</v>
      </c>
      <c r="BN17" s="36">
        <f t="shared" si="34"/>
        <v>61.830846</v>
      </c>
      <c r="BO17" s="5"/>
      <c r="BP17" s="36">
        <f t="shared" si="73"/>
        <v>192992.5275</v>
      </c>
      <c r="BQ17" s="36">
        <f t="shared" si="35"/>
        <v>76960.9135425</v>
      </c>
      <c r="BR17" s="5">
        <f t="shared" si="36"/>
        <v>269953.44104249997</v>
      </c>
      <c r="BS17" s="36">
        <f t="shared" si="37"/>
        <v>10988.308755600001</v>
      </c>
      <c r="BT17" s="5"/>
      <c r="BU17" s="5">
        <f t="shared" si="74"/>
        <v>974.1650000000001</v>
      </c>
      <c r="BV17" s="5">
        <f t="shared" si="38"/>
        <v>388.474255</v>
      </c>
      <c r="BW17" s="5">
        <f t="shared" si="39"/>
        <v>1362.639255</v>
      </c>
      <c r="BX17" s="36">
        <f t="shared" si="40"/>
        <v>55.4654936</v>
      </c>
      <c r="BY17" s="5"/>
      <c r="BZ17" s="36">
        <f t="shared" si="75"/>
        <v>37876.205</v>
      </c>
      <c r="CA17" s="36">
        <f t="shared" si="41"/>
        <v>15104.146134999999</v>
      </c>
      <c r="CB17" s="5">
        <f t="shared" si="42"/>
        <v>52980.351135000004</v>
      </c>
      <c r="CC17" s="36">
        <f t="shared" si="43"/>
        <v>2156.5365272</v>
      </c>
      <c r="CD17" s="5"/>
      <c r="CE17" s="36">
        <f t="shared" si="76"/>
        <v>20164.4275</v>
      </c>
      <c r="CF17" s="36">
        <f t="shared" si="44"/>
        <v>8041.1028425</v>
      </c>
      <c r="CG17" s="5">
        <f t="shared" si="45"/>
        <v>28205.530342500002</v>
      </c>
      <c r="CH17" s="36">
        <f t="shared" si="46"/>
        <v>1148.0908516000002</v>
      </c>
      <c r="CI17" s="5"/>
      <c r="CJ17" s="5">
        <f t="shared" si="77"/>
        <v>65706.395</v>
      </c>
      <c r="CK17" s="36">
        <f t="shared" si="47"/>
        <v>26202.176065</v>
      </c>
      <c r="CL17" s="36">
        <f t="shared" si="48"/>
        <v>91908.571065</v>
      </c>
      <c r="CM17" s="36">
        <f t="shared" si="49"/>
        <v>3741.0886568</v>
      </c>
      <c r="CN17" s="5"/>
      <c r="CO17" s="5">
        <f t="shared" si="78"/>
        <v>578380.6725</v>
      </c>
      <c r="CP17" s="36">
        <f t="shared" si="50"/>
        <v>230644.70685750002</v>
      </c>
      <c r="CQ17" s="36">
        <f t="shared" si="51"/>
        <v>809025.3793575</v>
      </c>
      <c r="CR17" s="36">
        <f t="shared" si="52"/>
        <v>32930.9403324</v>
      </c>
      <c r="CS17" s="5"/>
      <c r="CT17" s="36">
        <f t="shared" si="79"/>
        <v>1197443.3225</v>
      </c>
      <c r="CU17" s="36">
        <f t="shared" si="53"/>
        <v>477512.4364075</v>
      </c>
      <c r="CV17" s="5">
        <f t="shared" si="54"/>
        <v>1674955.7589075</v>
      </c>
      <c r="CW17" s="36">
        <f t="shared" si="55"/>
        <v>68178.1679084</v>
      </c>
      <c r="CX17" s="5"/>
      <c r="CY17" s="5">
        <f t="shared" si="80"/>
        <v>53145.1825</v>
      </c>
      <c r="CZ17" s="5">
        <f t="shared" si="56"/>
        <v>21193.0578275</v>
      </c>
      <c r="DA17" s="5">
        <f t="shared" si="57"/>
        <v>74338.24032750001</v>
      </c>
      <c r="DB17" s="36">
        <f t="shared" si="58"/>
        <v>3025.8978508</v>
      </c>
      <c r="DC17" s="5"/>
      <c r="DD17" s="36">
        <f t="shared" si="81"/>
        <v>58949.7875</v>
      </c>
      <c r="DE17" s="36">
        <f t="shared" si="59"/>
        <v>23507.7987625</v>
      </c>
      <c r="DF17" s="5">
        <f t="shared" si="60"/>
        <v>82457.5862625</v>
      </c>
      <c r="DG17" s="36">
        <f t="shared" si="61"/>
        <v>3356.3914339999997</v>
      </c>
      <c r="DH17" s="5"/>
      <c r="DI17" s="36"/>
      <c r="DJ17" s="36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</row>
    <row r="18" spans="1:131" ht="12">
      <c r="A18" s="37">
        <v>43739</v>
      </c>
      <c r="D18" s="3">
        <v>1840850</v>
      </c>
      <c r="E18" s="35">
        <f t="shared" si="0"/>
        <v>1840850</v>
      </c>
      <c r="F18" s="35">
        <v>280412</v>
      </c>
      <c r="H18" s="36"/>
      <c r="I18" s="36">
        <v>277457</v>
      </c>
      <c r="J18" s="36">
        <f t="shared" si="1"/>
        <v>277457</v>
      </c>
      <c r="K18" s="35">
        <f>'Academic Project '!K18</f>
        <v>42264.25746400001</v>
      </c>
      <c r="M18" s="36"/>
      <c r="N18" s="35">
        <f t="shared" si="2"/>
        <v>1563393.4063000001</v>
      </c>
      <c r="O18" s="5">
        <f t="shared" si="3"/>
        <v>1563393.4063000001</v>
      </c>
      <c r="P18" s="35">
        <f t="shared" si="4"/>
        <v>238147.74253599998</v>
      </c>
      <c r="R18" s="36"/>
      <c r="S18" s="36">
        <f t="shared" si="5"/>
        <v>70559.964585</v>
      </c>
      <c r="T18" s="5">
        <f t="shared" si="6"/>
        <v>70559.964585</v>
      </c>
      <c r="U18" s="36">
        <f t="shared" si="7"/>
        <v>10748.2200012</v>
      </c>
      <c r="X18" s="36">
        <f t="shared" si="8"/>
        <v>127857.52534499999</v>
      </c>
      <c r="Y18" s="36">
        <f t="shared" si="9"/>
        <v>127857.52534499999</v>
      </c>
      <c r="Z18" s="36">
        <f t="shared" si="10"/>
        <v>19476.211748399997</v>
      </c>
      <c r="AC18" s="5">
        <f t="shared" si="11"/>
        <v>103023.354335</v>
      </c>
      <c r="AD18" s="5">
        <f t="shared" si="12"/>
        <v>103023.354335</v>
      </c>
      <c r="AE18" s="36">
        <f t="shared" si="13"/>
        <v>15693.285621199999</v>
      </c>
      <c r="AH18" s="5">
        <f t="shared" si="14"/>
        <v>122433.09264999999</v>
      </c>
      <c r="AI18" s="5">
        <f t="shared" si="15"/>
        <v>122433.09264999999</v>
      </c>
      <c r="AJ18" s="36">
        <f t="shared" si="16"/>
        <v>18649.921707999998</v>
      </c>
      <c r="AL18" s="36"/>
      <c r="AM18" s="36">
        <f t="shared" si="17"/>
        <v>7312.960709999999</v>
      </c>
      <c r="AN18" s="5">
        <f t="shared" si="18"/>
        <v>7312.960709999999</v>
      </c>
      <c r="AO18" s="36">
        <f t="shared" si="19"/>
        <v>1113.9647112</v>
      </c>
      <c r="AQ18" s="36"/>
      <c r="AR18" s="36">
        <f t="shared" si="20"/>
        <v>658.28796</v>
      </c>
      <c r="AS18" s="5">
        <f t="shared" si="21"/>
        <v>658.28796</v>
      </c>
      <c r="AT18" s="36">
        <f t="shared" si="22"/>
        <v>100.27533120000001</v>
      </c>
      <c r="AU18" s="5"/>
      <c r="AV18" s="36"/>
      <c r="AW18" s="36">
        <f t="shared" si="23"/>
        <v>134686.89476</v>
      </c>
      <c r="AX18" s="5">
        <f t="shared" si="24"/>
        <v>134686.89476</v>
      </c>
      <c r="AY18" s="36">
        <f t="shared" si="25"/>
        <v>20516.5122272</v>
      </c>
      <c r="AZ18" s="5"/>
      <c r="BA18" s="36"/>
      <c r="BB18" s="36">
        <f t="shared" si="26"/>
        <v>4.7862100000000005</v>
      </c>
      <c r="BC18" s="5">
        <f t="shared" si="27"/>
        <v>4.7862100000000005</v>
      </c>
      <c r="BD18" s="36">
        <f t="shared" si="28"/>
        <v>0.7290712</v>
      </c>
      <c r="BE18" s="5"/>
      <c r="BF18" s="36"/>
      <c r="BG18" s="36">
        <f t="shared" si="29"/>
        <v>172036.63675</v>
      </c>
      <c r="BH18" s="5">
        <f t="shared" si="30"/>
        <v>172036.63675</v>
      </c>
      <c r="BI18" s="36">
        <f t="shared" si="31"/>
        <v>26205.903459999998</v>
      </c>
      <c r="BJ18" s="5"/>
      <c r="BK18" s="36"/>
      <c r="BL18" s="36">
        <f t="shared" si="32"/>
        <v>405.907425</v>
      </c>
      <c r="BM18" s="5">
        <f t="shared" si="33"/>
        <v>405.907425</v>
      </c>
      <c r="BN18" s="36">
        <f t="shared" si="34"/>
        <v>61.830846</v>
      </c>
      <c r="BO18" s="5"/>
      <c r="BP18" s="36"/>
      <c r="BQ18" s="36">
        <f t="shared" si="35"/>
        <v>72136.100355</v>
      </c>
      <c r="BR18" s="5">
        <f t="shared" si="36"/>
        <v>72136.100355</v>
      </c>
      <c r="BS18" s="36">
        <f t="shared" si="37"/>
        <v>10988.308755600001</v>
      </c>
      <c r="BT18" s="5"/>
      <c r="BU18" s="5"/>
      <c r="BV18" s="5">
        <f t="shared" si="38"/>
        <v>364.12013</v>
      </c>
      <c r="BW18" s="5">
        <f t="shared" si="39"/>
        <v>364.12013</v>
      </c>
      <c r="BX18" s="36">
        <f t="shared" si="40"/>
        <v>55.4654936</v>
      </c>
      <c r="BY18" s="5"/>
      <c r="BZ18" s="36"/>
      <c r="CA18" s="36">
        <f t="shared" si="41"/>
        <v>14157.24101</v>
      </c>
      <c r="CB18" s="5">
        <f t="shared" si="42"/>
        <v>14157.24101</v>
      </c>
      <c r="CC18" s="36">
        <f t="shared" si="43"/>
        <v>2156.5365272</v>
      </c>
      <c r="CD18" s="5"/>
      <c r="CE18" s="36"/>
      <c r="CF18" s="36">
        <f t="shared" si="44"/>
        <v>7536.992155000001</v>
      </c>
      <c r="CG18" s="5">
        <f t="shared" si="45"/>
        <v>7536.992155000001</v>
      </c>
      <c r="CH18" s="36">
        <f t="shared" si="46"/>
        <v>1148.0908516000002</v>
      </c>
      <c r="CI18" s="5"/>
      <c r="CJ18" s="5"/>
      <c r="CK18" s="36">
        <f t="shared" si="47"/>
        <v>24559.51619</v>
      </c>
      <c r="CL18" s="36">
        <f t="shared" si="48"/>
        <v>24559.51619</v>
      </c>
      <c r="CM18" s="36">
        <f t="shared" si="49"/>
        <v>3741.0886568</v>
      </c>
      <c r="CN18" s="5"/>
      <c r="CO18" s="5"/>
      <c r="CP18" s="36">
        <f t="shared" si="50"/>
        <v>216185.19004500002</v>
      </c>
      <c r="CQ18" s="36">
        <f t="shared" si="51"/>
        <v>216185.19004500002</v>
      </c>
      <c r="CR18" s="36">
        <f t="shared" si="52"/>
        <v>32930.9403324</v>
      </c>
      <c r="CS18" s="5"/>
      <c r="CT18" s="36"/>
      <c r="CU18" s="36">
        <f t="shared" si="53"/>
        <v>447576.353345</v>
      </c>
      <c r="CV18" s="5">
        <f t="shared" si="54"/>
        <v>447576.353345</v>
      </c>
      <c r="CW18" s="36">
        <f t="shared" si="55"/>
        <v>68178.1679084</v>
      </c>
      <c r="CX18" s="5"/>
      <c r="CY18" s="5"/>
      <c r="CZ18" s="5">
        <f t="shared" si="56"/>
        <v>19864.428265000002</v>
      </c>
      <c r="DA18" s="5">
        <f t="shared" si="57"/>
        <v>19864.428265000002</v>
      </c>
      <c r="DB18" s="36">
        <f t="shared" si="58"/>
        <v>3025.8978508</v>
      </c>
      <c r="DC18" s="5"/>
      <c r="DD18" s="36"/>
      <c r="DE18" s="36">
        <f t="shared" si="59"/>
        <v>22034.054075</v>
      </c>
      <c r="DF18" s="5">
        <f t="shared" si="60"/>
        <v>22034.054075</v>
      </c>
      <c r="DG18" s="36">
        <f t="shared" si="61"/>
        <v>3356.3914339999997</v>
      </c>
      <c r="DH18" s="5"/>
      <c r="DI18" s="36"/>
      <c r="DJ18" s="36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</row>
    <row r="19" spans="1:131" ht="12">
      <c r="A19" s="37">
        <v>43922</v>
      </c>
      <c r="C19" s="3">
        <v>5170000</v>
      </c>
      <c r="D19" s="3">
        <v>1840850</v>
      </c>
      <c r="E19" s="35">
        <f t="shared" si="0"/>
        <v>7010850</v>
      </c>
      <c r="F19" s="35">
        <v>280412</v>
      </c>
      <c r="H19" s="36">
        <v>779233</v>
      </c>
      <c r="I19" s="36">
        <v>277457</v>
      </c>
      <c r="J19" s="36">
        <f t="shared" si="1"/>
        <v>1056690</v>
      </c>
      <c r="K19" s="35">
        <f>'Academic Project '!K19</f>
        <v>42264.25746400001</v>
      </c>
      <c r="M19" s="36">
        <f t="shared" si="62"/>
        <v>4390767.260000001</v>
      </c>
      <c r="N19" s="35">
        <f t="shared" si="2"/>
        <v>1563393.4063000001</v>
      </c>
      <c r="O19" s="5">
        <f t="shared" si="3"/>
        <v>5954160.666300001</v>
      </c>
      <c r="P19" s="35">
        <f t="shared" si="4"/>
        <v>238147.74253599998</v>
      </c>
      <c r="R19" s="36">
        <f t="shared" si="63"/>
        <v>198166.617</v>
      </c>
      <c r="S19" s="36">
        <f t="shared" si="5"/>
        <v>70559.964585</v>
      </c>
      <c r="T19" s="5">
        <f t="shared" si="6"/>
        <v>268726.581585</v>
      </c>
      <c r="U19" s="36">
        <f t="shared" si="7"/>
        <v>10748.2200012</v>
      </c>
      <c r="W19" s="5">
        <f t="shared" si="64"/>
        <v>359085.969</v>
      </c>
      <c r="X19" s="36">
        <f t="shared" si="8"/>
        <v>127857.52534499999</v>
      </c>
      <c r="Y19" s="36">
        <f t="shared" si="9"/>
        <v>486943.49434499996</v>
      </c>
      <c r="Z19" s="36">
        <f t="shared" si="10"/>
        <v>19476.211748399997</v>
      </c>
      <c r="AB19" s="5">
        <f t="shared" si="65"/>
        <v>289339.567</v>
      </c>
      <c r="AC19" s="5">
        <f t="shared" si="11"/>
        <v>103023.354335</v>
      </c>
      <c r="AD19" s="5">
        <f t="shared" si="12"/>
        <v>392362.92133499996</v>
      </c>
      <c r="AE19" s="36">
        <f t="shared" si="13"/>
        <v>15693.285621199999</v>
      </c>
      <c r="AG19" s="5">
        <f t="shared" si="66"/>
        <v>343851.52999999997</v>
      </c>
      <c r="AH19" s="5">
        <f t="shared" si="14"/>
        <v>122433.09264999999</v>
      </c>
      <c r="AI19" s="5">
        <f t="shared" si="15"/>
        <v>466284.62265</v>
      </c>
      <c r="AJ19" s="36">
        <f t="shared" si="16"/>
        <v>18649.921707999998</v>
      </c>
      <c r="AL19" s="36">
        <f t="shared" si="67"/>
        <v>20538.341999999997</v>
      </c>
      <c r="AM19" s="36">
        <f t="shared" si="17"/>
        <v>7312.960709999999</v>
      </c>
      <c r="AN19" s="5">
        <f t="shared" si="18"/>
        <v>27851.302709999996</v>
      </c>
      <c r="AO19" s="36">
        <f t="shared" si="19"/>
        <v>1113.9647112</v>
      </c>
      <c r="AQ19" s="36">
        <f t="shared" si="68"/>
        <v>1848.7920000000001</v>
      </c>
      <c r="AR19" s="36">
        <f t="shared" si="20"/>
        <v>658.28796</v>
      </c>
      <c r="AS19" s="5">
        <f t="shared" si="21"/>
        <v>2507.07996</v>
      </c>
      <c r="AT19" s="36">
        <f t="shared" si="22"/>
        <v>100.27533120000001</v>
      </c>
      <c r="AU19" s="5"/>
      <c r="AV19" s="36">
        <f t="shared" si="69"/>
        <v>378266.152</v>
      </c>
      <c r="AW19" s="36">
        <f t="shared" si="23"/>
        <v>134686.89476</v>
      </c>
      <c r="AX19" s="5">
        <f t="shared" si="24"/>
        <v>512953.04676</v>
      </c>
      <c r="AY19" s="36">
        <f t="shared" si="25"/>
        <v>20516.5122272</v>
      </c>
      <c r="AZ19" s="5"/>
      <c r="BA19" s="36">
        <f t="shared" si="70"/>
        <v>13.442</v>
      </c>
      <c r="BB19" s="36">
        <f t="shared" si="26"/>
        <v>4.7862100000000005</v>
      </c>
      <c r="BC19" s="5">
        <f t="shared" si="27"/>
        <v>18.22821</v>
      </c>
      <c r="BD19" s="36">
        <f t="shared" si="28"/>
        <v>0.7290712</v>
      </c>
      <c r="BE19" s="5"/>
      <c r="BF19" s="36">
        <f t="shared" si="71"/>
        <v>483162.35</v>
      </c>
      <c r="BG19" s="36">
        <f t="shared" si="29"/>
        <v>172036.63675</v>
      </c>
      <c r="BH19" s="5">
        <f t="shared" si="30"/>
        <v>655198.9867499999</v>
      </c>
      <c r="BI19" s="36">
        <f t="shared" si="31"/>
        <v>26205.903459999998</v>
      </c>
      <c r="BJ19" s="5"/>
      <c r="BK19" s="36">
        <f t="shared" si="72"/>
        <v>1139.985</v>
      </c>
      <c r="BL19" s="36">
        <f t="shared" si="32"/>
        <v>405.907425</v>
      </c>
      <c r="BM19" s="5">
        <f t="shared" si="33"/>
        <v>1545.892425</v>
      </c>
      <c r="BN19" s="36">
        <f t="shared" si="34"/>
        <v>61.830846</v>
      </c>
      <c r="BO19" s="5"/>
      <c r="BP19" s="36">
        <f t="shared" si="73"/>
        <v>202593.171</v>
      </c>
      <c r="BQ19" s="36">
        <f t="shared" si="35"/>
        <v>72136.100355</v>
      </c>
      <c r="BR19" s="5">
        <f t="shared" si="36"/>
        <v>274729.271355</v>
      </c>
      <c r="BS19" s="36">
        <f t="shared" si="37"/>
        <v>10988.308755600001</v>
      </c>
      <c r="BT19" s="5"/>
      <c r="BU19" s="5">
        <f t="shared" si="74"/>
        <v>1022.6260000000001</v>
      </c>
      <c r="BV19" s="5">
        <f t="shared" si="38"/>
        <v>364.12013</v>
      </c>
      <c r="BW19" s="5">
        <f t="shared" si="39"/>
        <v>1386.74613</v>
      </c>
      <c r="BX19" s="36">
        <f t="shared" si="40"/>
        <v>55.4654936</v>
      </c>
      <c r="BY19" s="5"/>
      <c r="BZ19" s="36">
        <f t="shared" si="75"/>
        <v>39760.402</v>
      </c>
      <c r="CA19" s="36">
        <f t="shared" si="41"/>
        <v>14157.24101</v>
      </c>
      <c r="CB19" s="5">
        <f t="shared" si="42"/>
        <v>53917.64301</v>
      </c>
      <c r="CC19" s="36">
        <f t="shared" si="43"/>
        <v>2156.5365272</v>
      </c>
      <c r="CD19" s="5"/>
      <c r="CE19" s="36">
        <f t="shared" si="76"/>
        <v>21167.531000000003</v>
      </c>
      <c r="CF19" s="36">
        <f t="shared" si="44"/>
        <v>7536.992155000001</v>
      </c>
      <c r="CG19" s="5">
        <f t="shared" si="45"/>
        <v>28704.523155000003</v>
      </c>
      <c r="CH19" s="36">
        <f t="shared" si="46"/>
        <v>1148.0908516000002</v>
      </c>
      <c r="CI19" s="5"/>
      <c r="CJ19" s="5">
        <f t="shared" si="77"/>
        <v>68975.038</v>
      </c>
      <c r="CK19" s="36">
        <f t="shared" si="47"/>
        <v>24559.51619</v>
      </c>
      <c r="CL19" s="36">
        <f t="shared" si="48"/>
        <v>93534.55419</v>
      </c>
      <c r="CM19" s="36">
        <f t="shared" si="49"/>
        <v>3741.0886568</v>
      </c>
      <c r="CN19" s="5"/>
      <c r="CO19" s="5">
        <f t="shared" si="78"/>
        <v>607152.909</v>
      </c>
      <c r="CP19" s="36">
        <f t="shared" si="50"/>
        <v>216185.19004500002</v>
      </c>
      <c r="CQ19" s="36">
        <f t="shared" si="51"/>
        <v>823338.099045</v>
      </c>
      <c r="CR19" s="36">
        <f t="shared" si="52"/>
        <v>32930.9403324</v>
      </c>
      <c r="CS19" s="5"/>
      <c r="CT19" s="36">
        <f t="shared" si="79"/>
        <v>1257011.5690000001</v>
      </c>
      <c r="CU19" s="36">
        <f t="shared" si="53"/>
        <v>447576.353345</v>
      </c>
      <c r="CV19" s="5">
        <f t="shared" si="54"/>
        <v>1704587.922345</v>
      </c>
      <c r="CW19" s="36">
        <f t="shared" si="55"/>
        <v>68178.1679084</v>
      </c>
      <c r="CX19" s="5"/>
      <c r="CY19" s="5">
        <f t="shared" si="80"/>
        <v>55788.953</v>
      </c>
      <c r="CZ19" s="5">
        <f t="shared" si="56"/>
        <v>19864.428265000002</v>
      </c>
      <c r="DA19" s="5">
        <f t="shared" si="57"/>
        <v>75653.381265</v>
      </c>
      <c r="DB19" s="36">
        <f t="shared" si="58"/>
        <v>3025.8978508</v>
      </c>
      <c r="DC19" s="5"/>
      <c r="DD19" s="36">
        <f t="shared" si="81"/>
        <v>61882.314999999995</v>
      </c>
      <c r="DE19" s="36">
        <f t="shared" si="59"/>
        <v>22034.054075</v>
      </c>
      <c r="DF19" s="5">
        <f t="shared" si="60"/>
        <v>83916.369075</v>
      </c>
      <c r="DG19" s="36">
        <f t="shared" si="61"/>
        <v>3356.3914339999997</v>
      </c>
      <c r="DH19" s="5"/>
      <c r="DI19" s="36"/>
      <c r="DJ19" s="36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</row>
    <row r="20" spans="1:131" ht="12">
      <c r="A20" s="37">
        <v>44105</v>
      </c>
      <c r="D20" s="3">
        <v>1711600</v>
      </c>
      <c r="E20" s="35">
        <f t="shared" si="0"/>
        <v>1711600</v>
      </c>
      <c r="F20" s="35">
        <v>280412</v>
      </c>
      <c r="H20" s="36"/>
      <c r="I20" s="36">
        <v>257976</v>
      </c>
      <c r="J20" s="36">
        <f t="shared" si="1"/>
        <v>257976</v>
      </c>
      <c r="K20" s="35">
        <f>'Academic Project '!K20</f>
        <v>42264.25746400001</v>
      </c>
      <c r="M20" s="36"/>
      <c r="N20" s="35">
        <f t="shared" si="2"/>
        <v>1453624.2248</v>
      </c>
      <c r="O20" s="5">
        <f t="shared" si="3"/>
        <v>1453624.2248</v>
      </c>
      <c r="P20" s="35">
        <f t="shared" si="4"/>
        <v>238147.74253599998</v>
      </c>
      <c r="R20" s="36"/>
      <c r="S20" s="36">
        <f t="shared" si="5"/>
        <v>65605.79916</v>
      </c>
      <c r="T20" s="5">
        <f t="shared" si="6"/>
        <v>65605.79916</v>
      </c>
      <c r="U20" s="36">
        <f t="shared" si="7"/>
        <v>10748.2200012</v>
      </c>
      <c r="X20" s="36">
        <f t="shared" si="8"/>
        <v>118880.37611999999</v>
      </c>
      <c r="Y20" s="36">
        <f t="shared" si="9"/>
        <v>118880.37611999999</v>
      </c>
      <c r="Z20" s="36">
        <f t="shared" si="10"/>
        <v>19476.211748399997</v>
      </c>
      <c r="AC20" s="5">
        <f t="shared" si="11"/>
        <v>95789.86516</v>
      </c>
      <c r="AD20" s="5">
        <f t="shared" si="12"/>
        <v>95789.86516</v>
      </c>
      <c r="AE20" s="36">
        <f t="shared" si="13"/>
        <v>15693.285621199999</v>
      </c>
      <c r="AH20" s="5">
        <f t="shared" si="14"/>
        <v>113836.8044</v>
      </c>
      <c r="AI20" s="5">
        <f t="shared" si="15"/>
        <v>113836.8044</v>
      </c>
      <c r="AJ20" s="36">
        <f t="shared" si="16"/>
        <v>18649.921707999998</v>
      </c>
      <c r="AL20" s="36"/>
      <c r="AM20" s="36">
        <f t="shared" si="17"/>
        <v>6799.50216</v>
      </c>
      <c r="AN20" s="5">
        <f t="shared" si="18"/>
        <v>6799.50216</v>
      </c>
      <c r="AO20" s="36">
        <f t="shared" si="19"/>
        <v>1113.9647112</v>
      </c>
      <c r="AQ20" s="36"/>
      <c r="AR20" s="36">
        <f t="shared" si="20"/>
        <v>612.06816</v>
      </c>
      <c r="AS20" s="5">
        <f t="shared" si="21"/>
        <v>612.06816</v>
      </c>
      <c r="AT20" s="36">
        <f t="shared" si="22"/>
        <v>100.27533120000001</v>
      </c>
      <c r="AU20" s="5"/>
      <c r="AV20" s="36"/>
      <c r="AW20" s="36">
        <f t="shared" si="23"/>
        <v>125230.24096</v>
      </c>
      <c r="AX20" s="5">
        <f t="shared" si="24"/>
        <v>125230.24096</v>
      </c>
      <c r="AY20" s="36">
        <f t="shared" si="25"/>
        <v>20516.5122272</v>
      </c>
      <c r="AZ20" s="5"/>
      <c r="BA20" s="36"/>
      <c r="BB20" s="36">
        <f t="shared" si="26"/>
        <v>4.45016</v>
      </c>
      <c r="BC20" s="5">
        <f t="shared" si="27"/>
        <v>4.45016</v>
      </c>
      <c r="BD20" s="36">
        <f t="shared" si="28"/>
        <v>0.7290712</v>
      </c>
      <c r="BE20" s="5"/>
      <c r="BF20" s="36"/>
      <c r="BG20" s="36">
        <f t="shared" si="29"/>
        <v>159957.57799999998</v>
      </c>
      <c r="BH20" s="5">
        <f t="shared" si="30"/>
        <v>159957.57799999998</v>
      </c>
      <c r="BI20" s="36">
        <f t="shared" si="31"/>
        <v>26205.903459999998</v>
      </c>
      <c r="BJ20" s="5"/>
      <c r="BK20" s="36"/>
      <c r="BL20" s="36">
        <f t="shared" si="32"/>
        <v>377.4078</v>
      </c>
      <c r="BM20" s="5">
        <f t="shared" si="33"/>
        <v>377.4078</v>
      </c>
      <c r="BN20" s="36">
        <f t="shared" si="34"/>
        <v>61.830846</v>
      </c>
      <c r="BO20" s="5"/>
      <c r="BP20" s="36"/>
      <c r="BQ20" s="36">
        <f t="shared" si="35"/>
        <v>67071.27108</v>
      </c>
      <c r="BR20" s="5">
        <f t="shared" si="36"/>
        <v>67071.27108</v>
      </c>
      <c r="BS20" s="36">
        <f t="shared" si="37"/>
        <v>10988.308755600001</v>
      </c>
      <c r="BT20" s="5"/>
      <c r="BU20" s="5"/>
      <c r="BV20" s="5">
        <f t="shared" si="38"/>
        <v>338.55448</v>
      </c>
      <c r="BW20" s="5">
        <f t="shared" si="39"/>
        <v>338.55448</v>
      </c>
      <c r="BX20" s="36">
        <f t="shared" si="40"/>
        <v>55.4654936</v>
      </c>
      <c r="BY20" s="5"/>
      <c r="BZ20" s="36"/>
      <c r="CA20" s="36">
        <f t="shared" si="41"/>
        <v>13163.230959999999</v>
      </c>
      <c r="CB20" s="5">
        <f t="shared" si="42"/>
        <v>13163.230959999999</v>
      </c>
      <c r="CC20" s="36">
        <f t="shared" si="43"/>
        <v>2156.5365272</v>
      </c>
      <c r="CD20" s="5"/>
      <c r="CE20" s="36"/>
      <c r="CF20" s="36">
        <f t="shared" si="44"/>
        <v>7007.80388</v>
      </c>
      <c r="CG20" s="5">
        <f t="shared" si="45"/>
        <v>7007.80388</v>
      </c>
      <c r="CH20" s="36">
        <f t="shared" si="46"/>
        <v>1148.0908516000002</v>
      </c>
      <c r="CI20" s="5"/>
      <c r="CJ20" s="5"/>
      <c r="CK20" s="36">
        <f t="shared" si="47"/>
        <v>22835.14024</v>
      </c>
      <c r="CL20" s="36">
        <f t="shared" si="48"/>
        <v>22835.14024</v>
      </c>
      <c r="CM20" s="36">
        <f t="shared" si="49"/>
        <v>3741.0886568</v>
      </c>
      <c r="CN20" s="5"/>
      <c r="CO20" s="5"/>
      <c r="CP20" s="36">
        <f t="shared" si="50"/>
        <v>201006.36732000002</v>
      </c>
      <c r="CQ20" s="36">
        <f t="shared" si="51"/>
        <v>201006.36732000002</v>
      </c>
      <c r="CR20" s="36">
        <f t="shared" si="52"/>
        <v>32930.9403324</v>
      </c>
      <c r="CS20" s="5"/>
      <c r="CT20" s="36"/>
      <c r="CU20" s="36">
        <f t="shared" si="53"/>
        <v>416151.06412</v>
      </c>
      <c r="CV20" s="5">
        <f t="shared" si="54"/>
        <v>416151.06412</v>
      </c>
      <c r="CW20" s="36">
        <f t="shared" si="55"/>
        <v>68178.1679084</v>
      </c>
      <c r="CX20" s="5"/>
      <c r="CY20" s="5"/>
      <c r="CZ20" s="5">
        <f t="shared" si="56"/>
        <v>18469.70444</v>
      </c>
      <c r="DA20" s="5">
        <f t="shared" si="57"/>
        <v>18469.70444</v>
      </c>
      <c r="DB20" s="36">
        <f t="shared" si="58"/>
        <v>3025.8978508</v>
      </c>
      <c r="DC20" s="5"/>
      <c r="DD20" s="36"/>
      <c r="DE20" s="36">
        <f t="shared" si="59"/>
        <v>20486.996199999998</v>
      </c>
      <c r="DF20" s="5">
        <f t="shared" si="60"/>
        <v>20486.996199999998</v>
      </c>
      <c r="DG20" s="36">
        <f t="shared" si="61"/>
        <v>3356.3914339999997</v>
      </c>
      <c r="DH20" s="5"/>
      <c r="DI20" s="36"/>
      <c r="DJ20" s="36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</row>
    <row r="21" spans="1:131" ht="12">
      <c r="A21" s="37">
        <v>44287</v>
      </c>
      <c r="C21" s="3">
        <v>5430000</v>
      </c>
      <c r="D21" s="3">
        <v>1711600</v>
      </c>
      <c r="E21" s="35">
        <f t="shared" si="0"/>
        <v>7141600</v>
      </c>
      <c r="F21" s="35">
        <v>280412</v>
      </c>
      <c r="H21" s="36">
        <v>818420</v>
      </c>
      <c r="I21" s="36">
        <v>257976</v>
      </c>
      <c r="J21" s="36">
        <f t="shared" si="1"/>
        <v>1076396</v>
      </c>
      <c r="K21" s="35">
        <f>'Academic Project '!K21</f>
        <v>42264.25746400001</v>
      </c>
      <c r="M21" s="36">
        <f t="shared" si="62"/>
        <v>4611579.540000001</v>
      </c>
      <c r="N21" s="35">
        <f t="shared" si="2"/>
        <v>1453624.2248</v>
      </c>
      <c r="O21" s="5">
        <f t="shared" si="3"/>
        <v>6065203.764800001</v>
      </c>
      <c r="P21" s="35">
        <f t="shared" si="4"/>
        <v>238147.74253599998</v>
      </c>
      <c r="R21" s="36">
        <f t="shared" si="63"/>
        <v>208132.443</v>
      </c>
      <c r="S21" s="36">
        <f t="shared" si="5"/>
        <v>65605.79916</v>
      </c>
      <c r="T21" s="5">
        <f t="shared" si="6"/>
        <v>273738.24216</v>
      </c>
      <c r="U21" s="36">
        <f t="shared" si="7"/>
        <v>10748.2200012</v>
      </c>
      <c r="W21" s="5">
        <f t="shared" si="64"/>
        <v>377144.451</v>
      </c>
      <c r="X21" s="36">
        <f t="shared" si="8"/>
        <v>118880.37611999999</v>
      </c>
      <c r="Y21" s="36">
        <f t="shared" si="9"/>
        <v>496024.82712</v>
      </c>
      <c r="Z21" s="36">
        <f t="shared" si="10"/>
        <v>19476.211748399997</v>
      </c>
      <c r="AB21" s="5">
        <f t="shared" si="65"/>
        <v>303890.49299999996</v>
      </c>
      <c r="AC21" s="5">
        <f t="shared" si="11"/>
        <v>95789.86516</v>
      </c>
      <c r="AD21" s="5">
        <f t="shared" si="12"/>
        <v>399680.35815999995</v>
      </c>
      <c r="AE21" s="36">
        <f t="shared" si="13"/>
        <v>15693.285621199999</v>
      </c>
      <c r="AG21" s="5">
        <f t="shared" si="66"/>
        <v>361143.87</v>
      </c>
      <c r="AH21" s="5">
        <f t="shared" si="14"/>
        <v>113836.8044</v>
      </c>
      <c r="AI21" s="5">
        <f t="shared" si="15"/>
        <v>474980.6744</v>
      </c>
      <c r="AJ21" s="36">
        <f t="shared" si="16"/>
        <v>18649.921707999998</v>
      </c>
      <c r="AL21" s="36">
        <f t="shared" si="67"/>
        <v>21571.217999999997</v>
      </c>
      <c r="AM21" s="36">
        <f t="shared" si="17"/>
        <v>6799.50216</v>
      </c>
      <c r="AN21" s="5">
        <f t="shared" si="18"/>
        <v>28370.720159999997</v>
      </c>
      <c r="AO21" s="36">
        <f t="shared" si="19"/>
        <v>1113.9647112</v>
      </c>
      <c r="AQ21" s="36">
        <f t="shared" si="68"/>
        <v>1941.768</v>
      </c>
      <c r="AR21" s="36">
        <f t="shared" si="20"/>
        <v>612.06816</v>
      </c>
      <c r="AS21" s="5">
        <f t="shared" si="21"/>
        <v>2553.83616</v>
      </c>
      <c r="AT21" s="36">
        <f t="shared" si="22"/>
        <v>100.27533120000001</v>
      </c>
      <c r="AU21" s="5"/>
      <c r="AV21" s="36">
        <f t="shared" si="69"/>
        <v>397289.208</v>
      </c>
      <c r="AW21" s="36">
        <f t="shared" si="23"/>
        <v>125230.24096</v>
      </c>
      <c r="AX21" s="5">
        <f t="shared" si="24"/>
        <v>522519.44895999995</v>
      </c>
      <c r="AY21" s="36">
        <f t="shared" si="25"/>
        <v>20516.5122272</v>
      </c>
      <c r="AZ21" s="5"/>
      <c r="BA21" s="36">
        <f t="shared" si="70"/>
        <v>14.118</v>
      </c>
      <c r="BB21" s="36">
        <f t="shared" si="26"/>
        <v>4.45016</v>
      </c>
      <c r="BC21" s="5">
        <f t="shared" si="27"/>
        <v>18.56816</v>
      </c>
      <c r="BD21" s="36">
        <f t="shared" si="28"/>
        <v>0.7290712</v>
      </c>
      <c r="BE21" s="5"/>
      <c r="BF21" s="36">
        <f t="shared" si="71"/>
        <v>507460.64999999997</v>
      </c>
      <c r="BG21" s="36">
        <f t="shared" si="29"/>
        <v>159957.57799999998</v>
      </c>
      <c r="BH21" s="5">
        <f t="shared" si="30"/>
        <v>667418.2279999999</v>
      </c>
      <c r="BI21" s="36">
        <f t="shared" si="31"/>
        <v>26205.903459999998</v>
      </c>
      <c r="BJ21" s="5"/>
      <c r="BK21" s="36">
        <f t="shared" si="72"/>
        <v>1197.315</v>
      </c>
      <c r="BL21" s="36">
        <f t="shared" si="32"/>
        <v>377.4078</v>
      </c>
      <c r="BM21" s="5">
        <f t="shared" si="33"/>
        <v>1574.7228</v>
      </c>
      <c r="BN21" s="36">
        <f t="shared" si="34"/>
        <v>61.830846</v>
      </c>
      <c r="BO21" s="5"/>
      <c r="BP21" s="36">
        <f t="shared" si="73"/>
        <v>212781.609</v>
      </c>
      <c r="BQ21" s="36">
        <f t="shared" si="35"/>
        <v>67071.27108</v>
      </c>
      <c r="BR21" s="5">
        <f t="shared" si="36"/>
        <v>279852.88008000003</v>
      </c>
      <c r="BS21" s="36">
        <f t="shared" si="37"/>
        <v>10988.308755600001</v>
      </c>
      <c r="BT21" s="5"/>
      <c r="BU21" s="5">
        <f t="shared" si="74"/>
        <v>1074.054</v>
      </c>
      <c r="BV21" s="5">
        <f t="shared" si="38"/>
        <v>338.55448</v>
      </c>
      <c r="BW21" s="5">
        <f t="shared" si="39"/>
        <v>1412.60848</v>
      </c>
      <c r="BX21" s="36">
        <f t="shared" si="40"/>
        <v>55.4654936</v>
      </c>
      <c r="BY21" s="5"/>
      <c r="BZ21" s="36">
        <f t="shared" si="75"/>
        <v>41759.958</v>
      </c>
      <c r="CA21" s="36">
        <f t="shared" si="41"/>
        <v>13163.230959999999</v>
      </c>
      <c r="CB21" s="5">
        <f t="shared" si="42"/>
        <v>54923.18896</v>
      </c>
      <c r="CC21" s="36">
        <f t="shared" si="43"/>
        <v>2156.5365272</v>
      </c>
      <c r="CD21" s="5"/>
      <c r="CE21" s="36">
        <f t="shared" si="76"/>
        <v>22232.049000000003</v>
      </c>
      <c r="CF21" s="36">
        <f t="shared" si="44"/>
        <v>7007.80388</v>
      </c>
      <c r="CG21" s="5">
        <f t="shared" si="45"/>
        <v>29239.852880000002</v>
      </c>
      <c r="CH21" s="36">
        <f t="shared" si="46"/>
        <v>1148.0908516000002</v>
      </c>
      <c r="CI21" s="5"/>
      <c r="CJ21" s="5">
        <f t="shared" si="77"/>
        <v>72443.802</v>
      </c>
      <c r="CK21" s="36">
        <f t="shared" si="47"/>
        <v>22835.14024</v>
      </c>
      <c r="CL21" s="36">
        <f t="shared" si="48"/>
        <v>95278.94224</v>
      </c>
      <c r="CM21" s="36">
        <f t="shared" si="49"/>
        <v>3741.0886568</v>
      </c>
      <c r="CN21" s="5"/>
      <c r="CO21" s="5">
        <f t="shared" si="78"/>
        <v>637686.711</v>
      </c>
      <c r="CP21" s="36">
        <f t="shared" si="50"/>
        <v>201006.36732000002</v>
      </c>
      <c r="CQ21" s="36">
        <f t="shared" si="51"/>
        <v>838693.0783200001</v>
      </c>
      <c r="CR21" s="36">
        <f t="shared" si="52"/>
        <v>32930.9403324</v>
      </c>
      <c r="CS21" s="5"/>
      <c r="CT21" s="36">
        <f t="shared" si="79"/>
        <v>1320226.851</v>
      </c>
      <c r="CU21" s="36">
        <f t="shared" si="53"/>
        <v>416151.06412</v>
      </c>
      <c r="CV21" s="5">
        <f t="shared" si="54"/>
        <v>1736377.91512</v>
      </c>
      <c r="CW21" s="36">
        <f t="shared" si="55"/>
        <v>68178.1679084</v>
      </c>
      <c r="CX21" s="5"/>
      <c r="CY21" s="5">
        <f t="shared" si="80"/>
        <v>58594.58700000001</v>
      </c>
      <c r="CZ21" s="5">
        <f t="shared" si="56"/>
        <v>18469.70444</v>
      </c>
      <c r="DA21" s="5">
        <f t="shared" si="57"/>
        <v>77064.29144</v>
      </c>
      <c r="DB21" s="36">
        <f t="shared" si="58"/>
        <v>3025.8978508</v>
      </c>
      <c r="DC21" s="5"/>
      <c r="DD21" s="36">
        <f t="shared" si="81"/>
        <v>64994.384999999995</v>
      </c>
      <c r="DE21" s="36">
        <f t="shared" si="59"/>
        <v>20486.996199999998</v>
      </c>
      <c r="DF21" s="5">
        <f t="shared" si="60"/>
        <v>85481.38119999999</v>
      </c>
      <c r="DG21" s="36">
        <f t="shared" si="61"/>
        <v>3356.3914339999997</v>
      </c>
      <c r="DH21" s="5"/>
      <c r="DI21" s="36"/>
      <c r="DJ21" s="36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</row>
    <row r="22" spans="1:131" ht="12">
      <c r="A22" s="37">
        <v>44470</v>
      </c>
      <c r="D22" s="3">
        <v>1575850</v>
      </c>
      <c r="E22" s="35">
        <f t="shared" si="0"/>
        <v>1575850</v>
      </c>
      <c r="F22" s="35">
        <v>280412</v>
      </c>
      <c r="H22" s="36"/>
      <c r="I22" s="36">
        <v>237515</v>
      </c>
      <c r="J22" s="36">
        <f t="shared" si="1"/>
        <v>237515</v>
      </c>
      <c r="K22" s="35">
        <f>'Academic Project '!K22</f>
        <v>42264.25746400001</v>
      </c>
      <c r="M22" s="36"/>
      <c r="N22" s="35">
        <f t="shared" si="2"/>
        <v>1338334.7362999998</v>
      </c>
      <c r="O22" s="5">
        <f t="shared" si="3"/>
        <v>1338334.7362999998</v>
      </c>
      <c r="P22" s="35">
        <f t="shared" si="4"/>
        <v>238147.74253599998</v>
      </c>
      <c r="R22" s="36"/>
      <c r="S22" s="36">
        <f t="shared" si="5"/>
        <v>60402.488085</v>
      </c>
      <c r="T22" s="5">
        <f t="shared" si="6"/>
        <v>60402.488085</v>
      </c>
      <c r="U22" s="36">
        <f t="shared" si="7"/>
        <v>10748.2200012</v>
      </c>
      <c r="X22" s="36">
        <f t="shared" si="8"/>
        <v>109451.764845</v>
      </c>
      <c r="Y22" s="36">
        <f t="shared" si="9"/>
        <v>109451.764845</v>
      </c>
      <c r="Z22" s="36">
        <f t="shared" si="10"/>
        <v>19476.211748399997</v>
      </c>
      <c r="AC22" s="5">
        <f t="shared" si="11"/>
        <v>88192.602835</v>
      </c>
      <c r="AD22" s="5">
        <f t="shared" si="12"/>
        <v>88192.602835</v>
      </c>
      <c r="AE22" s="36">
        <f t="shared" si="13"/>
        <v>15693.285621199999</v>
      </c>
      <c r="AH22" s="5">
        <f t="shared" si="14"/>
        <v>104808.20765</v>
      </c>
      <c r="AI22" s="5">
        <f t="shared" si="15"/>
        <v>104808.20765</v>
      </c>
      <c r="AJ22" s="36">
        <f t="shared" si="16"/>
        <v>18649.921707999998</v>
      </c>
      <c r="AL22" s="36"/>
      <c r="AM22" s="36">
        <f t="shared" si="17"/>
        <v>6260.22171</v>
      </c>
      <c r="AN22" s="5">
        <f t="shared" si="18"/>
        <v>6260.22171</v>
      </c>
      <c r="AO22" s="36">
        <f t="shared" si="19"/>
        <v>1113.9647112</v>
      </c>
      <c r="AQ22" s="36"/>
      <c r="AR22" s="36">
        <f t="shared" si="20"/>
        <v>563.52396</v>
      </c>
      <c r="AS22" s="5">
        <f t="shared" si="21"/>
        <v>563.52396</v>
      </c>
      <c r="AT22" s="36">
        <f t="shared" si="22"/>
        <v>100.27533120000001</v>
      </c>
      <c r="AU22" s="5"/>
      <c r="AV22" s="36"/>
      <c r="AW22" s="36">
        <f t="shared" si="23"/>
        <v>115298.01075999999</v>
      </c>
      <c r="AX22" s="5">
        <f t="shared" si="24"/>
        <v>115298.01075999999</v>
      </c>
      <c r="AY22" s="36">
        <f t="shared" si="25"/>
        <v>20516.5122272</v>
      </c>
      <c r="AZ22" s="5"/>
      <c r="BA22" s="36"/>
      <c r="BB22" s="36">
        <f t="shared" si="26"/>
        <v>4.0972100000000005</v>
      </c>
      <c r="BC22" s="5">
        <f t="shared" si="27"/>
        <v>4.0972100000000005</v>
      </c>
      <c r="BD22" s="36">
        <f t="shared" si="28"/>
        <v>0.7290712</v>
      </c>
      <c r="BE22" s="5"/>
      <c r="BF22" s="36"/>
      <c r="BG22" s="36">
        <f t="shared" si="29"/>
        <v>147271.06175</v>
      </c>
      <c r="BH22" s="5">
        <f t="shared" si="30"/>
        <v>147271.06175</v>
      </c>
      <c r="BI22" s="36">
        <f t="shared" si="31"/>
        <v>26205.903459999998</v>
      </c>
      <c r="BJ22" s="5"/>
      <c r="BK22" s="36"/>
      <c r="BL22" s="36">
        <f t="shared" si="32"/>
        <v>347.474925</v>
      </c>
      <c r="BM22" s="5">
        <f t="shared" si="33"/>
        <v>347.474925</v>
      </c>
      <c r="BN22" s="36">
        <f t="shared" si="34"/>
        <v>61.830846</v>
      </c>
      <c r="BO22" s="5"/>
      <c r="BP22" s="36"/>
      <c r="BQ22" s="36">
        <f t="shared" si="35"/>
        <v>61751.730855</v>
      </c>
      <c r="BR22" s="5">
        <f t="shared" si="36"/>
        <v>61751.730855</v>
      </c>
      <c r="BS22" s="36">
        <f t="shared" si="37"/>
        <v>10988.308755600001</v>
      </c>
      <c r="BT22" s="5"/>
      <c r="BU22" s="5"/>
      <c r="BV22" s="5">
        <f t="shared" si="38"/>
        <v>311.70313000000004</v>
      </c>
      <c r="BW22" s="5">
        <f t="shared" si="39"/>
        <v>311.70313000000004</v>
      </c>
      <c r="BX22" s="36">
        <f t="shared" si="40"/>
        <v>55.4654936</v>
      </c>
      <c r="BY22" s="5"/>
      <c r="BZ22" s="36"/>
      <c r="CA22" s="36">
        <f t="shared" si="41"/>
        <v>12119.23201</v>
      </c>
      <c r="CB22" s="5">
        <f t="shared" si="42"/>
        <v>12119.23201</v>
      </c>
      <c r="CC22" s="36">
        <f t="shared" si="43"/>
        <v>2156.5365272</v>
      </c>
      <c r="CD22" s="5"/>
      <c r="CE22" s="36"/>
      <c r="CF22" s="36">
        <f t="shared" si="44"/>
        <v>6452.002655</v>
      </c>
      <c r="CG22" s="5">
        <f t="shared" si="45"/>
        <v>6452.002655</v>
      </c>
      <c r="CH22" s="36">
        <f t="shared" si="46"/>
        <v>1148.0908516000002</v>
      </c>
      <c r="CI22" s="5"/>
      <c r="CJ22" s="5"/>
      <c r="CK22" s="36">
        <f t="shared" si="47"/>
        <v>21024.04519</v>
      </c>
      <c r="CL22" s="36">
        <f t="shared" si="48"/>
        <v>21024.04519</v>
      </c>
      <c r="CM22" s="36">
        <f t="shared" si="49"/>
        <v>3741.0886568</v>
      </c>
      <c r="CN22" s="5"/>
      <c r="CO22" s="5"/>
      <c r="CP22" s="36">
        <f t="shared" si="50"/>
        <v>185064.199545</v>
      </c>
      <c r="CQ22" s="36">
        <f t="shared" si="51"/>
        <v>185064.199545</v>
      </c>
      <c r="CR22" s="36">
        <f t="shared" si="52"/>
        <v>32930.9403324</v>
      </c>
      <c r="CS22" s="5"/>
      <c r="CT22" s="36"/>
      <c r="CU22" s="36">
        <f t="shared" si="53"/>
        <v>383145.392845</v>
      </c>
      <c r="CV22" s="5">
        <f t="shared" si="54"/>
        <v>383145.392845</v>
      </c>
      <c r="CW22" s="36">
        <f t="shared" si="55"/>
        <v>68178.1679084</v>
      </c>
      <c r="CX22" s="5"/>
      <c r="CY22" s="5"/>
      <c r="CZ22" s="5">
        <f t="shared" si="56"/>
        <v>17004.839765</v>
      </c>
      <c r="DA22" s="5">
        <f t="shared" si="57"/>
        <v>17004.839765</v>
      </c>
      <c r="DB22" s="36">
        <f t="shared" si="58"/>
        <v>3025.8978508</v>
      </c>
      <c r="DC22" s="5"/>
      <c r="DD22" s="36"/>
      <c r="DE22" s="36">
        <f t="shared" si="59"/>
        <v>18862.136575</v>
      </c>
      <c r="DF22" s="5">
        <f t="shared" si="60"/>
        <v>18862.136575</v>
      </c>
      <c r="DG22" s="36">
        <f t="shared" si="61"/>
        <v>3356.3914339999997</v>
      </c>
      <c r="DH22" s="5"/>
      <c r="DI22" s="36"/>
      <c r="DJ22" s="36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</row>
    <row r="23" spans="1:131" ht="12">
      <c r="A23" s="37">
        <v>44652</v>
      </c>
      <c r="C23" s="3">
        <v>5705000</v>
      </c>
      <c r="D23" s="3">
        <v>1575850</v>
      </c>
      <c r="E23" s="35">
        <f t="shared" si="0"/>
        <v>7280850</v>
      </c>
      <c r="F23" s="35">
        <v>280412</v>
      </c>
      <c r="H23" s="36">
        <v>859869</v>
      </c>
      <c r="I23" s="36">
        <v>237515</v>
      </c>
      <c r="J23" s="36">
        <f t="shared" si="1"/>
        <v>1097384</v>
      </c>
      <c r="K23" s="35">
        <f>'Academic Project '!K23</f>
        <v>42264.25746400001</v>
      </c>
      <c r="M23" s="36">
        <f t="shared" si="62"/>
        <v>4845130.989999999</v>
      </c>
      <c r="N23" s="35">
        <f t="shared" si="2"/>
        <v>1338334.7362999998</v>
      </c>
      <c r="O23" s="5">
        <f t="shared" si="3"/>
        <v>6183465.726299999</v>
      </c>
      <c r="P23" s="35">
        <f t="shared" si="4"/>
        <v>238147.74253599998</v>
      </c>
      <c r="R23" s="36">
        <f t="shared" si="63"/>
        <v>218673.2205</v>
      </c>
      <c r="S23" s="36">
        <f t="shared" si="5"/>
        <v>60402.488085</v>
      </c>
      <c r="T23" s="5">
        <f t="shared" si="6"/>
        <v>279075.708585</v>
      </c>
      <c r="U23" s="36">
        <f t="shared" si="7"/>
        <v>10748.2200012</v>
      </c>
      <c r="W23" s="5">
        <f t="shared" si="64"/>
        <v>396244.76849999995</v>
      </c>
      <c r="X23" s="36">
        <f t="shared" si="8"/>
        <v>109451.764845</v>
      </c>
      <c r="Y23" s="36">
        <f t="shared" si="9"/>
        <v>505696.53334499995</v>
      </c>
      <c r="Z23" s="36">
        <f t="shared" si="10"/>
        <v>19476.211748399997</v>
      </c>
      <c r="AB23" s="5">
        <f t="shared" si="65"/>
        <v>319280.8955</v>
      </c>
      <c r="AC23" s="5">
        <f t="shared" si="11"/>
        <v>88192.602835</v>
      </c>
      <c r="AD23" s="5">
        <f t="shared" si="12"/>
        <v>407473.498335</v>
      </c>
      <c r="AE23" s="36">
        <f t="shared" si="13"/>
        <v>15693.285621199999</v>
      </c>
      <c r="AG23" s="5">
        <f t="shared" si="66"/>
        <v>379433.845</v>
      </c>
      <c r="AH23" s="5">
        <f t="shared" si="14"/>
        <v>104808.20765</v>
      </c>
      <c r="AI23" s="5">
        <f t="shared" si="15"/>
        <v>484242.05264999997</v>
      </c>
      <c r="AJ23" s="36">
        <f t="shared" si="16"/>
        <v>18649.921707999998</v>
      </c>
      <c r="AL23" s="36">
        <f t="shared" si="67"/>
        <v>22663.682999999997</v>
      </c>
      <c r="AM23" s="36">
        <f t="shared" si="17"/>
        <v>6260.22171</v>
      </c>
      <c r="AN23" s="5">
        <f t="shared" si="18"/>
        <v>28923.904709999995</v>
      </c>
      <c r="AO23" s="36">
        <f t="shared" si="19"/>
        <v>1113.9647112</v>
      </c>
      <c r="AQ23" s="36">
        <f t="shared" si="68"/>
        <v>2040.1080000000002</v>
      </c>
      <c r="AR23" s="36">
        <f t="shared" si="20"/>
        <v>563.52396</v>
      </c>
      <c r="AS23" s="5">
        <f t="shared" si="21"/>
        <v>2603.63196</v>
      </c>
      <c r="AT23" s="36">
        <f t="shared" si="22"/>
        <v>100.27533120000001</v>
      </c>
      <c r="AU23" s="5"/>
      <c r="AV23" s="36">
        <f t="shared" si="69"/>
        <v>417409.74799999996</v>
      </c>
      <c r="AW23" s="36">
        <f t="shared" si="23"/>
        <v>115298.01075999999</v>
      </c>
      <c r="AX23" s="5">
        <f t="shared" si="24"/>
        <v>532707.75876</v>
      </c>
      <c r="AY23" s="36">
        <f t="shared" si="25"/>
        <v>20516.5122272</v>
      </c>
      <c r="AZ23" s="5"/>
      <c r="BA23" s="36">
        <f t="shared" si="70"/>
        <v>14.833</v>
      </c>
      <c r="BB23" s="36">
        <f t="shared" si="26"/>
        <v>4.0972100000000005</v>
      </c>
      <c r="BC23" s="5">
        <f t="shared" si="27"/>
        <v>18.930210000000002</v>
      </c>
      <c r="BD23" s="36">
        <f t="shared" si="28"/>
        <v>0.7290712</v>
      </c>
      <c r="BE23" s="5"/>
      <c r="BF23" s="36">
        <f t="shared" si="71"/>
        <v>533160.775</v>
      </c>
      <c r="BG23" s="36">
        <f t="shared" si="29"/>
        <v>147271.06175</v>
      </c>
      <c r="BH23" s="5">
        <f t="shared" si="30"/>
        <v>680431.83675</v>
      </c>
      <c r="BI23" s="36">
        <f t="shared" si="31"/>
        <v>26205.903459999998</v>
      </c>
      <c r="BJ23" s="5"/>
      <c r="BK23" s="36">
        <f t="shared" si="72"/>
        <v>1257.9524999999999</v>
      </c>
      <c r="BL23" s="36">
        <f t="shared" si="32"/>
        <v>347.474925</v>
      </c>
      <c r="BM23" s="5">
        <f t="shared" si="33"/>
        <v>1605.4274249999999</v>
      </c>
      <c r="BN23" s="36">
        <f t="shared" si="34"/>
        <v>61.830846</v>
      </c>
      <c r="BO23" s="5"/>
      <c r="BP23" s="36">
        <f t="shared" si="73"/>
        <v>223557.8415</v>
      </c>
      <c r="BQ23" s="36">
        <f t="shared" si="35"/>
        <v>61751.730855</v>
      </c>
      <c r="BR23" s="5">
        <f t="shared" si="36"/>
        <v>285309.572355</v>
      </c>
      <c r="BS23" s="36">
        <f t="shared" si="37"/>
        <v>10988.308755600001</v>
      </c>
      <c r="BT23" s="5"/>
      <c r="BU23" s="5">
        <f t="shared" si="74"/>
        <v>1128.449</v>
      </c>
      <c r="BV23" s="5">
        <f t="shared" si="38"/>
        <v>311.70313000000004</v>
      </c>
      <c r="BW23" s="5">
        <f t="shared" si="39"/>
        <v>1440.1521300000002</v>
      </c>
      <c r="BX23" s="36">
        <f t="shared" si="40"/>
        <v>55.4654936</v>
      </c>
      <c r="BY23" s="5"/>
      <c r="BZ23" s="36">
        <f t="shared" si="75"/>
        <v>43874.873</v>
      </c>
      <c r="CA23" s="36">
        <f t="shared" si="41"/>
        <v>12119.23201</v>
      </c>
      <c r="CB23" s="5">
        <f t="shared" si="42"/>
        <v>55994.10501</v>
      </c>
      <c r="CC23" s="36">
        <f t="shared" si="43"/>
        <v>2156.5365272</v>
      </c>
      <c r="CD23" s="5"/>
      <c r="CE23" s="36">
        <f t="shared" si="76"/>
        <v>23357.9815</v>
      </c>
      <c r="CF23" s="36">
        <f t="shared" si="44"/>
        <v>6452.002655</v>
      </c>
      <c r="CG23" s="5">
        <f t="shared" si="45"/>
        <v>29809.984155000002</v>
      </c>
      <c r="CH23" s="36">
        <f t="shared" si="46"/>
        <v>1148.0908516000002</v>
      </c>
      <c r="CI23" s="5"/>
      <c r="CJ23" s="5">
        <f t="shared" si="77"/>
        <v>76112.687</v>
      </c>
      <c r="CK23" s="36">
        <f t="shared" si="47"/>
        <v>21024.04519</v>
      </c>
      <c r="CL23" s="36">
        <f t="shared" si="48"/>
        <v>97136.73219000001</v>
      </c>
      <c r="CM23" s="36">
        <f t="shared" si="49"/>
        <v>3741.0886568</v>
      </c>
      <c r="CN23" s="5"/>
      <c r="CO23" s="5">
        <f t="shared" si="78"/>
        <v>669982.0785000001</v>
      </c>
      <c r="CP23" s="36">
        <f t="shared" si="50"/>
        <v>185064.199545</v>
      </c>
      <c r="CQ23" s="36">
        <f t="shared" si="51"/>
        <v>855046.278045</v>
      </c>
      <c r="CR23" s="36">
        <f t="shared" si="52"/>
        <v>32930.9403324</v>
      </c>
      <c r="CS23" s="5"/>
      <c r="CT23" s="36">
        <f t="shared" si="79"/>
        <v>1387089.1685000001</v>
      </c>
      <c r="CU23" s="36">
        <f t="shared" si="53"/>
        <v>383145.392845</v>
      </c>
      <c r="CV23" s="5">
        <f t="shared" si="54"/>
        <v>1770234.5613450003</v>
      </c>
      <c r="CW23" s="36">
        <f t="shared" si="55"/>
        <v>68178.1679084</v>
      </c>
      <c r="CX23" s="5"/>
      <c r="CY23" s="5">
        <f t="shared" si="80"/>
        <v>61562.084500000004</v>
      </c>
      <c r="CZ23" s="5">
        <f t="shared" si="56"/>
        <v>17004.839765</v>
      </c>
      <c r="DA23" s="5">
        <f t="shared" si="57"/>
        <v>78566.92426500001</v>
      </c>
      <c r="DB23" s="36">
        <f t="shared" si="58"/>
        <v>3025.8978508</v>
      </c>
      <c r="DC23" s="5"/>
      <c r="DD23" s="36">
        <f t="shared" si="81"/>
        <v>68285.9975</v>
      </c>
      <c r="DE23" s="36">
        <f t="shared" si="59"/>
        <v>18862.136575</v>
      </c>
      <c r="DF23" s="5">
        <f t="shared" si="60"/>
        <v>87148.134075</v>
      </c>
      <c r="DG23" s="36">
        <f t="shared" si="61"/>
        <v>3356.3914339999997</v>
      </c>
      <c r="DH23" s="5"/>
      <c r="DI23" s="36"/>
      <c r="DJ23" s="36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</row>
    <row r="24" spans="1:131" ht="12">
      <c r="A24" s="37">
        <v>44835</v>
      </c>
      <c r="D24" s="3">
        <v>1433225</v>
      </c>
      <c r="E24" s="35">
        <f t="shared" si="0"/>
        <v>1433225</v>
      </c>
      <c r="F24" s="35">
        <v>280412</v>
      </c>
      <c r="H24" s="36"/>
      <c r="I24" s="36">
        <v>216019</v>
      </c>
      <c r="J24" s="36">
        <f t="shared" si="1"/>
        <v>216019</v>
      </c>
      <c r="K24" s="35">
        <f>'Academic Project '!K24</f>
        <v>42264.25746400001</v>
      </c>
      <c r="M24" s="36"/>
      <c r="N24" s="35">
        <f t="shared" si="2"/>
        <v>1217206.4615500001</v>
      </c>
      <c r="O24" s="5">
        <f t="shared" si="3"/>
        <v>1217206.4615500001</v>
      </c>
      <c r="P24" s="35">
        <f t="shared" si="4"/>
        <v>238147.74253599998</v>
      </c>
      <c r="R24" s="36"/>
      <c r="S24" s="36">
        <f t="shared" si="5"/>
        <v>54935.6575725</v>
      </c>
      <c r="T24" s="5">
        <f t="shared" si="6"/>
        <v>54935.6575725</v>
      </c>
      <c r="U24" s="36">
        <f t="shared" si="7"/>
        <v>10748.2200012</v>
      </c>
      <c r="X24" s="36">
        <f t="shared" si="8"/>
        <v>99545.64563249999</v>
      </c>
      <c r="Y24" s="36">
        <f t="shared" si="9"/>
        <v>99545.64563249999</v>
      </c>
      <c r="Z24" s="36">
        <f t="shared" si="10"/>
        <v>19476.211748399997</v>
      </c>
      <c r="AC24" s="5">
        <f t="shared" si="11"/>
        <v>80210.58044749999</v>
      </c>
      <c r="AD24" s="5">
        <f t="shared" si="12"/>
        <v>80210.58044749999</v>
      </c>
      <c r="AE24" s="36">
        <f t="shared" si="13"/>
        <v>15693.285621199999</v>
      </c>
      <c r="AH24" s="5">
        <f t="shared" si="14"/>
        <v>95322.361525</v>
      </c>
      <c r="AI24" s="5">
        <f t="shared" si="15"/>
        <v>95322.361525</v>
      </c>
      <c r="AJ24" s="36">
        <f t="shared" si="16"/>
        <v>18649.921707999998</v>
      </c>
      <c r="AL24" s="36"/>
      <c r="AM24" s="36">
        <f t="shared" si="17"/>
        <v>5693.629634999999</v>
      </c>
      <c r="AN24" s="5">
        <f t="shared" si="18"/>
        <v>5693.629634999999</v>
      </c>
      <c r="AO24" s="36">
        <f t="shared" si="19"/>
        <v>1113.9647112</v>
      </c>
      <c r="AQ24" s="36"/>
      <c r="AR24" s="36">
        <f t="shared" si="20"/>
        <v>512.52126</v>
      </c>
      <c r="AS24" s="5">
        <f t="shared" si="21"/>
        <v>512.52126</v>
      </c>
      <c r="AT24" s="36">
        <f t="shared" si="22"/>
        <v>100.27533120000001</v>
      </c>
      <c r="AU24" s="5"/>
      <c r="AV24" s="36"/>
      <c r="AW24" s="36">
        <f t="shared" si="23"/>
        <v>104862.76706</v>
      </c>
      <c r="AX24" s="5">
        <f t="shared" si="24"/>
        <v>104862.76706</v>
      </c>
      <c r="AY24" s="36">
        <f t="shared" si="25"/>
        <v>20516.5122272</v>
      </c>
      <c r="AZ24" s="5"/>
      <c r="BA24" s="36"/>
      <c r="BB24" s="36">
        <f t="shared" si="26"/>
        <v>3.726385</v>
      </c>
      <c r="BC24" s="5">
        <f t="shared" si="27"/>
        <v>3.726385</v>
      </c>
      <c r="BD24" s="36">
        <f t="shared" si="28"/>
        <v>0.7290712</v>
      </c>
      <c r="BE24" s="5"/>
      <c r="BF24" s="36"/>
      <c r="BG24" s="36">
        <f t="shared" si="29"/>
        <v>133942.042375</v>
      </c>
      <c r="BH24" s="5">
        <f t="shared" si="30"/>
        <v>133942.042375</v>
      </c>
      <c r="BI24" s="36">
        <f t="shared" si="31"/>
        <v>26205.903459999998</v>
      </c>
      <c r="BJ24" s="5"/>
      <c r="BK24" s="36"/>
      <c r="BL24" s="36">
        <f t="shared" si="32"/>
        <v>316.0261125</v>
      </c>
      <c r="BM24" s="5">
        <f t="shared" si="33"/>
        <v>316.0261125</v>
      </c>
      <c r="BN24" s="36">
        <f t="shared" si="34"/>
        <v>61.830846</v>
      </c>
      <c r="BO24" s="5"/>
      <c r="BP24" s="36"/>
      <c r="BQ24" s="36">
        <f t="shared" si="35"/>
        <v>56162.7848175</v>
      </c>
      <c r="BR24" s="5">
        <f t="shared" si="36"/>
        <v>56162.7848175</v>
      </c>
      <c r="BS24" s="36">
        <f t="shared" si="37"/>
        <v>10988.308755600001</v>
      </c>
      <c r="BT24" s="5"/>
      <c r="BU24" s="5"/>
      <c r="BV24" s="5">
        <f t="shared" si="38"/>
        <v>283.49190500000003</v>
      </c>
      <c r="BW24" s="5">
        <f t="shared" si="39"/>
        <v>283.49190500000003</v>
      </c>
      <c r="BX24" s="36">
        <f t="shared" si="40"/>
        <v>55.4654936</v>
      </c>
      <c r="BY24" s="5"/>
      <c r="BZ24" s="36"/>
      <c r="CA24" s="36">
        <f t="shared" si="41"/>
        <v>11022.360185</v>
      </c>
      <c r="CB24" s="5">
        <f t="shared" si="42"/>
        <v>11022.360185</v>
      </c>
      <c r="CC24" s="36">
        <f t="shared" si="43"/>
        <v>2156.5365272</v>
      </c>
      <c r="CD24" s="5"/>
      <c r="CE24" s="36"/>
      <c r="CF24" s="36">
        <f t="shared" si="44"/>
        <v>5868.053117500001</v>
      </c>
      <c r="CG24" s="5">
        <f t="shared" si="45"/>
        <v>5868.053117500001</v>
      </c>
      <c r="CH24" s="36">
        <f t="shared" si="46"/>
        <v>1148.0908516000002</v>
      </c>
      <c r="CI24" s="5"/>
      <c r="CJ24" s="5"/>
      <c r="CK24" s="36">
        <f t="shared" si="47"/>
        <v>19121.228015</v>
      </c>
      <c r="CL24" s="36">
        <f t="shared" si="48"/>
        <v>19121.228015</v>
      </c>
      <c r="CM24" s="36">
        <f t="shared" si="49"/>
        <v>3741.0886568</v>
      </c>
      <c r="CN24" s="5"/>
      <c r="CO24" s="5"/>
      <c r="CP24" s="36">
        <f t="shared" si="50"/>
        <v>168314.6475825</v>
      </c>
      <c r="CQ24" s="36">
        <f t="shared" si="51"/>
        <v>168314.6475825</v>
      </c>
      <c r="CR24" s="36">
        <f t="shared" si="52"/>
        <v>32930.9403324</v>
      </c>
      <c r="CS24" s="5"/>
      <c r="CT24" s="36"/>
      <c r="CU24" s="36">
        <f t="shared" si="53"/>
        <v>348468.16363250004</v>
      </c>
      <c r="CV24" s="5">
        <f t="shared" si="54"/>
        <v>348468.16363250004</v>
      </c>
      <c r="CW24" s="36">
        <f t="shared" si="55"/>
        <v>68178.1679084</v>
      </c>
      <c r="CX24" s="5"/>
      <c r="CY24" s="5"/>
      <c r="CZ24" s="5">
        <f t="shared" si="56"/>
        <v>15465.787652500001</v>
      </c>
      <c r="DA24" s="5">
        <f t="shared" si="57"/>
        <v>15465.787652500001</v>
      </c>
      <c r="DB24" s="36">
        <f t="shared" si="58"/>
        <v>3025.8978508</v>
      </c>
      <c r="DC24" s="5"/>
      <c r="DD24" s="36"/>
      <c r="DE24" s="36">
        <f t="shared" si="59"/>
        <v>17154.9866375</v>
      </c>
      <c r="DF24" s="5">
        <f t="shared" si="60"/>
        <v>17154.9866375</v>
      </c>
      <c r="DG24" s="36">
        <f t="shared" si="61"/>
        <v>3356.3914339999997</v>
      </c>
      <c r="DH24" s="5"/>
      <c r="DI24" s="36"/>
      <c r="DJ24" s="36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</row>
    <row r="25" spans="1:131" ht="12">
      <c r="A25" s="37">
        <v>45017</v>
      </c>
      <c r="C25" s="3">
        <v>5990000</v>
      </c>
      <c r="D25" s="3">
        <v>1433225</v>
      </c>
      <c r="E25" s="35">
        <f t="shared" si="0"/>
        <v>7423225</v>
      </c>
      <c r="F25" s="35">
        <v>280412</v>
      </c>
      <c r="H25" s="36">
        <v>902825</v>
      </c>
      <c r="I25" s="36">
        <v>216019</v>
      </c>
      <c r="J25" s="36">
        <f t="shared" si="1"/>
        <v>1118844</v>
      </c>
      <c r="K25" s="35">
        <f>'Academic Project '!K25</f>
        <v>42264.25746400001</v>
      </c>
      <c r="M25" s="36">
        <f t="shared" si="62"/>
        <v>5087175.220000001</v>
      </c>
      <c r="N25" s="35">
        <f t="shared" si="2"/>
        <v>1217206.4615500001</v>
      </c>
      <c r="O25" s="5">
        <f t="shared" si="3"/>
        <v>6304381.681550001</v>
      </c>
      <c r="P25" s="35">
        <f t="shared" si="4"/>
        <v>238147.74253599998</v>
      </c>
      <c r="R25" s="36">
        <f t="shared" si="63"/>
        <v>229597.299</v>
      </c>
      <c r="S25" s="36">
        <f t="shared" si="5"/>
        <v>54935.6575725</v>
      </c>
      <c r="T25" s="5">
        <f t="shared" si="6"/>
        <v>284532.9565725</v>
      </c>
      <c r="U25" s="36">
        <f t="shared" si="7"/>
        <v>10748.2200012</v>
      </c>
      <c r="W25" s="5">
        <f t="shared" si="64"/>
        <v>416039.643</v>
      </c>
      <c r="X25" s="36">
        <f t="shared" si="8"/>
        <v>99545.64563249999</v>
      </c>
      <c r="Y25" s="36">
        <f t="shared" si="9"/>
        <v>515585.2886325</v>
      </c>
      <c r="Z25" s="36">
        <f t="shared" si="10"/>
        <v>19476.211748399997</v>
      </c>
      <c r="AB25" s="5">
        <f t="shared" si="65"/>
        <v>335230.94899999996</v>
      </c>
      <c r="AC25" s="5">
        <f t="shared" si="11"/>
        <v>80210.58044749999</v>
      </c>
      <c r="AD25" s="5">
        <f t="shared" si="12"/>
        <v>415441.52944749995</v>
      </c>
      <c r="AE25" s="36">
        <f t="shared" si="13"/>
        <v>15693.285621199999</v>
      </c>
      <c r="AG25" s="5">
        <f t="shared" si="66"/>
        <v>398388.91</v>
      </c>
      <c r="AH25" s="5">
        <f t="shared" si="14"/>
        <v>95322.361525</v>
      </c>
      <c r="AI25" s="5">
        <f t="shared" si="15"/>
        <v>493711.271525</v>
      </c>
      <c r="AJ25" s="36">
        <f t="shared" si="16"/>
        <v>18649.921707999998</v>
      </c>
      <c r="AL25" s="36">
        <f t="shared" si="67"/>
        <v>23795.874</v>
      </c>
      <c r="AM25" s="36">
        <f t="shared" si="17"/>
        <v>5693.629634999999</v>
      </c>
      <c r="AN25" s="5">
        <f t="shared" si="18"/>
        <v>29489.503635</v>
      </c>
      <c r="AO25" s="36">
        <f t="shared" si="19"/>
        <v>1113.9647112</v>
      </c>
      <c r="AQ25" s="36">
        <f t="shared" si="68"/>
        <v>2142.024</v>
      </c>
      <c r="AR25" s="36">
        <f t="shared" si="20"/>
        <v>512.52126</v>
      </c>
      <c r="AS25" s="5">
        <f t="shared" si="21"/>
        <v>2654.54526</v>
      </c>
      <c r="AT25" s="36">
        <f t="shared" si="22"/>
        <v>100.27533120000001</v>
      </c>
      <c r="AU25" s="5"/>
      <c r="AV25" s="36">
        <f t="shared" si="69"/>
        <v>438261.94399999996</v>
      </c>
      <c r="AW25" s="36">
        <f t="shared" si="23"/>
        <v>104862.76706</v>
      </c>
      <c r="AX25" s="5">
        <f t="shared" si="24"/>
        <v>543124.71106</v>
      </c>
      <c r="AY25" s="36">
        <f t="shared" si="25"/>
        <v>20516.5122272</v>
      </c>
      <c r="AZ25" s="5"/>
      <c r="BA25" s="36">
        <f t="shared" si="70"/>
        <v>15.574</v>
      </c>
      <c r="BB25" s="36">
        <f t="shared" si="26"/>
        <v>3.726385</v>
      </c>
      <c r="BC25" s="5">
        <f t="shared" si="27"/>
        <v>19.300385</v>
      </c>
      <c r="BD25" s="36">
        <f t="shared" si="28"/>
        <v>0.7290712</v>
      </c>
      <c r="BE25" s="5"/>
      <c r="BF25" s="36">
        <f t="shared" si="71"/>
        <v>559795.45</v>
      </c>
      <c r="BG25" s="36">
        <f t="shared" si="29"/>
        <v>133942.042375</v>
      </c>
      <c r="BH25" s="5">
        <f t="shared" si="30"/>
        <v>693737.4923749999</v>
      </c>
      <c r="BI25" s="36">
        <f t="shared" si="31"/>
        <v>26205.903459999998</v>
      </c>
      <c r="BJ25" s="5"/>
      <c r="BK25" s="36">
        <f t="shared" si="72"/>
        <v>1320.7949999999998</v>
      </c>
      <c r="BL25" s="36">
        <f t="shared" si="32"/>
        <v>316.0261125</v>
      </c>
      <c r="BM25" s="5">
        <f t="shared" si="33"/>
        <v>1636.8211124999998</v>
      </c>
      <c r="BN25" s="36">
        <f t="shared" si="34"/>
        <v>61.830846</v>
      </c>
      <c r="BO25" s="5"/>
      <c r="BP25" s="36">
        <f t="shared" si="73"/>
        <v>234725.937</v>
      </c>
      <c r="BQ25" s="36">
        <f t="shared" si="35"/>
        <v>56162.7848175</v>
      </c>
      <c r="BR25" s="5">
        <f t="shared" si="36"/>
        <v>290888.7218175</v>
      </c>
      <c r="BS25" s="36">
        <f t="shared" si="37"/>
        <v>10988.308755600001</v>
      </c>
      <c r="BT25" s="5"/>
      <c r="BU25" s="5">
        <f t="shared" si="74"/>
        <v>1184.8220000000001</v>
      </c>
      <c r="BV25" s="5">
        <f t="shared" si="38"/>
        <v>283.49190500000003</v>
      </c>
      <c r="BW25" s="5">
        <f t="shared" si="39"/>
        <v>1468.3139050000002</v>
      </c>
      <c r="BX25" s="36">
        <f t="shared" si="40"/>
        <v>55.4654936</v>
      </c>
      <c r="BY25" s="5"/>
      <c r="BZ25" s="36">
        <f t="shared" si="75"/>
        <v>46066.693999999996</v>
      </c>
      <c r="CA25" s="36">
        <f t="shared" si="41"/>
        <v>11022.360185</v>
      </c>
      <c r="CB25" s="5">
        <f t="shared" si="42"/>
        <v>57089.05418499999</v>
      </c>
      <c r="CC25" s="36">
        <f t="shared" si="43"/>
        <v>2156.5365272</v>
      </c>
      <c r="CD25" s="5"/>
      <c r="CE25" s="36">
        <f t="shared" si="76"/>
        <v>24524.857000000004</v>
      </c>
      <c r="CF25" s="36">
        <f t="shared" si="44"/>
        <v>5868.053117500001</v>
      </c>
      <c r="CG25" s="5">
        <f t="shared" si="45"/>
        <v>30392.910117500003</v>
      </c>
      <c r="CH25" s="36">
        <f t="shared" si="46"/>
        <v>1148.0908516000002</v>
      </c>
      <c r="CI25" s="5"/>
      <c r="CJ25" s="5">
        <f t="shared" si="77"/>
        <v>79914.986</v>
      </c>
      <c r="CK25" s="36">
        <f t="shared" si="47"/>
        <v>19121.228015</v>
      </c>
      <c r="CL25" s="36">
        <f t="shared" si="48"/>
        <v>99036.214015</v>
      </c>
      <c r="CM25" s="36">
        <f t="shared" si="49"/>
        <v>3741.0886568</v>
      </c>
      <c r="CN25" s="5"/>
      <c r="CO25" s="5">
        <f t="shared" si="78"/>
        <v>703451.8230000001</v>
      </c>
      <c r="CP25" s="36">
        <f t="shared" si="50"/>
        <v>168314.6475825</v>
      </c>
      <c r="CQ25" s="36">
        <f t="shared" si="51"/>
        <v>871766.4705825001</v>
      </c>
      <c r="CR25" s="36">
        <f t="shared" si="52"/>
        <v>32930.9403324</v>
      </c>
      <c r="CS25" s="5"/>
      <c r="CT25" s="36">
        <f t="shared" si="79"/>
        <v>1456382.843</v>
      </c>
      <c r="CU25" s="36">
        <f t="shared" si="53"/>
        <v>348468.16363250004</v>
      </c>
      <c r="CV25" s="5">
        <f t="shared" si="54"/>
        <v>1804851.0066325</v>
      </c>
      <c r="CW25" s="36">
        <f t="shared" si="55"/>
        <v>68178.1679084</v>
      </c>
      <c r="CX25" s="5"/>
      <c r="CY25" s="5">
        <f t="shared" si="80"/>
        <v>64637.491</v>
      </c>
      <c r="CZ25" s="5">
        <f t="shared" si="56"/>
        <v>15465.787652500001</v>
      </c>
      <c r="DA25" s="5">
        <f t="shared" si="57"/>
        <v>80103.2786525</v>
      </c>
      <c r="DB25" s="36">
        <f t="shared" si="58"/>
        <v>3025.8978508</v>
      </c>
      <c r="DC25" s="5"/>
      <c r="DD25" s="36">
        <f t="shared" si="81"/>
        <v>71697.305</v>
      </c>
      <c r="DE25" s="36">
        <f t="shared" si="59"/>
        <v>17154.9866375</v>
      </c>
      <c r="DF25" s="5">
        <f t="shared" si="60"/>
        <v>88852.29163749999</v>
      </c>
      <c r="DG25" s="36">
        <f t="shared" si="61"/>
        <v>3356.3914339999997</v>
      </c>
      <c r="DH25" s="5"/>
      <c r="DI25" s="36"/>
      <c r="DJ25" s="36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</row>
    <row r="26" spans="1:131" ht="12">
      <c r="A26" s="37">
        <v>45200</v>
      </c>
      <c r="D26" s="3">
        <v>1283475</v>
      </c>
      <c r="E26" s="35">
        <f t="shared" si="0"/>
        <v>1283475</v>
      </c>
      <c r="F26" s="35">
        <v>280412</v>
      </c>
      <c r="H26" s="36"/>
      <c r="I26" s="36">
        <v>193448</v>
      </c>
      <c r="J26" s="36">
        <f t="shared" si="1"/>
        <v>193448</v>
      </c>
      <c r="K26" s="35">
        <f>'Academic Project '!K26</f>
        <v>42264.25746400001</v>
      </c>
      <c r="M26" s="36"/>
      <c r="N26" s="35">
        <f t="shared" si="2"/>
        <v>1090027.08105</v>
      </c>
      <c r="O26" s="5">
        <f t="shared" si="3"/>
        <v>1090027.08105</v>
      </c>
      <c r="P26" s="35">
        <f t="shared" si="4"/>
        <v>238147.74253599998</v>
      </c>
      <c r="R26" s="36"/>
      <c r="S26" s="36">
        <f t="shared" si="5"/>
        <v>49195.7250975</v>
      </c>
      <c r="T26" s="5">
        <f t="shared" si="6"/>
        <v>49195.7250975</v>
      </c>
      <c r="U26" s="36">
        <f t="shared" si="7"/>
        <v>10748.2200012</v>
      </c>
      <c r="X26" s="36">
        <f t="shared" si="8"/>
        <v>89144.65455749999</v>
      </c>
      <c r="Y26" s="36">
        <f t="shared" si="9"/>
        <v>89144.65455749999</v>
      </c>
      <c r="Z26" s="36">
        <f t="shared" si="10"/>
        <v>19476.211748399997</v>
      </c>
      <c r="AC26" s="5">
        <f t="shared" si="11"/>
        <v>71829.8067225</v>
      </c>
      <c r="AD26" s="5">
        <f t="shared" si="12"/>
        <v>71829.8067225</v>
      </c>
      <c r="AE26" s="36">
        <f t="shared" si="13"/>
        <v>15693.285621199999</v>
      </c>
      <c r="AH26" s="5">
        <f t="shared" si="14"/>
        <v>85362.638775</v>
      </c>
      <c r="AI26" s="5">
        <f t="shared" si="15"/>
        <v>85362.638775</v>
      </c>
      <c r="AJ26" s="36">
        <f t="shared" si="16"/>
        <v>18649.921707999998</v>
      </c>
      <c r="AL26" s="36"/>
      <c r="AM26" s="36">
        <f t="shared" si="17"/>
        <v>5098.732784999999</v>
      </c>
      <c r="AN26" s="5">
        <f t="shared" si="18"/>
        <v>5098.732784999999</v>
      </c>
      <c r="AO26" s="36">
        <f t="shared" si="19"/>
        <v>1113.9647112</v>
      </c>
      <c r="AQ26" s="36"/>
      <c r="AR26" s="36">
        <f t="shared" si="20"/>
        <v>458.97066</v>
      </c>
      <c r="AS26" s="5">
        <f t="shared" si="21"/>
        <v>458.97066</v>
      </c>
      <c r="AT26" s="36">
        <f t="shared" si="22"/>
        <v>100.27533120000001</v>
      </c>
      <c r="AU26" s="5"/>
      <c r="AV26" s="36"/>
      <c r="AW26" s="36">
        <f t="shared" si="23"/>
        <v>93906.21846</v>
      </c>
      <c r="AX26" s="5">
        <f t="shared" si="24"/>
        <v>93906.21846</v>
      </c>
      <c r="AY26" s="36">
        <f t="shared" si="25"/>
        <v>20516.5122272</v>
      </c>
      <c r="AZ26" s="5"/>
      <c r="BA26" s="36"/>
      <c r="BB26" s="36">
        <f t="shared" si="26"/>
        <v>3.337035</v>
      </c>
      <c r="BC26" s="5">
        <f t="shared" si="27"/>
        <v>3.337035</v>
      </c>
      <c r="BD26" s="36">
        <f t="shared" si="28"/>
        <v>0.7290712</v>
      </c>
      <c r="BE26" s="5"/>
      <c r="BF26" s="36"/>
      <c r="BG26" s="36">
        <f t="shared" si="29"/>
        <v>119947.156125</v>
      </c>
      <c r="BH26" s="5">
        <f t="shared" si="30"/>
        <v>119947.156125</v>
      </c>
      <c r="BI26" s="36">
        <f t="shared" si="31"/>
        <v>26205.903459999998</v>
      </c>
      <c r="BJ26" s="5"/>
      <c r="BK26" s="36"/>
      <c r="BL26" s="36">
        <f t="shared" si="32"/>
        <v>283.0062375</v>
      </c>
      <c r="BM26" s="5">
        <f t="shared" si="33"/>
        <v>283.0062375</v>
      </c>
      <c r="BN26" s="36">
        <f t="shared" si="34"/>
        <v>61.830846</v>
      </c>
      <c r="BO26" s="5"/>
      <c r="BP26" s="36"/>
      <c r="BQ26" s="36">
        <f t="shared" si="35"/>
        <v>50294.6363925</v>
      </c>
      <c r="BR26" s="5">
        <f t="shared" si="36"/>
        <v>50294.6363925</v>
      </c>
      <c r="BS26" s="36">
        <f t="shared" si="37"/>
        <v>10988.308755600001</v>
      </c>
      <c r="BT26" s="5"/>
      <c r="BU26" s="5"/>
      <c r="BV26" s="5">
        <f t="shared" si="38"/>
        <v>253.87135500000002</v>
      </c>
      <c r="BW26" s="5">
        <f t="shared" si="39"/>
        <v>253.87135500000002</v>
      </c>
      <c r="BX26" s="36">
        <f t="shared" si="40"/>
        <v>55.4654936</v>
      </c>
      <c r="BY26" s="5"/>
      <c r="BZ26" s="36"/>
      <c r="CA26" s="36">
        <f t="shared" si="41"/>
        <v>9870.692835</v>
      </c>
      <c r="CB26" s="5">
        <f t="shared" si="42"/>
        <v>9870.692835</v>
      </c>
      <c r="CC26" s="36">
        <f t="shared" si="43"/>
        <v>2156.5365272</v>
      </c>
      <c r="CD26" s="5"/>
      <c r="CE26" s="36"/>
      <c r="CF26" s="36">
        <f t="shared" si="44"/>
        <v>5254.9316925</v>
      </c>
      <c r="CG26" s="5">
        <f t="shared" si="45"/>
        <v>5254.9316925</v>
      </c>
      <c r="CH26" s="36">
        <f t="shared" si="46"/>
        <v>1148.0908516000002</v>
      </c>
      <c r="CI26" s="5"/>
      <c r="CJ26" s="5"/>
      <c r="CK26" s="36">
        <f t="shared" si="47"/>
        <v>17123.353365</v>
      </c>
      <c r="CL26" s="36">
        <f t="shared" si="48"/>
        <v>17123.353365</v>
      </c>
      <c r="CM26" s="36">
        <f t="shared" si="49"/>
        <v>3741.0886568</v>
      </c>
      <c r="CN26" s="5"/>
      <c r="CO26" s="5"/>
      <c r="CP26" s="36">
        <f t="shared" si="50"/>
        <v>150728.3520075</v>
      </c>
      <c r="CQ26" s="36">
        <f t="shared" si="51"/>
        <v>150728.3520075</v>
      </c>
      <c r="CR26" s="36">
        <f t="shared" si="52"/>
        <v>32930.9403324</v>
      </c>
      <c r="CS26" s="5"/>
      <c r="CT26" s="36"/>
      <c r="CU26" s="36">
        <f t="shared" si="53"/>
        <v>312058.5925575</v>
      </c>
      <c r="CV26" s="5">
        <f t="shared" si="54"/>
        <v>312058.5925575</v>
      </c>
      <c r="CW26" s="36">
        <f t="shared" si="55"/>
        <v>68178.1679084</v>
      </c>
      <c r="CX26" s="5"/>
      <c r="CY26" s="5"/>
      <c r="CZ26" s="5">
        <f t="shared" si="56"/>
        <v>13849.8503775</v>
      </c>
      <c r="DA26" s="5">
        <f t="shared" si="57"/>
        <v>13849.8503775</v>
      </c>
      <c r="DB26" s="36">
        <f t="shared" si="58"/>
        <v>3025.8978508</v>
      </c>
      <c r="DC26" s="5"/>
      <c r="DD26" s="36"/>
      <c r="DE26" s="36">
        <f t="shared" si="59"/>
        <v>15362.554012499999</v>
      </c>
      <c r="DF26" s="5">
        <f t="shared" si="60"/>
        <v>15362.554012499999</v>
      </c>
      <c r="DG26" s="36">
        <f t="shared" si="61"/>
        <v>3356.3914339999997</v>
      </c>
      <c r="DH26" s="5"/>
      <c r="DI26" s="36"/>
      <c r="DJ26" s="36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</row>
    <row r="27" spans="1:131" ht="12">
      <c r="A27" s="37">
        <v>45383</v>
      </c>
      <c r="C27" s="3">
        <v>6285000</v>
      </c>
      <c r="D27" s="3">
        <v>1283475</v>
      </c>
      <c r="E27" s="35">
        <f t="shared" si="0"/>
        <v>7568475</v>
      </c>
      <c r="F27" s="35">
        <v>280412</v>
      </c>
      <c r="H27" s="36">
        <v>947288</v>
      </c>
      <c r="I27" s="36">
        <v>193448</v>
      </c>
      <c r="J27" s="36">
        <f t="shared" si="1"/>
        <v>1140736</v>
      </c>
      <c r="K27" s="35">
        <f>'Academic Project '!K27</f>
        <v>42264.25746400001</v>
      </c>
      <c r="M27" s="36">
        <f t="shared" si="62"/>
        <v>5337712.2299999995</v>
      </c>
      <c r="N27" s="35">
        <f t="shared" si="2"/>
        <v>1090027.08105</v>
      </c>
      <c r="O27" s="5">
        <f t="shared" si="3"/>
        <v>6427739.31105</v>
      </c>
      <c r="P27" s="35">
        <f t="shared" si="4"/>
        <v>238147.74253599998</v>
      </c>
      <c r="R27" s="36">
        <f t="shared" si="63"/>
        <v>240904.67849999998</v>
      </c>
      <c r="S27" s="36">
        <f t="shared" si="5"/>
        <v>49195.7250975</v>
      </c>
      <c r="T27" s="5">
        <f t="shared" si="6"/>
        <v>290100.4035975</v>
      </c>
      <c r="U27" s="36">
        <f t="shared" si="7"/>
        <v>10748.2200012</v>
      </c>
      <c r="W27" s="5">
        <f t="shared" si="64"/>
        <v>436529.0745</v>
      </c>
      <c r="X27" s="36">
        <f t="shared" si="8"/>
        <v>89144.65455749999</v>
      </c>
      <c r="Y27" s="36">
        <f t="shared" si="9"/>
        <v>525673.7290575</v>
      </c>
      <c r="Z27" s="36">
        <f t="shared" si="10"/>
        <v>19476.211748399997</v>
      </c>
      <c r="AB27" s="5">
        <f t="shared" si="65"/>
        <v>351740.65349999996</v>
      </c>
      <c r="AC27" s="5">
        <f t="shared" si="11"/>
        <v>71829.8067225</v>
      </c>
      <c r="AD27" s="5">
        <f t="shared" si="12"/>
        <v>423570.46022249997</v>
      </c>
      <c r="AE27" s="36">
        <f t="shared" si="13"/>
        <v>15693.285621199999</v>
      </c>
      <c r="AG27" s="5">
        <f t="shared" si="66"/>
        <v>418009.065</v>
      </c>
      <c r="AH27" s="5">
        <f t="shared" si="14"/>
        <v>85362.638775</v>
      </c>
      <c r="AI27" s="5">
        <f t="shared" si="15"/>
        <v>503371.703775</v>
      </c>
      <c r="AJ27" s="36">
        <f t="shared" si="16"/>
        <v>18649.921707999998</v>
      </c>
      <c r="AL27" s="36">
        <f t="shared" si="67"/>
        <v>24967.790999999997</v>
      </c>
      <c r="AM27" s="36">
        <f t="shared" si="17"/>
        <v>5098.732784999999</v>
      </c>
      <c r="AN27" s="5">
        <f t="shared" si="18"/>
        <v>30066.523784999998</v>
      </c>
      <c r="AO27" s="36">
        <f t="shared" si="19"/>
        <v>1113.9647112</v>
      </c>
      <c r="AQ27" s="36">
        <f t="shared" si="68"/>
        <v>2247.516</v>
      </c>
      <c r="AR27" s="36">
        <f t="shared" si="20"/>
        <v>458.97066</v>
      </c>
      <c r="AS27" s="5">
        <f t="shared" si="21"/>
        <v>2706.48666</v>
      </c>
      <c r="AT27" s="36">
        <f t="shared" si="22"/>
        <v>100.27533120000001</v>
      </c>
      <c r="AU27" s="5"/>
      <c r="AV27" s="36">
        <f t="shared" si="69"/>
        <v>459845.796</v>
      </c>
      <c r="AW27" s="36">
        <f t="shared" si="23"/>
        <v>93906.21846</v>
      </c>
      <c r="AX27" s="5">
        <f t="shared" si="24"/>
        <v>553752.01446</v>
      </c>
      <c r="AY27" s="36">
        <f t="shared" si="25"/>
        <v>20516.5122272</v>
      </c>
      <c r="AZ27" s="5"/>
      <c r="BA27" s="36">
        <f t="shared" si="70"/>
        <v>16.341</v>
      </c>
      <c r="BB27" s="36">
        <f t="shared" si="26"/>
        <v>3.337035</v>
      </c>
      <c r="BC27" s="5">
        <f t="shared" si="27"/>
        <v>19.678035</v>
      </c>
      <c r="BD27" s="36">
        <f t="shared" si="28"/>
        <v>0.7290712</v>
      </c>
      <c r="BE27" s="5"/>
      <c r="BF27" s="36">
        <f t="shared" si="71"/>
        <v>587364.6749999999</v>
      </c>
      <c r="BG27" s="36">
        <f t="shared" si="29"/>
        <v>119947.156125</v>
      </c>
      <c r="BH27" s="5">
        <f t="shared" si="30"/>
        <v>707311.8311249999</v>
      </c>
      <c r="BI27" s="36">
        <f t="shared" si="31"/>
        <v>26205.903459999998</v>
      </c>
      <c r="BJ27" s="5"/>
      <c r="BK27" s="36">
        <f t="shared" si="72"/>
        <v>1385.8425</v>
      </c>
      <c r="BL27" s="36">
        <f t="shared" si="32"/>
        <v>283.0062375</v>
      </c>
      <c r="BM27" s="5">
        <f t="shared" si="33"/>
        <v>1668.8487375</v>
      </c>
      <c r="BN27" s="36">
        <f t="shared" si="34"/>
        <v>61.830846</v>
      </c>
      <c r="BO27" s="5"/>
      <c r="BP27" s="36">
        <f t="shared" si="73"/>
        <v>246285.8955</v>
      </c>
      <c r="BQ27" s="36">
        <f t="shared" si="35"/>
        <v>50294.6363925</v>
      </c>
      <c r="BR27" s="5">
        <f t="shared" si="36"/>
        <v>296580.5318925</v>
      </c>
      <c r="BS27" s="36">
        <f t="shared" si="37"/>
        <v>10988.308755600001</v>
      </c>
      <c r="BT27" s="5"/>
      <c r="BU27" s="5">
        <f t="shared" si="74"/>
        <v>1243.173</v>
      </c>
      <c r="BV27" s="5">
        <f t="shared" si="38"/>
        <v>253.87135500000002</v>
      </c>
      <c r="BW27" s="5">
        <f t="shared" si="39"/>
        <v>1497.044355</v>
      </c>
      <c r="BX27" s="36">
        <f t="shared" si="40"/>
        <v>55.4654936</v>
      </c>
      <c r="BY27" s="5"/>
      <c r="BZ27" s="36">
        <f t="shared" si="75"/>
        <v>48335.420999999995</v>
      </c>
      <c r="CA27" s="36">
        <f t="shared" si="41"/>
        <v>9870.692835</v>
      </c>
      <c r="CB27" s="5">
        <f t="shared" si="42"/>
        <v>58206.113835</v>
      </c>
      <c r="CC27" s="36">
        <f t="shared" si="43"/>
        <v>2156.5365272</v>
      </c>
      <c r="CD27" s="5"/>
      <c r="CE27" s="36">
        <f t="shared" si="76"/>
        <v>25732.6755</v>
      </c>
      <c r="CF27" s="36">
        <f t="shared" si="44"/>
        <v>5254.9316925</v>
      </c>
      <c r="CG27" s="5">
        <f t="shared" si="45"/>
        <v>30987.6071925</v>
      </c>
      <c r="CH27" s="36">
        <f t="shared" si="46"/>
        <v>1148.0908516000002</v>
      </c>
      <c r="CI27" s="5"/>
      <c r="CJ27" s="5">
        <f t="shared" si="77"/>
        <v>83850.699</v>
      </c>
      <c r="CK27" s="36">
        <f t="shared" si="47"/>
        <v>17123.353365</v>
      </c>
      <c r="CL27" s="36">
        <f t="shared" si="48"/>
        <v>100974.052365</v>
      </c>
      <c r="CM27" s="36">
        <f t="shared" si="49"/>
        <v>3741.0886568</v>
      </c>
      <c r="CN27" s="5"/>
      <c r="CO27" s="5">
        <f t="shared" si="78"/>
        <v>738095.9445</v>
      </c>
      <c r="CP27" s="36">
        <f t="shared" si="50"/>
        <v>150728.3520075</v>
      </c>
      <c r="CQ27" s="36">
        <f t="shared" si="51"/>
        <v>888824.2965075</v>
      </c>
      <c r="CR27" s="36">
        <f t="shared" si="52"/>
        <v>32930.9403324</v>
      </c>
      <c r="CS27" s="5"/>
      <c r="CT27" s="36">
        <f t="shared" si="79"/>
        <v>1528107.8745000002</v>
      </c>
      <c r="CU27" s="36">
        <f t="shared" si="53"/>
        <v>312058.5925575</v>
      </c>
      <c r="CV27" s="5">
        <f t="shared" si="54"/>
        <v>1840166.4670575</v>
      </c>
      <c r="CW27" s="36">
        <f t="shared" si="55"/>
        <v>68178.1679084</v>
      </c>
      <c r="CX27" s="5"/>
      <c r="CY27" s="5">
        <f t="shared" si="80"/>
        <v>67820.8065</v>
      </c>
      <c r="CZ27" s="5">
        <f t="shared" si="56"/>
        <v>13849.8503775</v>
      </c>
      <c r="DA27" s="5">
        <f t="shared" si="57"/>
        <v>81670.6568775</v>
      </c>
      <c r="DB27" s="36">
        <f t="shared" si="58"/>
        <v>3025.8978508</v>
      </c>
      <c r="DC27" s="5"/>
      <c r="DD27" s="36">
        <f t="shared" si="81"/>
        <v>75228.3075</v>
      </c>
      <c r="DE27" s="36">
        <f t="shared" si="59"/>
        <v>15362.554012499999</v>
      </c>
      <c r="DF27" s="5">
        <f t="shared" si="60"/>
        <v>90590.86151249999</v>
      </c>
      <c r="DG27" s="36">
        <f t="shared" si="61"/>
        <v>3356.3914339999997</v>
      </c>
      <c r="DH27" s="5"/>
      <c r="DI27" s="36"/>
      <c r="DJ27" s="36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</row>
    <row r="28" spans="1:131" ht="12">
      <c r="A28" s="37">
        <v>45566</v>
      </c>
      <c r="D28" s="3">
        <v>1189200</v>
      </c>
      <c r="E28" s="35">
        <f t="shared" si="0"/>
        <v>1189200</v>
      </c>
      <c r="F28" s="35">
        <v>280412</v>
      </c>
      <c r="H28" s="36"/>
      <c r="I28" s="36">
        <v>179239</v>
      </c>
      <c r="J28" s="36">
        <f t="shared" si="1"/>
        <v>179239</v>
      </c>
      <c r="K28" s="35">
        <f>'Academic Project '!K28</f>
        <v>42264.25746400001</v>
      </c>
      <c r="M28" s="36"/>
      <c r="N28" s="35">
        <f t="shared" si="2"/>
        <v>1009961.3975999999</v>
      </c>
      <c r="O28" s="5">
        <f t="shared" si="3"/>
        <v>1009961.3975999999</v>
      </c>
      <c r="P28" s="35">
        <f t="shared" si="4"/>
        <v>238147.74253599998</v>
      </c>
      <c r="R28" s="36"/>
      <c r="S28" s="36">
        <f t="shared" si="5"/>
        <v>45582.15492</v>
      </c>
      <c r="T28" s="5">
        <f t="shared" si="6"/>
        <v>45582.15492</v>
      </c>
      <c r="U28" s="36">
        <f t="shared" si="7"/>
        <v>10748.2200012</v>
      </c>
      <c r="X28" s="36">
        <f t="shared" si="8"/>
        <v>82596.71844</v>
      </c>
      <c r="Y28" s="36">
        <f t="shared" si="9"/>
        <v>82596.71844</v>
      </c>
      <c r="Z28" s="36">
        <f t="shared" si="10"/>
        <v>19476.211748399997</v>
      </c>
      <c r="AC28" s="5">
        <f t="shared" si="11"/>
        <v>66553.69692</v>
      </c>
      <c r="AD28" s="5">
        <f t="shared" si="12"/>
        <v>66553.69692</v>
      </c>
      <c r="AE28" s="36">
        <f t="shared" si="13"/>
        <v>15693.285621199999</v>
      </c>
      <c r="AH28" s="5">
        <f t="shared" si="14"/>
        <v>79092.5028</v>
      </c>
      <c r="AI28" s="5">
        <f t="shared" si="15"/>
        <v>79092.5028</v>
      </c>
      <c r="AJ28" s="36">
        <f t="shared" si="16"/>
        <v>18649.921707999998</v>
      </c>
      <c r="AL28" s="36"/>
      <c r="AM28" s="36">
        <f t="shared" si="17"/>
        <v>4724.21592</v>
      </c>
      <c r="AN28" s="5">
        <f t="shared" si="18"/>
        <v>4724.21592</v>
      </c>
      <c r="AO28" s="36">
        <f t="shared" si="19"/>
        <v>1113.9647112</v>
      </c>
      <c r="AQ28" s="36"/>
      <c r="AR28" s="36">
        <f t="shared" si="20"/>
        <v>425.25792</v>
      </c>
      <c r="AS28" s="5">
        <f t="shared" si="21"/>
        <v>425.25792</v>
      </c>
      <c r="AT28" s="36">
        <f t="shared" si="22"/>
        <v>100.27533120000001</v>
      </c>
      <c r="AU28" s="5"/>
      <c r="AV28" s="36"/>
      <c r="AW28" s="36">
        <f t="shared" si="23"/>
        <v>87008.53151999999</v>
      </c>
      <c r="AX28" s="5">
        <f t="shared" si="24"/>
        <v>87008.53151999999</v>
      </c>
      <c r="AY28" s="36">
        <f t="shared" si="25"/>
        <v>20516.5122272</v>
      </c>
      <c r="AZ28" s="5"/>
      <c r="BA28" s="36"/>
      <c r="BB28" s="36">
        <f t="shared" si="26"/>
        <v>3.09192</v>
      </c>
      <c r="BC28" s="5">
        <f t="shared" si="27"/>
        <v>3.09192</v>
      </c>
      <c r="BD28" s="36">
        <f t="shared" si="28"/>
        <v>0.7290712</v>
      </c>
      <c r="BE28" s="5"/>
      <c r="BF28" s="36"/>
      <c r="BG28" s="36">
        <f t="shared" si="29"/>
        <v>111136.686</v>
      </c>
      <c r="BH28" s="5">
        <f t="shared" si="30"/>
        <v>111136.686</v>
      </c>
      <c r="BI28" s="36">
        <f t="shared" si="31"/>
        <v>26205.903459999998</v>
      </c>
      <c r="BJ28" s="5"/>
      <c r="BK28" s="36"/>
      <c r="BL28" s="36">
        <f t="shared" si="32"/>
        <v>262.2186</v>
      </c>
      <c r="BM28" s="5">
        <f t="shared" si="33"/>
        <v>262.2186</v>
      </c>
      <c r="BN28" s="36">
        <f t="shared" si="34"/>
        <v>61.830846</v>
      </c>
      <c r="BO28" s="5"/>
      <c r="BP28" s="36"/>
      <c r="BQ28" s="36">
        <f t="shared" si="35"/>
        <v>46600.34796</v>
      </c>
      <c r="BR28" s="5">
        <f t="shared" si="36"/>
        <v>46600.34796</v>
      </c>
      <c r="BS28" s="36">
        <f t="shared" si="37"/>
        <v>10988.308755600001</v>
      </c>
      <c r="BT28" s="5"/>
      <c r="BU28" s="5"/>
      <c r="BV28" s="5">
        <f t="shared" si="38"/>
        <v>235.22376</v>
      </c>
      <c r="BW28" s="5">
        <f t="shared" si="39"/>
        <v>235.22376</v>
      </c>
      <c r="BX28" s="36">
        <f t="shared" si="40"/>
        <v>55.4654936</v>
      </c>
      <c r="BY28" s="5"/>
      <c r="BZ28" s="36"/>
      <c r="CA28" s="36">
        <f t="shared" si="41"/>
        <v>9145.66152</v>
      </c>
      <c r="CB28" s="5">
        <f t="shared" si="42"/>
        <v>9145.66152</v>
      </c>
      <c r="CC28" s="36">
        <f t="shared" si="43"/>
        <v>2156.5365272</v>
      </c>
      <c r="CD28" s="5"/>
      <c r="CE28" s="36"/>
      <c r="CF28" s="36">
        <f t="shared" si="44"/>
        <v>4868.94156</v>
      </c>
      <c r="CG28" s="5">
        <f t="shared" si="45"/>
        <v>4868.94156</v>
      </c>
      <c r="CH28" s="36">
        <f t="shared" si="46"/>
        <v>1148.0908516000002</v>
      </c>
      <c r="CI28" s="5"/>
      <c r="CJ28" s="5"/>
      <c r="CK28" s="36">
        <f t="shared" si="47"/>
        <v>15865.59288</v>
      </c>
      <c r="CL28" s="36">
        <f t="shared" si="48"/>
        <v>15865.59288</v>
      </c>
      <c r="CM28" s="36">
        <f t="shared" si="49"/>
        <v>3741.0886568</v>
      </c>
      <c r="CN28" s="5"/>
      <c r="CO28" s="5"/>
      <c r="CP28" s="36">
        <f t="shared" si="50"/>
        <v>139656.91284</v>
      </c>
      <c r="CQ28" s="36">
        <f t="shared" si="51"/>
        <v>139656.91284</v>
      </c>
      <c r="CR28" s="36">
        <f t="shared" si="52"/>
        <v>32930.9403324</v>
      </c>
      <c r="CS28" s="5"/>
      <c r="CT28" s="36"/>
      <c r="CU28" s="36">
        <f t="shared" si="53"/>
        <v>289136.97444</v>
      </c>
      <c r="CV28" s="5">
        <f t="shared" si="54"/>
        <v>289136.97444</v>
      </c>
      <c r="CW28" s="36">
        <f t="shared" si="55"/>
        <v>68178.1679084</v>
      </c>
      <c r="CX28" s="5"/>
      <c r="CY28" s="5"/>
      <c r="CZ28" s="5">
        <f t="shared" si="56"/>
        <v>12832.53828</v>
      </c>
      <c r="DA28" s="5">
        <f t="shared" si="57"/>
        <v>12832.53828</v>
      </c>
      <c r="DB28" s="36">
        <f t="shared" si="58"/>
        <v>3025.8978508</v>
      </c>
      <c r="DC28" s="5"/>
      <c r="DD28" s="36"/>
      <c r="DE28" s="36">
        <f t="shared" si="59"/>
        <v>14234.1294</v>
      </c>
      <c r="DF28" s="5">
        <f t="shared" si="60"/>
        <v>14234.1294</v>
      </c>
      <c r="DG28" s="36">
        <f t="shared" si="61"/>
        <v>3356.3914339999997</v>
      </c>
      <c r="DH28" s="5"/>
      <c r="DI28" s="36"/>
      <c r="DJ28" s="36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</row>
    <row r="29" spans="1:131" ht="12">
      <c r="A29" s="37">
        <v>45748</v>
      </c>
      <c r="C29" s="3">
        <v>6475000</v>
      </c>
      <c r="D29" s="3">
        <v>1189200</v>
      </c>
      <c r="E29" s="35">
        <f t="shared" si="0"/>
        <v>7664200</v>
      </c>
      <c r="F29" s="35">
        <v>280412</v>
      </c>
      <c r="H29" s="36">
        <v>975925</v>
      </c>
      <c r="I29" s="36">
        <v>179239</v>
      </c>
      <c r="J29" s="36">
        <f t="shared" si="1"/>
        <v>1155164</v>
      </c>
      <c r="K29" s="35">
        <f>'Academic Project '!K29</f>
        <v>42264.25746400001</v>
      </c>
      <c r="M29" s="36">
        <f t="shared" si="62"/>
        <v>5499075.049999999</v>
      </c>
      <c r="N29" s="35">
        <f t="shared" si="2"/>
        <v>1009961.3975999999</v>
      </c>
      <c r="O29" s="5">
        <f t="shared" si="3"/>
        <v>6509036.447599999</v>
      </c>
      <c r="P29" s="35">
        <f t="shared" si="4"/>
        <v>238147.74253599998</v>
      </c>
      <c r="R29" s="36">
        <f t="shared" si="63"/>
        <v>248187.3975</v>
      </c>
      <c r="S29" s="36">
        <f t="shared" si="5"/>
        <v>45582.15492</v>
      </c>
      <c r="T29" s="5">
        <f t="shared" si="6"/>
        <v>293769.55241999996</v>
      </c>
      <c r="U29" s="36">
        <f t="shared" si="7"/>
        <v>10748.2200012</v>
      </c>
      <c r="W29" s="5">
        <f t="shared" si="64"/>
        <v>449725.6575</v>
      </c>
      <c r="X29" s="36">
        <f t="shared" si="8"/>
        <v>82596.71844</v>
      </c>
      <c r="Y29" s="36">
        <f t="shared" si="9"/>
        <v>532322.3759399999</v>
      </c>
      <c r="Z29" s="36">
        <f t="shared" si="10"/>
        <v>19476.211748399997</v>
      </c>
      <c r="AB29" s="5">
        <f t="shared" si="65"/>
        <v>362374.02249999996</v>
      </c>
      <c r="AC29" s="5">
        <f t="shared" si="11"/>
        <v>66553.69692</v>
      </c>
      <c r="AD29" s="5">
        <f t="shared" si="12"/>
        <v>428927.71942</v>
      </c>
      <c r="AE29" s="36">
        <f t="shared" si="13"/>
        <v>15693.285621199999</v>
      </c>
      <c r="AG29" s="5">
        <f t="shared" si="66"/>
        <v>430645.77499999997</v>
      </c>
      <c r="AH29" s="5">
        <f t="shared" si="14"/>
        <v>79092.5028</v>
      </c>
      <c r="AI29" s="5">
        <f t="shared" si="15"/>
        <v>509738.2778</v>
      </c>
      <c r="AJ29" s="36">
        <f t="shared" si="16"/>
        <v>18649.921707999998</v>
      </c>
      <c r="AL29" s="36">
        <f t="shared" si="67"/>
        <v>25722.585</v>
      </c>
      <c r="AM29" s="36">
        <f t="shared" si="17"/>
        <v>4724.21592</v>
      </c>
      <c r="AN29" s="5">
        <f t="shared" si="18"/>
        <v>30446.800919999998</v>
      </c>
      <c r="AO29" s="36">
        <f t="shared" si="19"/>
        <v>1113.9647112</v>
      </c>
      <c r="AQ29" s="36">
        <f t="shared" si="68"/>
        <v>2315.46</v>
      </c>
      <c r="AR29" s="36">
        <f t="shared" si="20"/>
        <v>425.25792</v>
      </c>
      <c r="AS29" s="5">
        <f t="shared" si="21"/>
        <v>2740.71792</v>
      </c>
      <c r="AT29" s="36">
        <f t="shared" si="22"/>
        <v>100.27533120000001</v>
      </c>
      <c r="AU29" s="5"/>
      <c r="AV29" s="36">
        <f t="shared" si="69"/>
        <v>473747.26</v>
      </c>
      <c r="AW29" s="36">
        <f t="shared" si="23"/>
        <v>87008.53151999999</v>
      </c>
      <c r="AX29" s="5">
        <f t="shared" si="24"/>
        <v>560755.79152</v>
      </c>
      <c r="AY29" s="36">
        <f t="shared" si="25"/>
        <v>20516.5122272</v>
      </c>
      <c r="AZ29" s="5"/>
      <c r="BA29" s="36">
        <f t="shared" si="70"/>
        <v>16.835</v>
      </c>
      <c r="BB29" s="36">
        <f t="shared" si="26"/>
        <v>3.09192</v>
      </c>
      <c r="BC29" s="5">
        <f t="shared" si="27"/>
        <v>19.926920000000003</v>
      </c>
      <c r="BD29" s="36">
        <f t="shared" si="28"/>
        <v>0.7290712</v>
      </c>
      <c r="BE29" s="5"/>
      <c r="BF29" s="36">
        <f t="shared" si="71"/>
        <v>605121.125</v>
      </c>
      <c r="BG29" s="36">
        <f t="shared" si="29"/>
        <v>111136.686</v>
      </c>
      <c r="BH29" s="5">
        <f t="shared" si="30"/>
        <v>716257.811</v>
      </c>
      <c r="BI29" s="36">
        <f t="shared" si="31"/>
        <v>26205.903459999998</v>
      </c>
      <c r="BJ29" s="5"/>
      <c r="BK29" s="36">
        <f t="shared" si="72"/>
        <v>1427.7375</v>
      </c>
      <c r="BL29" s="36">
        <f t="shared" si="32"/>
        <v>262.2186</v>
      </c>
      <c r="BM29" s="5">
        <f t="shared" si="33"/>
        <v>1689.9560999999999</v>
      </c>
      <c r="BN29" s="36">
        <f t="shared" si="34"/>
        <v>61.830846</v>
      </c>
      <c r="BO29" s="5"/>
      <c r="BP29" s="36">
        <f t="shared" si="73"/>
        <v>253731.2925</v>
      </c>
      <c r="BQ29" s="36">
        <f t="shared" si="35"/>
        <v>46600.34796</v>
      </c>
      <c r="BR29" s="5">
        <f t="shared" si="36"/>
        <v>300331.64046</v>
      </c>
      <c r="BS29" s="36">
        <f t="shared" si="37"/>
        <v>10988.308755600001</v>
      </c>
      <c r="BT29" s="5"/>
      <c r="BU29" s="5">
        <f t="shared" si="74"/>
        <v>1280.755</v>
      </c>
      <c r="BV29" s="5">
        <f t="shared" si="38"/>
        <v>235.22376</v>
      </c>
      <c r="BW29" s="5">
        <f t="shared" si="39"/>
        <v>1515.9787600000002</v>
      </c>
      <c r="BX29" s="36">
        <f t="shared" si="40"/>
        <v>55.4654936</v>
      </c>
      <c r="BY29" s="5"/>
      <c r="BZ29" s="36">
        <f t="shared" si="75"/>
        <v>49796.634999999995</v>
      </c>
      <c r="CA29" s="36">
        <f t="shared" si="41"/>
        <v>9145.66152</v>
      </c>
      <c r="CB29" s="5">
        <f t="shared" si="42"/>
        <v>58942.296519999996</v>
      </c>
      <c r="CC29" s="36">
        <f t="shared" si="43"/>
        <v>2156.5365272</v>
      </c>
      <c r="CD29" s="5"/>
      <c r="CE29" s="36">
        <f t="shared" si="76"/>
        <v>26510.592500000002</v>
      </c>
      <c r="CF29" s="36">
        <f t="shared" si="44"/>
        <v>4868.94156</v>
      </c>
      <c r="CG29" s="5">
        <f t="shared" si="45"/>
        <v>31379.53406</v>
      </c>
      <c r="CH29" s="36">
        <f t="shared" si="46"/>
        <v>1148.0908516000002</v>
      </c>
      <c r="CI29" s="5"/>
      <c r="CJ29" s="5">
        <f t="shared" si="77"/>
        <v>86385.565</v>
      </c>
      <c r="CK29" s="36">
        <f t="shared" si="47"/>
        <v>15865.59288</v>
      </c>
      <c r="CL29" s="36">
        <f t="shared" si="48"/>
        <v>102251.15788</v>
      </c>
      <c r="CM29" s="36">
        <f t="shared" si="49"/>
        <v>3741.0886568</v>
      </c>
      <c r="CN29" s="5"/>
      <c r="CO29" s="5">
        <f t="shared" si="78"/>
        <v>760409.1075</v>
      </c>
      <c r="CP29" s="36">
        <f t="shared" si="50"/>
        <v>139656.91284</v>
      </c>
      <c r="CQ29" s="36">
        <f t="shared" si="51"/>
        <v>900066.02034</v>
      </c>
      <c r="CR29" s="36">
        <f t="shared" si="52"/>
        <v>32930.9403324</v>
      </c>
      <c r="CS29" s="5"/>
      <c r="CT29" s="36">
        <f t="shared" si="79"/>
        <v>1574303.6575</v>
      </c>
      <c r="CU29" s="36">
        <f t="shared" si="53"/>
        <v>289136.97444</v>
      </c>
      <c r="CV29" s="5">
        <f t="shared" si="54"/>
        <v>1863440.63194</v>
      </c>
      <c r="CW29" s="36">
        <f t="shared" si="55"/>
        <v>68178.1679084</v>
      </c>
      <c r="CX29" s="5"/>
      <c r="CY29" s="5">
        <f t="shared" si="80"/>
        <v>69871.0775</v>
      </c>
      <c r="CZ29" s="5">
        <f t="shared" si="56"/>
        <v>12832.53828</v>
      </c>
      <c r="DA29" s="5">
        <f t="shared" si="57"/>
        <v>82703.61578</v>
      </c>
      <c r="DB29" s="36">
        <f t="shared" si="58"/>
        <v>3025.8978508</v>
      </c>
      <c r="DC29" s="5"/>
      <c r="DD29" s="36">
        <f t="shared" si="81"/>
        <v>77502.5125</v>
      </c>
      <c r="DE29" s="36">
        <f t="shared" si="59"/>
        <v>14234.1294</v>
      </c>
      <c r="DF29" s="5">
        <f t="shared" si="60"/>
        <v>91736.6419</v>
      </c>
      <c r="DG29" s="36">
        <f t="shared" si="61"/>
        <v>3356.3914339999997</v>
      </c>
      <c r="DH29" s="5"/>
      <c r="DI29" s="36"/>
      <c r="DJ29" s="36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</row>
    <row r="30" spans="1:131" ht="12">
      <c r="A30" s="37">
        <v>45931</v>
      </c>
      <c r="D30" s="3">
        <v>1059700</v>
      </c>
      <c r="E30" s="35">
        <f t="shared" si="0"/>
        <v>1059700</v>
      </c>
      <c r="F30" s="35">
        <v>280412</v>
      </c>
      <c r="H30" s="36"/>
      <c r="I30" s="36">
        <v>159720</v>
      </c>
      <c r="J30" s="36">
        <f t="shared" si="1"/>
        <v>159720</v>
      </c>
      <c r="K30" s="35">
        <f>'Academic Project '!K30</f>
        <v>42264.25746400001</v>
      </c>
      <c r="M30" s="36"/>
      <c r="N30" s="35">
        <f t="shared" si="2"/>
        <v>899979.8966000001</v>
      </c>
      <c r="O30" s="5">
        <f t="shared" si="3"/>
        <v>899979.8966000001</v>
      </c>
      <c r="P30" s="35">
        <f t="shared" si="4"/>
        <v>238147.74253599998</v>
      </c>
      <c r="R30" s="36"/>
      <c r="S30" s="36">
        <f t="shared" si="5"/>
        <v>40618.40697</v>
      </c>
      <c r="T30" s="5">
        <f t="shared" si="6"/>
        <v>40618.40697</v>
      </c>
      <c r="U30" s="36">
        <f t="shared" si="7"/>
        <v>10748.2200012</v>
      </c>
      <c r="X30" s="36">
        <f t="shared" si="8"/>
        <v>73602.20529</v>
      </c>
      <c r="Y30" s="36">
        <f t="shared" si="9"/>
        <v>73602.20529</v>
      </c>
      <c r="Z30" s="36">
        <f t="shared" si="10"/>
        <v>19476.211748399997</v>
      </c>
      <c r="AC30" s="5">
        <f t="shared" si="11"/>
        <v>59306.21647</v>
      </c>
      <c r="AD30" s="5">
        <f t="shared" si="12"/>
        <v>59306.21647</v>
      </c>
      <c r="AE30" s="36">
        <f t="shared" si="13"/>
        <v>15693.285621199999</v>
      </c>
      <c r="AH30" s="5">
        <f t="shared" si="14"/>
        <v>70479.5873</v>
      </c>
      <c r="AI30" s="5">
        <f t="shared" si="15"/>
        <v>70479.5873</v>
      </c>
      <c r="AJ30" s="36">
        <f t="shared" si="16"/>
        <v>18649.921707999998</v>
      </c>
      <c r="AL30" s="36"/>
      <c r="AM30" s="36">
        <f t="shared" si="17"/>
        <v>4209.76422</v>
      </c>
      <c r="AN30" s="5">
        <f t="shared" si="18"/>
        <v>4209.76422</v>
      </c>
      <c r="AO30" s="36">
        <f t="shared" si="19"/>
        <v>1113.9647112</v>
      </c>
      <c r="AQ30" s="36"/>
      <c r="AR30" s="36">
        <f t="shared" si="20"/>
        <v>378.94872000000004</v>
      </c>
      <c r="AS30" s="5">
        <f t="shared" si="21"/>
        <v>378.94872000000004</v>
      </c>
      <c r="AT30" s="36">
        <f t="shared" si="22"/>
        <v>100.27533120000001</v>
      </c>
      <c r="AU30" s="5"/>
      <c r="AV30" s="36"/>
      <c r="AW30" s="36">
        <f t="shared" si="23"/>
        <v>77533.58632</v>
      </c>
      <c r="AX30" s="5">
        <f t="shared" si="24"/>
        <v>77533.58632</v>
      </c>
      <c r="AY30" s="36">
        <f t="shared" si="25"/>
        <v>20516.5122272</v>
      </c>
      <c r="AZ30" s="5"/>
      <c r="BA30" s="36"/>
      <c r="BB30" s="36">
        <f t="shared" si="26"/>
        <v>2.75522</v>
      </c>
      <c r="BC30" s="5">
        <f t="shared" si="27"/>
        <v>2.75522</v>
      </c>
      <c r="BD30" s="36">
        <f t="shared" si="28"/>
        <v>0.7290712</v>
      </c>
      <c r="BE30" s="5"/>
      <c r="BF30" s="36"/>
      <c r="BG30" s="36">
        <f t="shared" si="29"/>
        <v>99034.2635</v>
      </c>
      <c r="BH30" s="5">
        <f t="shared" si="30"/>
        <v>99034.2635</v>
      </c>
      <c r="BI30" s="36">
        <f t="shared" si="31"/>
        <v>26205.903459999998</v>
      </c>
      <c r="BJ30" s="5"/>
      <c r="BK30" s="36"/>
      <c r="BL30" s="36">
        <f t="shared" si="32"/>
        <v>233.66385</v>
      </c>
      <c r="BM30" s="5">
        <f t="shared" si="33"/>
        <v>233.66385</v>
      </c>
      <c r="BN30" s="36">
        <f t="shared" si="34"/>
        <v>61.830846</v>
      </c>
      <c r="BO30" s="5"/>
      <c r="BP30" s="36"/>
      <c r="BQ30" s="36">
        <f t="shared" si="35"/>
        <v>41525.72211</v>
      </c>
      <c r="BR30" s="5">
        <f t="shared" si="36"/>
        <v>41525.72211</v>
      </c>
      <c r="BS30" s="36">
        <f t="shared" si="37"/>
        <v>10988.308755600001</v>
      </c>
      <c r="BT30" s="5"/>
      <c r="BU30" s="5"/>
      <c r="BV30" s="5">
        <f t="shared" si="38"/>
        <v>209.60866000000001</v>
      </c>
      <c r="BW30" s="5">
        <f t="shared" si="39"/>
        <v>209.60866000000001</v>
      </c>
      <c r="BX30" s="36">
        <f t="shared" si="40"/>
        <v>55.4654936</v>
      </c>
      <c r="BY30" s="5"/>
      <c r="BZ30" s="36"/>
      <c r="CA30" s="36">
        <f t="shared" si="41"/>
        <v>8149.728819999999</v>
      </c>
      <c r="CB30" s="5">
        <f t="shared" si="42"/>
        <v>8149.728819999999</v>
      </c>
      <c r="CC30" s="36">
        <f t="shared" si="43"/>
        <v>2156.5365272</v>
      </c>
      <c r="CD30" s="5"/>
      <c r="CE30" s="36"/>
      <c r="CF30" s="36">
        <f t="shared" si="44"/>
        <v>4338.7297100000005</v>
      </c>
      <c r="CG30" s="5">
        <f t="shared" si="45"/>
        <v>4338.7297100000005</v>
      </c>
      <c r="CH30" s="36">
        <f t="shared" si="46"/>
        <v>1148.0908516000002</v>
      </c>
      <c r="CI30" s="5"/>
      <c r="CJ30" s="5"/>
      <c r="CK30" s="36">
        <f t="shared" si="47"/>
        <v>14137.88158</v>
      </c>
      <c r="CL30" s="36">
        <f t="shared" si="48"/>
        <v>14137.88158</v>
      </c>
      <c r="CM30" s="36">
        <f t="shared" si="49"/>
        <v>3741.0886568</v>
      </c>
      <c r="CN30" s="5"/>
      <c r="CO30" s="5"/>
      <c r="CP30" s="36">
        <f t="shared" si="50"/>
        <v>124448.73069000001</v>
      </c>
      <c r="CQ30" s="36">
        <f t="shared" si="51"/>
        <v>124448.73069000001</v>
      </c>
      <c r="CR30" s="36">
        <f t="shared" si="52"/>
        <v>32930.9403324</v>
      </c>
      <c r="CS30" s="5"/>
      <c r="CT30" s="36"/>
      <c r="CU30" s="36">
        <f t="shared" si="53"/>
        <v>257650.90129</v>
      </c>
      <c r="CV30" s="5">
        <f t="shared" si="54"/>
        <v>257650.90129</v>
      </c>
      <c r="CW30" s="36">
        <f t="shared" si="55"/>
        <v>68178.1679084</v>
      </c>
      <c r="CX30" s="5"/>
      <c r="CY30" s="5"/>
      <c r="CZ30" s="5">
        <f t="shared" si="56"/>
        <v>11435.116730000002</v>
      </c>
      <c r="DA30" s="5">
        <f t="shared" si="57"/>
        <v>11435.116730000002</v>
      </c>
      <c r="DB30" s="36">
        <f t="shared" si="58"/>
        <v>3025.8978508</v>
      </c>
      <c r="DC30" s="5"/>
      <c r="DD30" s="36"/>
      <c r="DE30" s="36">
        <f t="shared" si="59"/>
        <v>12684.07915</v>
      </c>
      <c r="DF30" s="5">
        <f t="shared" si="60"/>
        <v>12684.07915</v>
      </c>
      <c r="DG30" s="36">
        <f t="shared" si="61"/>
        <v>3356.3914339999997</v>
      </c>
      <c r="DH30" s="5"/>
      <c r="DI30" s="36"/>
      <c r="DJ30" s="36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</row>
    <row r="31" spans="1:131" ht="12">
      <c r="A31" s="37">
        <v>46113</v>
      </c>
      <c r="C31" s="3">
        <v>6735000</v>
      </c>
      <c r="D31" s="3">
        <v>1059700</v>
      </c>
      <c r="E31" s="35">
        <f t="shared" si="0"/>
        <v>7794700</v>
      </c>
      <c r="F31" s="35">
        <v>280412</v>
      </c>
      <c r="H31" s="36">
        <v>1015113</v>
      </c>
      <c r="I31" s="36">
        <v>159720</v>
      </c>
      <c r="J31" s="36">
        <f t="shared" si="1"/>
        <v>1174833</v>
      </c>
      <c r="K31" s="35">
        <f>'Academic Project '!K31</f>
        <v>42264.25746400001</v>
      </c>
      <c r="M31" s="36">
        <f t="shared" si="62"/>
        <v>5719887.33</v>
      </c>
      <c r="N31" s="35">
        <f t="shared" si="2"/>
        <v>899979.8966000001</v>
      </c>
      <c r="O31" s="5">
        <f t="shared" si="3"/>
        <v>6619867.226600001</v>
      </c>
      <c r="P31" s="35">
        <f t="shared" si="4"/>
        <v>238147.74253599998</v>
      </c>
      <c r="R31" s="36">
        <f t="shared" si="63"/>
        <v>258153.2235</v>
      </c>
      <c r="S31" s="36">
        <f t="shared" si="5"/>
        <v>40618.40697</v>
      </c>
      <c r="T31" s="5">
        <f t="shared" si="6"/>
        <v>298771.63047</v>
      </c>
      <c r="U31" s="36">
        <f t="shared" si="7"/>
        <v>10748.2200012</v>
      </c>
      <c r="W31" s="5">
        <f t="shared" si="64"/>
        <v>467784.1395</v>
      </c>
      <c r="X31" s="36">
        <f t="shared" si="8"/>
        <v>73602.20529</v>
      </c>
      <c r="Y31" s="36">
        <f t="shared" si="9"/>
        <v>541386.34479</v>
      </c>
      <c r="Z31" s="36">
        <f t="shared" si="10"/>
        <v>19476.211748399997</v>
      </c>
      <c r="AB31" s="5">
        <f t="shared" si="65"/>
        <v>376924.9485</v>
      </c>
      <c r="AC31" s="5">
        <f t="shared" si="11"/>
        <v>59306.21647</v>
      </c>
      <c r="AD31" s="5">
        <f t="shared" si="12"/>
        <v>436231.16497</v>
      </c>
      <c r="AE31" s="36">
        <f t="shared" si="13"/>
        <v>15693.285621199999</v>
      </c>
      <c r="AG31" s="5">
        <f t="shared" si="66"/>
        <v>447938.115</v>
      </c>
      <c r="AH31" s="5">
        <f t="shared" si="14"/>
        <v>70479.5873</v>
      </c>
      <c r="AI31" s="5">
        <f t="shared" si="15"/>
        <v>518417.7023</v>
      </c>
      <c r="AJ31" s="36">
        <f t="shared" si="16"/>
        <v>18649.921707999998</v>
      </c>
      <c r="AL31" s="36">
        <f t="shared" si="67"/>
        <v>26755.461</v>
      </c>
      <c r="AM31" s="36">
        <f t="shared" si="17"/>
        <v>4209.76422</v>
      </c>
      <c r="AN31" s="5">
        <f t="shared" si="18"/>
        <v>30965.22522</v>
      </c>
      <c r="AO31" s="36">
        <f t="shared" si="19"/>
        <v>1113.9647112</v>
      </c>
      <c r="AQ31" s="36">
        <f t="shared" si="68"/>
        <v>2408.436</v>
      </c>
      <c r="AR31" s="36">
        <f t="shared" si="20"/>
        <v>378.94872000000004</v>
      </c>
      <c r="AS31" s="5">
        <f t="shared" si="21"/>
        <v>2787.38472</v>
      </c>
      <c r="AT31" s="36">
        <f t="shared" si="22"/>
        <v>100.27533120000001</v>
      </c>
      <c r="AU31" s="5"/>
      <c r="AV31" s="36">
        <f t="shared" si="69"/>
        <v>492770.316</v>
      </c>
      <c r="AW31" s="36">
        <f t="shared" si="23"/>
        <v>77533.58632</v>
      </c>
      <c r="AX31" s="5">
        <f t="shared" si="24"/>
        <v>570303.90232</v>
      </c>
      <c r="AY31" s="36">
        <f t="shared" si="25"/>
        <v>20516.5122272</v>
      </c>
      <c r="AZ31" s="5"/>
      <c r="BA31" s="36">
        <f t="shared" si="70"/>
        <v>17.511</v>
      </c>
      <c r="BB31" s="36">
        <f t="shared" si="26"/>
        <v>2.75522</v>
      </c>
      <c r="BC31" s="5">
        <f t="shared" si="27"/>
        <v>20.26622</v>
      </c>
      <c r="BD31" s="36">
        <f t="shared" si="28"/>
        <v>0.7290712</v>
      </c>
      <c r="BE31" s="5"/>
      <c r="BF31" s="36">
        <f t="shared" si="71"/>
        <v>629419.4249999999</v>
      </c>
      <c r="BG31" s="36">
        <f t="shared" si="29"/>
        <v>99034.2635</v>
      </c>
      <c r="BH31" s="5">
        <f t="shared" si="30"/>
        <v>728453.6884999999</v>
      </c>
      <c r="BI31" s="36">
        <f t="shared" si="31"/>
        <v>26205.903459999998</v>
      </c>
      <c r="BJ31" s="5"/>
      <c r="BK31" s="36">
        <f t="shared" si="72"/>
        <v>1485.0674999999999</v>
      </c>
      <c r="BL31" s="36">
        <f t="shared" si="32"/>
        <v>233.66385</v>
      </c>
      <c r="BM31" s="5">
        <f t="shared" si="33"/>
        <v>1718.7313499999998</v>
      </c>
      <c r="BN31" s="36">
        <f t="shared" si="34"/>
        <v>61.830846</v>
      </c>
      <c r="BO31" s="5"/>
      <c r="BP31" s="36">
        <f t="shared" si="73"/>
        <v>263919.7305</v>
      </c>
      <c r="BQ31" s="36">
        <f t="shared" si="35"/>
        <v>41525.72211</v>
      </c>
      <c r="BR31" s="5">
        <f t="shared" si="36"/>
        <v>305445.45261000004</v>
      </c>
      <c r="BS31" s="36">
        <f t="shared" si="37"/>
        <v>10988.308755600001</v>
      </c>
      <c r="BT31" s="5"/>
      <c r="BU31" s="5">
        <f t="shared" si="74"/>
        <v>1332.183</v>
      </c>
      <c r="BV31" s="5">
        <f t="shared" si="38"/>
        <v>209.60866000000001</v>
      </c>
      <c r="BW31" s="5">
        <f t="shared" si="39"/>
        <v>1541.79166</v>
      </c>
      <c r="BX31" s="36">
        <f t="shared" si="40"/>
        <v>55.4654936</v>
      </c>
      <c r="BY31" s="5"/>
      <c r="BZ31" s="36">
        <f t="shared" si="75"/>
        <v>51796.191</v>
      </c>
      <c r="CA31" s="36">
        <f t="shared" si="41"/>
        <v>8149.728819999999</v>
      </c>
      <c r="CB31" s="5">
        <f t="shared" si="42"/>
        <v>59945.919819999996</v>
      </c>
      <c r="CC31" s="36">
        <f t="shared" si="43"/>
        <v>2156.5365272</v>
      </c>
      <c r="CD31" s="5"/>
      <c r="CE31" s="36">
        <f t="shared" si="76"/>
        <v>27575.110500000003</v>
      </c>
      <c r="CF31" s="36">
        <f t="shared" si="44"/>
        <v>4338.7297100000005</v>
      </c>
      <c r="CG31" s="5">
        <f t="shared" si="45"/>
        <v>31913.840210000002</v>
      </c>
      <c r="CH31" s="36">
        <f t="shared" si="46"/>
        <v>1148.0908516000002</v>
      </c>
      <c r="CI31" s="5"/>
      <c r="CJ31" s="5">
        <f t="shared" si="77"/>
        <v>89854.329</v>
      </c>
      <c r="CK31" s="36">
        <f t="shared" si="47"/>
        <v>14137.88158</v>
      </c>
      <c r="CL31" s="36">
        <f t="shared" si="48"/>
        <v>103992.21058</v>
      </c>
      <c r="CM31" s="36">
        <f t="shared" si="49"/>
        <v>3741.0886568</v>
      </c>
      <c r="CN31" s="5"/>
      <c r="CO31" s="5">
        <f t="shared" si="78"/>
        <v>790942.9095000001</v>
      </c>
      <c r="CP31" s="36">
        <f t="shared" si="50"/>
        <v>124448.73069000001</v>
      </c>
      <c r="CQ31" s="36">
        <f t="shared" si="51"/>
        <v>915391.6401900001</v>
      </c>
      <c r="CR31" s="36">
        <f t="shared" si="52"/>
        <v>32930.9403324</v>
      </c>
      <c r="CS31" s="5"/>
      <c r="CT31" s="36">
        <f t="shared" si="79"/>
        <v>1637518.9395</v>
      </c>
      <c r="CU31" s="36">
        <f t="shared" si="53"/>
        <v>257650.90129</v>
      </c>
      <c r="CV31" s="5">
        <f t="shared" si="54"/>
        <v>1895169.84079</v>
      </c>
      <c r="CW31" s="36">
        <f t="shared" si="55"/>
        <v>68178.1679084</v>
      </c>
      <c r="CX31" s="5"/>
      <c r="CY31" s="5">
        <f t="shared" si="80"/>
        <v>72676.7115</v>
      </c>
      <c r="CZ31" s="5">
        <f t="shared" si="56"/>
        <v>11435.116730000002</v>
      </c>
      <c r="DA31" s="5">
        <f t="shared" si="57"/>
        <v>84111.82823000001</v>
      </c>
      <c r="DB31" s="36">
        <f t="shared" si="58"/>
        <v>3025.8978508</v>
      </c>
      <c r="DC31" s="5"/>
      <c r="DD31" s="36">
        <f t="shared" si="81"/>
        <v>80614.58249999999</v>
      </c>
      <c r="DE31" s="36">
        <f t="shared" si="59"/>
        <v>12684.07915</v>
      </c>
      <c r="DF31" s="5">
        <f t="shared" si="60"/>
        <v>93298.66165</v>
      </c>
      <c r="DG31" s="36">
        <f t="shared" si="61"/>
        <v>3356.3914339999997</v>
      </c>
      <c r="DH31" s="5"/>
      <c r="DI31" s="36"/>
      <c r="DJ31" s="36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</row>
    <row r="32" spans="1:131" ht="12">
      <c r="A32" s="37">
        <v>46296</v>
      </c>
      <c r="D32" s="3">
        <v>891325</v>
      </c>
      <c r="E32" s="35">
        <f t="shared" si="0"/>
        <v>891325</v>
      </c>
      <c r="F32" s="35">
        <v>280412</v>
      </c>
      <c r="H32" s="36"/>
      <c r="I32" s="36">
        <v>134342</v>
      </c>
      <c r="J32" s="36">
        <f t="shared" si="1"/>
        <v>134342</v>
      </c>
      <c r="K32" s="35">
        <f>'Academic Project '!K32</f>
        <v>42264.25746400001</v>
      </c>
      <c r="M32" s="36"/>
      <c r="N32" s="35">
        <f t="shared" si="2"/>
        <v>756982.7133500001</v>
      </c>
      <c r="O32" s="5">
        <f t="shared" si="3"/>
        <v>756982.7133500001</v>
      </c>
      <c r="P32" s="35">
        <f t="shared" si="4"/>
        <v>238147.74253599998</v>
      </c>
      <c r="R32" s="36"/>
      <c r="S32" s="36">
        <f t="shared" si="5"/>
        <v>34164.576382499996</v>
      </c>
      <c r="T32" s="5">
        <f t="shared" si="6"/>
        <v>34164.576382499996</v>
      </c>
      <c r="U32" s="36">
        <f t="shared" si="7"/>
        <v>10748.2200012</v>
      </c>
      <c r="X32" s="36">
        <f t="shared" si="8"/>
        <v>61907.601802499994</v>
      </c>
      <c r="Y32" s="36">
        <f t="shared" si="9"/>
        <v>61907.601802499994</v>
      </c>
      <c r="Z32" s="36">
        <f t="shared" si="10"/>
        <v>19476.211748399997</v>
      </c>
      <c r="AC32" s="5">
        <f t="shared" si="11"/>
        <v>49883.092757499995</v>
      </c>
      <c r="AD32" s="5">
        <f t="shared" si="12"/>
        <v>49883.092757499995</v>
      </c>
      <c r="AE32" s="36">
        <f t="shared" si="13"/>
        <v>15693.285621199999</v>
      </c>
      <c r="AH32" s="5">
        <f t="shared" si="14"/>
        <v>59281.134425</v>
      </c>
      <c r="AI32" s="5">
        <f t="shared" si="15"/>
        <v>59281.134425</v>
      </c>
      <c r="AJ32" s="36">
        <f t="shared" si="16"/>
        <v>18649.921707999998</v>
      </c>
      <c r="AL32" s="36"/>
      <c r="AM32" s="36">
        <f t="shared" si="17"/>
        <v>3540.8776949999997</v>
      </c>
      <c r="AN32" s="5">
        <f t="shared" si="18"/>
        <v>3540.8776949999997</v>
      </c>
      <c r="AO32" s="36">
        <f t="shared" si="19"/>
        <v>1113.9647112</v>
      </c>
      <c r="AQ32" s="36"/>
      <c r="AR32" s="36">
        <f t="shared" si="20"/>
        <v>318.73782</v>
      </c>
      <c r="AS32" s="5">
        <f t="shared" si="21"/>
        <v>318.73782</v>
      </c>
      <c r="AT32" s="36">
        <f t="shared" si="22"/>
        <v>100.27533120000001</v>
      </c>
      <c r="AU32" s="5"/>
      <c r="AV32" s="36"/>
      <c r="AW32" s="36">
        <f t="shared" si="23"/>
        <v>65214.32842</v>
      </c>
      <c r="AX32" s="5">
        <f t="shared" si="24"/>
        <v>65214.32842</v>
      </c>
      <c r="AY32" s="36">
        <f t="shared" si="25"/>
        <v>20516.5122272</v>
      </c>
      <c r="AZ32" s="5"/>
      <c r="BA32" s="36"/>
      <c r="BB32" s="36">
        <f t="shared" si="26"/>
        <v>2.317445</v>
      </c>
      <c r="BC32" s="5">
        <f t="shared" si="27"/>
        <v>2.317445</v>
      </c>
      <c r="BD32" s="36">
        <f t="shared" si="28"/>
        <v>0.7290712</v>
      </c>
      <c r="BE32" s="5"/>
      <c r="BF32" s="36"/>
      <c r="BG32" s="36">
        <f t="shared" si="29"/>
        <v>83298.777875</v>
      </c>
      <c r="BH32" s="5">
        <f t="shared" si="30"/>
        <v>83298.777875</v>
      </c>
      <c r="BI32" s="36">
        <f t="shared" si="31"/>
        <v>26205.903459999998</v>
      </c>
      <c r="BJ32" s="5"/>
      <c r="BK32" s="36"/>
      <c r="BL32" s="36">
        <f t="shared" si="32"/>
        <v>196.5371625</v>
      </c>
      <c r="BM32" s="5">
        <f t="shared" si="33"/>
        <v>196.5371625</v>
      </c>
      <c r="BN32" s="36">
        <f t="shared" si="34"/>
        <v>61.830846</v>
      </c>
      <c r="BO32" s="5"/>
      <c r="BP32" s="36"/>
      <c r="BQ32" s="36">
        <f t="shared" si="35"/>
        <v>34927.7288475</v>
      </c>
      <c r="BR32" s="5">
        <f t="shared" si="36"/>
        <v>34927.7288475</v>
      </c>
      <c r="BS32" s="36">
        <f t="shared" si="37"/>
        <v>10988.308755600001</v>
      </c>
      <c r="BT32" s="5"/>
      <c r="BU32" s="5"/>
      <c r="BV32" s="5">
        <f t="shared" si="38"/>
        <v>176.30408500000001</v>
      </c>
      <c r="BW32" s="5">
        <f t="shared" si="39"/>
        <v>176.30408500000001</v>
      </c>
      <c r="BX32" s="36">
        <f t="shared" si="40"/>
        <v>55.4654936</v>
      </c>
      <c r="BY32" s="5"/>
      <c r="BZ32" s="36"/>
      <c r="CA32" s="36">
        <f t="shared" si="41"/>
        <v>6854.824044999999</v>
      </c>
      <c r="CB32" s="5">
        <f t="shared" si="42"/>
        <v>6854.824044999999</v>
      </c>
      <c r="CC32" s="36">
        <f t="shared" si="43"/>
        <v>2156.5365272</v>
      </c>
      <c r="CD32" s="5"/>
      <c r="CE32" s="36"/>
      <c r="CF32" s="36">
        <f t="shared" si="44"/>
        <v>3649.3519475000003</v>
      </c>
      <c r="CG32" s="5">
        <f t="shared" si="45"/>
        <v>3649.3519475000003</v>
      </c>
      <c r="CH32" s="36">
        <f t="shared" si="46"/>
        <v>1148.0908516000002</v>
      </c>
      <c r="CI32" s="5"/>
      <c r="CJ32" s="5"/>
      <c r="CK32" s="36">
        <f t="shared" si="47"/>
        <v>11891.523355</v>
      </c>
      <c r="CL32" s="36">
        <f t="shared" si="48"/>
        <v>11891.523355</v>
      </c>
      <c r="CM32" s="36">
        <f t="shared" si="49"/>
        <v>3741.0886568</v>
      </c>
      <c r="CN32" s="5"/>
      <c r="CO32" s="5"/>
      <c r="CP32" s="36">
        <f t="shared" si="50"/>
        <v>104675.15795250001</v>
      </c>
      <c r="CQ32" s="36">
        <f t="shared" si="51"/>
        <v>104675.15795250001</v>
      </c>
      <c r="CR32" s="36">
        <f t="shared" si="52"/>
        <v>32930.9403324</v>
      </c>
      <c r="CS32" s="5"/>
      <c r="CT32" s="36"/>
      <c r="CU32" s="36">
        <f t="shared" si="53"/>
        <v>216712.9278025</v>
      </c>
      <c r="CV32" s="5">
        <f t="shared" si="54"/>
        <v>216712.9278025</v>
      </c>
      <c r="CW32" s="36">
        <f t="shared" si="55"/>
        <v>68178.1679084</v>
      </c>
      <c r="CX32" s="5"/>
      <c r="CY32" s="5"/>
      <c r="CZ32" s="5">
        <f t="shared" si="56"/>
        <v>9618.198942500001</v>
      </c>
      <c r="DA32" s="5">
        <f t="shared" si="57"/>
        <v>9618.198942500001</v>
      </c>
      <c r="DB32" s="36">
        <f t="shared" si="58"/>
        <v>3025.8978508</v>
      </c>
      <c r="DC32" s="5"/>
      <c r="DD32" s="36"/>
      <c r="DE32" s="36">
        <f t="shared" si="59"/>
        <v>10668.714587499999</v>
      </c>
      <c r="DF32" s="5">
        <f t="shared" si="60"/>
        <v>10668.714587499999</v>
      </c>
      <c r="DG32" s="36">
        <f t="shared" si="61"/>
        <v>3356.3914339999997</v>
      </c>
      <c r="DH32" s="5"/>
      <c r="DI32" s="36"/>
      <c r="DJ32" s="36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</row>
    <row r="33" spans="1:131" ht="12">
      <c r="A33" s="37">
        <v>46478</v>
      </c>
      <c r="C33" s="3">
        <v>7070000</v>
      </c>
      <c r="D33" s="3">
        <v>891325</v>
      </c>
      <c r="E33" s="35">
        <f t="shared" si="0"/>
        <v>7961325</v>
      </c>
      <c r="F33" s="35">
        <v>280412</v>
      </c>
      <c r="H33" s="36">
        <v>1065605</v>
      </c>
      <c r="I33" s="36">
        <v>134342</v>
      </c>
      <c r="J33" s="36">
        <f t="shared" si="1"/>
        <v>1199947</v>
      </c>
      <c r="K33" s="35">
        <f>'Academic Project '!K33</f>
        <v>42264.25746400001</v>
      </c>
      <c r="M33" s="36">
        <f t="shared" si="62"/>
        <v>6004395.459999999</v>
      </c>
      <c r="N33" s="35">
        <f t="shared" si="2"/>
        <v>756982.7133500001</v>
      </c>
      <c r="O33" s="5">
        <f t="shared" si="3"/>
        <v>6761378.173349999</v>
      </c>
      <c r="P33" s="35">
        <f t="shared" si="4"/>
        <v>238147.74253599998</v>
      </c>
      <c r="R33" s="36">
        <f t="shared" si="63"/>
        <v>270993.807</v>
      </c>
      <c r="S33" s="36">
        <f t="shared" si="5"/>
        <v>34164.576382499996</v>
      </c>
      <c r="T33" s="5">
        <f t="shared" si="6"/>
        <v>305158.3833825</v>
      </c>
      <c r="U33" s="36">
        <f t="shared" si="7"/>
        <v>10748.2200012</v>
      </c>
      <c r="W33" s="5">
        <f t="shared" si="64"/>
        <v>491051.79899999994</v>
      </c>
      <c r="X33" s="36">
        <f t="shared" si="8"/>
        <v>61907.601802499994</v>
      </c>
      <c r="Y33" s="36">
        <f t="shared" si="9"/>
        <v>552959.4008025</v>
      </c>
      <c r="Z33" s="36">
        <f t="shared" si="10"/>
        <v>19476.211748399997</v>
      </c>
      <c r="AB33" s="5">
        <f t="shared" si="65"/>
        <v>395673.257</v>
      </c>
      <c r="AC33" s="5">
        <f t="shared" si="11"/>
        <v>49883.092757499995</v>
      </c>
      <c r="AD33" s="5">
        <f t="shared" si="12"/>
        <v>445556.3497575</v>
      </c>
      <c r="AE33" s="36">
        <f t="shared" si="13"/>
        <v>15693.285621199999</v>
      </c>
      <c r="AG33" s="5">
        <f t="shared" si="66"/>
        <v>470218.63</v>
      </c>
      <c r="AH33" s="5">
        <f t="shared" si="14"/>
        <v>59281.134425</v>
      </c>
      <c r="AI33" s="5">
        <f t="shared" si="15"/>
        <v>529499.764425</v>
      </c>
      <c r="AJ33" s="36">
        <f t="shared" si="16"/>
        <v>18649.921707999998</v>
      </c>
      <c r="AL33" s="36">
        <f t="shared" si="67"/>
        <v>28086.282</v>
      </c>
      <c r="AM33" s="36">
        <f t="shared" si="17"/>
        <v>3540.8776949999997</v>
      </c>
      <c r="AN33" s="5">
        <f t="shared" si="18"/>
        <v>31627.159695</v>
      </c>
      <c r="AO33" s="36">
        <f t="shared" si="19"/>
        <v>1113.9647112</v>
      </c>
      <c r="AQ33" s="36">
        <f t="shared" si="68"/>
        <v>2528.232</v>
      </c>
      <c r="AR33" s="36">
        <f t="shared" si="20"/>
        <v>318.73782</v>
      </c>
      <c r="AS33" s="5">
        <f t="shared" si="21"/>
        <v>2846.96982</v>
      </c>
      <c r="AT33" s="36">
        <f t="shared" si="22"/>
        <v>100.27533120000001</v>
      </c>
      <c r="AU33" s="5"/>
      <c r="AV33" s="36">
        <f t="shared" si="69"/>
        <v>517280.79199999996</v>
      </c>
      <c r="AW33" s="36">
        <f t="shared" si="23"/>
        <v>65214.32842</v>
      </c>
      <c r="AX33" s="5">
        <f t="shared" si="24"/>
        <v>582495.1204199999</v>
      </c>
      <c r="AY33" s="36">
        <f t="shared" si="25"/>
        <v>20516.5122272</v>
      </c>
      <c r="AZ33" s="5"/>
      <c r="BA33" s="36">
        <f t="shared" si="70"/>
        <v>18.382</v>
      </c>
      <c r="BB33" s="36">
        <f t="shared" si="26"/>
        <v>2.317445</v>
      </c>
      <c r="BC33" s="5">
        <f t="shared" si="27"/>
        <v>20.699445</v>
      </c>
      <c r="BD33" s="36">
        <f t="shared" si="28"/>
        <v>0.7290712</v>
      </c>
      <c r="BE33" s="5"/>
      <c r="BF33" s="36">
        <f t="shared" si="71"/>
        <v>660726.85</v>
      </c>
      <c r="BG33" s="36">
        <f t="shared" si="29"/>
        <v>83298.777875</v>
      </c>
      <c r="BH33" s="5">
        <f t="shared" si="30"/>
        <v>744025.627875</v>
      </c>
      <c r="BI33" s="36">
        <f t="shared" si="31"/>
        <v>26205.903459999998</v>
      </c>
      <c r="BJ33" s="5"/>
      <c r="BK33" s="36">
        <f t="shared" si="72"/>
        <v>1558.935</v>
      </c>
      <c r="BL33" s="36">
        <f t="shared" si="32"/>
        <v>196.5371625</v>
      </c>
      <c r="BM33" s="5">
        <f t="shared" si="33"/>
        <v>1755.4721625</v>
      </c>
      <c r="BN33" s="36">
        <f t="shared" si="34"/>
        <v>61.830846</v>
      </c>
      <c r="BO33" s="5"/>
      <c r="BP33" s="36">
        <f t="shared" si="73"/>
        <v>277047.141</v>
      </c>
      <c r="BQ33" s="36">
        <f t="shared" si="35"/>
        <v>34927.7288475</v>
      </c>
      <c r="BR33" s="5">
        <f t="shared" si="36"/>
        <v>311974.8698475</v>
      </c>
      <c r="BS33" s="36">
        <f t="shared" si="37"/>
        <v>10988.308755600001</v>
      </c>
      <c r="BT33" s="5"/>
      <c r="BU33" s="5">
        <f t="shared" si="74"/>
        <v>1398.4460000000001</v>
      </c>
      <c r="BV33" s="5">
        <f t="shared" si="38"/>
        <v>176.30408500000001</v>
      </c>
      <c r="BW33" s="5">
        <f t="shared" si="39"/>
        <v>1574.7500850000001</v>
      </c>
      <c r="BX33" s="36">
        <f t="shared" si="40"/>
        <v>55.4654936</v>
      </c>
      <c r="BY33" s="5"/>
      <c r="BZ33" s="36">
        <f t="shared" si="75"/>
        <v>54372.542</v>
      </c>
      <c r="CA33" s="36">
        <f t="shared" si="41"/>
        <v>6854.824044999999</v>
      </c>
      <c r="CB33" s="5">
        <f t="shared" si="42"/>
        <v>61227.366045</v>
      </c>
      <c r="CC33" s="36">
        <f t="shared" si="43"/>
        <v>2156.5365272</v>
      </c>
      <c r="CD33" s="5"/>
      <c r="CE33" s="36">
        <f t="shared" si="76"/>
        <v>28946.701</v>
      </c>
      <c r="CF33" s="36">
        <f t="shared" si="44"/>
        <v>3649.3519475000003</v>
      </c>
      <c r="CG33" s="5">
        <f t="shared" si="45"/>
        <v>32596.0529475</v>
      </c>
      <c r="CH33" s="36">
        <f t="shared" si="46"/>
        <v>1148.0908516000002</v>
      </c>
      <c r="CI33" s="5"/>
      <c r="CJ33" s="5">
        <f t="shared" si="77"/>
        <v>94323.698</v>
      </c>
      <c r="CK33" s="36">
        <f t="shared" si="47"/>
        <v>11891.523355</v>
      </c>
      <c r="CL33" s="36">
        <f t="shared" si="48"/>
        <v>106215.221355</v>
      </c>
      <c r="CM33" s="36">
        <f t="shared" si="49"/>
        <v>3741.0886568</v>
      </c>
      <c r="CN33" s="5"/>
      <c r="CO33" s="5">
        <f t="shared" si="78"/>
        <v>830284.539</v>
      </c>
      <c r="CP33" s="36">
        <f t="shared" si="50"/>
        <v>104675.15795250001</v>
      </c>
      <c r="CQ33" s="36">
        <f t="shared" si="51"/>
        <v>934959.6969525</v>
      </c>
      <c r="CR33" s="36">
        <f t="shared" si="52"/>
        <v>32930.9403324</v>
      </c>
      <c r="CS33" s="5"/>
      <c r="CT33" s="36">
        <f t="shared" si="79"/>
        <v>1718969.399</v>
      </c>
      <c r="CU33" s="36">
        <f t="shared" si="53"/>
        <v>216712.9278025</v>
      </c>
      <c r="CV33" s="5">
        <f t="shared" si="54"/>
        <v>1935682.3268025</v>
      </c>
      <c r="CW33" s="36">
        <f t="shared" si="55"/>
        <v>68178.1679084</v>
      </c>
      <c r="CX33" s="5"/>
      <c r="CY33" s="5">
        <f t="shared" si="80"/>
        <v>76291.663</v>
      </c>
      <c r="CZ33" s="5">
        <f t="shared" si="56"/>
        <v>9618.198942500001</v>
      </c>
      <c r="DA33" s="5">
        <f t="shared" si="57"/>
        <v>85909.8619425</v>
      </c>
      <c r="DB33" s="36">
        <f t="shared" si="58"/>
        <v>3025.8978508</v>
      </c>
      <c r="DC33" s="5"/>
      <c r="DD33" s="36">
        <f t="shared" si="81"/>
        <v>84624.36499999999</v>
      </c>
      <c r="DE33" s="36">
        <f t="shared" si="59"/>
        <v>10668.714587499999</v>
      </c>
      <c r="DF33" s="5">
        <f t="shared" si="60"/>
        <v>95293.07958749999</v>
      </c>
      <c r="DG33" s="36">
        <f t="shared" si="61"/>
        <v>3356.3914339999997</v>
      </c>
      <c r="DH33" s="5"/>
      <c r="DI33" s="36"/>
      <c r="DJ33" s="36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</row>
    <row r="34" spans="1:131" ht="12">
      <c r="A34" s="37">
        <v>46661</v>
      </c>
      <c r="D34" s="3">
        <v>714575</v>
      </c>
      <c r="E34" s="35">
        <f t="shared" si="0"/>
        <v>714575</v>
      </c>
      <c r="F34" s="35">
        <v>280412</v>
      </c>
      <c r="H34" s="36"/>
      <c r="I34" s="36">
        <v>107702</v>
      </c>
      <c r="J34" s="36">
        <f t="shared" si="1"/>
        <v>107702</v>
      </c>
      <c r="K34" s="35">
        <f>'Academic Project '!K34</f>
        <v>42264.25746400001</v>
      </c>
      <c r="M34" s="36"/>
      <c r="N34" s="35">
        <f t="shared" si="2"/>
        <v>606872.8268500002</v>
      </c>
      <c r="O34" s="5">
        <f t="shared" si="3"/>
        <v>606872.8268500002</v>
      </c>
      <c r="P34" s="35">
        <f t="shared" si="4"/>
        <v>238147.74253599998</v>
      </c>
      <c r="R34" s="36"/>
      <c r="S34" s="36">
        <f t="shared" si="5"/>
        <v>27389.7312075</v>
      </c>
      <c r="T34" s="5">
        <f t="shared" si="6"/>
        <v>27389.7312075</v>
      </c>
      <c r="U34" s="36">
        <f t="shared" si="7"/>
        <v>10748.2200012</v>
      </c>
      <c r="X34" s="36">
        <f t="shared" si="8"/>
        <v>49631.3068275</v>
      </c>
      <c r="Y34" s="36">
        <f t="shared" si="9"/>
        <v>49631.3068275</v>
      </c>
      <c r="Z34" s="36">
        <f t="shared" si="10"/>
        <v>19476.211748399997</v>
      </c>
      <c r="AC34" s="5">
        <f t="shared" si="11"/>
        <v>39991.2613325</v>
      </c>
      <c r="AD34" s="5">
        <f t="shared" si="12"/>
        <v>39991.2613325</v>
      </c>
      <c r="AE34" s="36">
        <f t="shared" si="13"/>
        <v>15693.285621199999</v>
      </c>
      <c r="AH34" s="5">
        <f t="shared" si="14"/>
        <v>47525.668675</v>
      </c>
      <c r="AI34" s="5">
        <f t="shared" si="15"/>
        <v>47525.668675</v>
      </c>
      <c r="AJ34" s="36">
        <f t="shared" si="16"/>
        <v>18649.921707999998</v>
      </c>
      <c r="AL34" s="36"/>
      <c r="AM34" s="36">
        <f t="shared" si="17"/>
        <v>2838.720645</v>
      </c>
      <c r="AN34" s="5">
        <f t="shared" si="18"/>
        <v>2838.720645</v>
      </c>
      <c r="AO34" s="36">
        <f t="shared" si="19"/>
        <v>1113.9647112</v>
      </c>
      <c r="AQ34" s="36"/>
      <c r="AR34" s="36">
        <f t="shared" si="20"/>
        <v>255.53202000000002</v>
      </c>
      <c r="AS34" s="5">
        <f t="shared" si="21"/>
        <v>255.53202000000002</v>
      </c>
      <c r="AT34" s="36">
        <f t="shared" si="22"/>
        <v>100.27533120000001</v>
      </c>
      <c r="AU34" s="5"/>
      <c r="AV34" s="36"/>
      <c r="AW34" s="36">
        <f t="shared" si="23"/>
        <v>52282.308619999996</v>
      </c>
      <c r="AX34" s="5">
        <f t="shared" si="24"/>
        <v>52282.308619999996</v>
      </c>
      <c r="AY34" s="36">
        <f t="shared" si="25"/>
        <v>20516.5122272</v>
      </c>
      <c r="AZ34" s="5"/>
      <c r="BA34" s="36"/>
      <c r="BB34" s="36">
        <f t="shared" si="26"/>
        <v>1.857895</v>
      </c>
      <c r="BC34" s="5">
        <f t="shared" si="27"/>
        <v>1.857895</v>
      </c>
      <c r="BD34" s="36">
        <f t="shared" si="28"/>
        <v>0.7290712</v>
      </c>
      <c r="BE34" s="5"/>
      <c r="BF34" s="36"/>
      <c r="BG34" s="36">
        <f t="shared" si="29"/>
        <v>66780.606625</v>
      </c>
      <c r="BH34" s="5">
        <f t="shared" si="30"/>
        <v>66780.606625</v>
      </c>
      <c r="BI34" s="36">
        <f t="shared" si="31"/>
        <v>26205.903459999998</v>
      </c>
      <c r="BJ34" s="5"/>
      <c r="BK34" s="36"/>
      <c r="BL34" s="36">
        <f t="shared" si="32"/>
        <v>157.5637875</v>
      </c>
      <c r="BM34" s="5">
        <f t="shared" si="33"/>
        <v>157.5637875</v>
      </c>
      <c r="BN34" s="36">
        <f t="shared" si="34"/>
        <v>61.830846</v>
      </c>
      <c r="BO34" s="5"/>
      <c r="BP34" s="36"/>
      <c r="BQ34" s="36">
        <f t="shared" si="35"/>
        <v>28001.5503225</v>
      </c>
      <c r="BR34" s="5">
        <f t="shared" si="36"/>
        <v>28001.5503225</v>
      </c>
      <c r="BS34" s="36">
        <f t="shared" si="37"/>
        <v>10988.308755600001</v>
      </c>
      <c r="BT34" s="5"/>
      <c r="BU34" s="5"/>
      <c r="BV34" s="5">
        <f t="shared" si="38"/>
        <v>141.342935</v>
      </c>
      <c r="BW34" s="5">
        <f t="shared" si="39"/>
        <v>141.342935</v>
      </c>
      <c r="BX34" s="36">
        <f t="shared" si="40"/>
        <v>55.4654936</v>
      </c>
      <c r="BY34" s="5"/>
      <c r="BZ34" s="36"/>
      <c r="CA34" s="36">
        <f t="shared" si="41"/>
        <v>5495.5104949999995</v>
      </c>
      <c r="CB34" s="5">
        <f t="shared" si="42"/>
        <v>5495.5104949999995</v>
      </c>
      <c r="CC34" s="36">
        <f t="shared" si="43"/>
        <v>2156.5365272</v>
      </c>
      <c r="CD34" s="5"/>
      <c r="CE34" s="36"/>
      <c r="CF34" s="36">
        <f t="shared" si="44"/>
        <v>2925.6844225000004</v>
      </c>
      <c r="CG34" s="5">
        <f t="shared" si="45"/>
        <v>2925.6844225000004</v>
      </c>
      <c r="CH34" s="36">
        <f t="shared" si="46"/>
        <v>1148.0908516000002</v>
      </c>
      <c r="CI34" s="5"/>
      <c r="CJ34" s="5"/>
      <c r="CK34" s="36">
        <f t="shared" si="47"/>
        <v>9533.430905</v>
      </c>
      <c r="CL34" s="36">
        <f t="shared" si="48"/>
        <v>9533.430905</v>
      </c>
      <c r="CM34" s="36">
        <f t="shared" si="49"/>
        <v>3741.0886568</v>
      </c>
      <c r="CN34" s="5"/>
      <c r="CO34" s="5"/>
      <c r="CP34" s="36">
        <f t="shared" si="50"/>
        <v>83918.0444775</v>
      </c>
      <c r="CQ34" s="36">
        <f t="shared" si="51"/>
        <v>83918.0444775</v>
      </c>
      <c r="CR34" s="36">
        <f t="shared" si="52"/>
        <v>32930.9403324</v>
      </c>
      <c r="CS34" s="5"/>
      <c r="CT34" s="36"/>
      <c r="CU34" s="36">
        <f t="shared" si="53"/>
        <v>173738.6928275</v>
      </c>
      <c r="CV34" s="5">
        <f t="shared" si="54"/>
        <v>173738.6928275</v>
      </c>
      <c r="CW34" s="36">
        <f t="shared" si="55"/>
        <v>68178.1679084</v>
      </c>
      <c r="CX34" s="5"/>
      <c r="CY34" s="5"/>
      <c r="CZ34" s="5">
        <f t="shared" si="56"/>
        <v>7710.907367500001</v>
      </c>
      <c r="DA34" s="5">
        <f t="shared" si="57"/>
        <v>7710.907367500001</v>
      </c>
      <c r="DB34" s="36">
        <f t="shared" si="58"/>
        <v>3025.8978508</v>
      </c>
      <c r="DC34" s="5"/>
      <c r="DD34" s="36"/>
      <c r="DE34" s="36">
        <f t="shared" si="59"/>
        <v>8553.1054625</v>
      </c>
      <c r="DF34" s="5">
        <f t="shared" si="60"/>
        <v>8553.1054625</v>
      </c>
      <c r="DG34" s="36">
        <f t="shared" si="61"/>
        <v>3356.3914339999997</v>
      </c>
      <c r="DH34" s="5"/>
      <c r="DI34" s="36"/>
      <c r="DJ34" s="36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</row>
    <row r="35" spans="1:131" ht="12">
      <c r="A35" s="37">
        <v>46844</v>
      </c>
      <c r="C35" s="3">
        <v>7425000</v>
      </c>
      <c r="D35" s="3">
        <v>714575</v>
      </c>
      <c r="E35" s="35">
        <f t="shared" si="0"/>
        <v>8139575</v>
      </c>
      <c r="F35" s="35">
        <v>280412</v>
      </c>
      <c r="H35" s="36">
        <v>1119111</v>
      </c>
      <c r="I35" s="36">
        <v>107702</v>
      </c>
      <c r="J35" s="36">
        <f t="shared" si="1"/>
        <v>1226813</v>
      </c>
      <c r="K35" s="35">
        <f>'Academic Project '!K35</f>
        <v>42264.25746400001</v>
      </c>
      <c r="M35" s="36">
        <f t="shared" si="62"/>
        <v>6305889.149999999</v>
      </c>
      <c r="N35" s="35">
        <f t="shared" si="2"/>
        <v>606872.8268500002</v>
      </c>
      <c r="O35" s="5">
        <f t="shared" si="3"/>
        <v>6912761.976849999</v>
      </c>
      <c r="P35" s="35">
        <f t="shared" si="4"/>
        <v>238147.74253599998</v>
      </c>
      <c r="R35" s="36">
        <f t="shared" si="63"/>
        <v>284600.9925</v>
      </c>
      <c r="S35" s="36">
        <f t="shared" si="5"/>
        <v>27389.7312075</v>
      </c>
      <c r="T35" s="5">
        <f t="shared" si="6"/>
        <v>311990.7237075</v>
      </c>
      <c r="U35" s="36">
        <f t="shared" si="7"/>
        <v>10748.2200012</v>
      </c>
      <c r="W35" s="5">
        <f t="shared" si="64"/>
        <v>515708.57249999995</v>
      </c>
      <c r="X35" s="36">
        <f t="shared" si="8"/>
        <v>49631.3068275</v>
      </c>
      <c r="Y35" s="36">
        <f t="shared" si="9"/>
        <v>565339.8793275</v>
      </c>
      <c r="Z35" s="36">
        <f t="shared" si="10"/>
        <v>19476.211748399997</v>
      </c>
      <c r="AB35" s="5">
        <f t="shared" si="65"/>
        <v>415540.8675</v>
      </c>
      <c r="AC35" s="5">
        <f t="shared" si="11"/>
        <v>39991.2613325</v>
      </c>
      <c r="AD35" s="5">
        <f t="shared" si="12"/>
        <v>455532.12883249996</v>
      </c>
      <c r="AE35" s="36">
        <f t="shared" si="13"/>
        <v>15693.285621199999</v>
      </c>
      <c r="AG35" s="5">
        <f t="shared" si="66"/>
        <v>493829.325</v>
      </c>
      <c r="AH35" s="5">
        <f t="shared" si="14"/>
        <v>47525.668675</v>
      </c>
      <c r="AI35" s="5">
        <f t="shared" si="15"/>
        <v>541354.993675</v>
      </c>
      <c r="AJ35" s="36">
        <f t="shared" si="16"/>
        <v>18649.921707999998</v>
      </c>
      <c r="AL35" s="36">
        <f t="shared" si="67"/>
        <v>29496.554999999997</v>
      </c>
      <c r="AM35" s="36">
        <f t="shared" si="17"/>
        <v>2838.720645</v>
      </c>
      <c r="AN35" s="5">
        <f t="shared" si="18"/>
        <v>32335.275644999998</v>
      </c>
      <c r="AO35" s="36">
        <f t="shared" si="19"/>
        <v>1113.9647112</v>
      </c>
      <c r="AQ35" s="36">
        <f t="shared" si="68"/>
        <v>2655.1800000000003</v>
      </c>
      <c r="AR35" s="36">
        <f t="shared" si="20"/>
        <v>255.53202000000002</v>
      </c>
      <c r="AS35" s="5">
        <f t="shared" si="21"/>
        <v>2910.7120200000004</v>
      </c>
      <c r="AT35" s="36">
        <f t="shared" si="22"/>
        <v>100.27533120000001</v>
      </c>
      <c r="AU35" s="5"/>
      <c r="AV35" s="36">
        <f t="shared" si="69"/>
        <v>543254.58</v>
      </c>
      <c r="AW35" s="36">
        <f t="shared" si="23"/>
        <v>52282.308619999996</v>
      </c>
      <c r="AX35" s="5">
        <f t="shared" si="24"/>
        <v>595536.88862</v>
      </c>
      <c r="AY35" s="36">
        <f t="shared" si="25"/>
        <v>20516.5122272</v>
      </c>
      <c r="AZ35" s="5"/>
      <c r="BA35" s="36">
        <f t="shared" si="70"/>
        <v>19.305</v>
      </c>
      <c r="BB35" s="36">
        <f t="shared" si="26"/>
        <v>1.857895</v>
      </c>
      <c r="BC35" s="5">
        <f t="shared" si="27"/>
        <v>21.162895</v>
      </c>
      <c r="BD35" s="36">
        <f t="shared" si="28"/>
        <v>0.7290712</v>
      </c>
      <c r="BE35" s="5"/>
      <c r="BF35" s="36">
        <f t="shared" si="71"/>
        <v>693903.375</v>
      </c>
      <c r="BG35" s="36">
        <f t="shared" si="29"/>
        <v>66780.606625</v>
      </c>
      <c r="BH35" s="5">
        <f t="shared" si="30"/>
        <v>760683.981625</v>
      </c>
      <c r="BI35" s="36">
        <f t="shared" si="31"/>
        <v>26205.903459999998</v>
      </c>
      <c r="BJ35" s="5"/>
      <c r="BK35" s="36">
        <f t="shared" si="72"/>
        <v>1637.2124999999999</v>
      </c>
      <c r="BL35" s="36">
        <f t="shared" si="32"/>
        <v>157.5637875</v>
      </c>
      <c r="BM35" s="5">
        <f t="shared" si="33"/>
        <v>1794.7762874999999</v>
      </c>
      <c r="BN35" s="36">
        <f t="shared" si="34"/>
        <v>61.830846</v>
      </c>
      <c r="BO35" s="5"/>
      <c r="BP35" s="36">
        <f t="shared" si="73"/>
        <v>290958.2775</v>
      </c>
      <c r="BQ35" s="36">
        <f t="shared" si="35"/>
        <v>28001.5503225</v>
      </c>
      <c r="BR35" s="5">
        <f t="shared" si="36"/>
        <v>318959.8278225</v>
      </c>
      <c r="BS35" s="36">
        <f t="shared" si="37"/>
        <v>10988.308755600001</v>
      </c>
      <c r="BT35" s="5"/>
      <c r="BU35" s="5">
        <f t="shared" si="74"/>
        <v>1468.665</v>
      </c>
      <c r="BV35" s="5">
        <f t="shared" si="38"/>
        <v>141.342935</v>
      </c>
      <c r="BW35" s="5">
        <f t="shared" si="39"/>
        <v>1610.007935</v>
      </c>
      <c r="BX35" s="36">
        <f t="shared" si="40"/>
        <v>55.4654936</v>
      </c>
      <c r="BY35" s="5"/>
      <c r="BZ35" s="36">
        <f t="shared" si="75"/>
        <v>57102.704999999994</v>
      </c>
      <c r="CA35" s="36">
        <f t="shared" si="41"/>
        <v>5495.5104949999995</v>
      </c>
      <c r="CB35" s="5">
        <f t="shared" si="42"/>
        <v>62598.215495</v>
      </c>
      <c r="CC35" s="36">
        <f t="shared" si="43"/>
        <v>2156.5365272</v>
      </c>
      <c r="CD35" s="5"/>
      <c r="CE35" s="36">
        <f t="shared" si="76"/>
        <v>30400.1775</v>
      </c>
      <c r="CF35" s="36">
        <f t="shared" si="44"/>
        <v>2925.6844225000004</v>
      </c>
      <c r="CG35" s="5">
        <f t="shared" si="45"/>
        <v>33325.8619225</v>
      </c>
      <c r="CH35" s="36">
        <f t="shared" si="46"/>
        <v>1148.0908516000002</v>
      </c>
      <c r="CI35" s="5"/>
      <c r="CJ35" s="5">
        <f t="shared" si="77"/>
        <v>99059.895</v>
      </c>
      <c r="CK35" s="36">
        <f t="shared" si="47"/>
        <v>9533.430905</v>
      </c>
      <c r="CL35" s="36">
        <f t="shared" si="48"/>
        <v>108593.325905</v>
      </c>
      <c r="CM35" s="36">
        <f t="shared" si="49"/>
        <v>3741.0886568</v>
      </c>
      <c r="CN35" s="5"/>
      <c r="CO35" s="5">
        <f t="shared" si="78"/>
        <v>871974.9225000001</v>
      </c>
      <c r="CP35" s="36">
        <f t="shared" si="50"/>
        <v>83918.0444775</v>
      </c>
      <c r="CQ35" s="36">
        <f t="shared" si="51"/>
        <v>955892.9669775001</v>
      </c>
      <c r="CR35" s="36">
        <f t="shared" si="52"/>
        <v>32930.9403324</v>
      </c>
      <c r="CS35" s="5"/>
      <c r="CT35" s="36">
        <f t="shared" si="79"/>
        <v>1805282.5725</v>
      </c>
      <c r="CU35" s="36">
        <f t="shared" si="53"/>
        <v>173738.6928275</v>
      </c>
      <c r="CV35" s="5">
        <f t="shared" si="54"/>
        <v>1979021.2653275</v>
      </c>
      <c r="CW35" s="36">
        <f t="shared" si="55"/>
        <v>68178.1679084</v>
      </c>
      <c r="CX35" s="5"/>
      <c r="CY35" s="5">
        <f t="shared" si="80"/>
        <v>80122.43250000001</v>
      </c>
      <c r="CZ35" s="5">
        <f t="shared" si="56"/>
        <v>7710.907367500001</v>
      </c>
      <c r="DA35" s="5">
        <f t="shared" si="57"/>
        <v>87833.3398675</v>
      </c>
      <c r="DB35" s="36">
        <f t="shared" si="58"/>
        <v>3025.8978508</v>
      </c>
      <c r="DC35" s="5"/>
      <c r="DD35" s="36">
        <f t="shared" si="81"/>
        <v>88873.53749999999</v>
      </c>
      <c r="DE35" s="36">
        <f t="shared" si="59"/>
        <v>8553.1054625</v>
      </c>
      <c r="DF35" s="5">
        <f t="shared" si="60"/>
        <v>97426.64296249999</v>
      </c>
      <c r="DG35" s="36">
        <f t="shared" si="61"/>
        <v>3356.3914339999997</v>
      </c>
      <c r="DH35" s="5"/>
      <c r="DI35" s="36"/>
      <c r="DJ35" s="36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</row>
    <row r="36" spans="1:131" ht="12">
      <c r="A36" s="37">
        <v>47027</v>
      </c>
      <c r="D36" s="3">
        <v>528950</v>
      </c>
      <c r="E36" s="35">
        <f t="shared" si="0"/>
        <v>528950</v>
      </c>
      <c r="F36" s="35">
        <v>280412</v>
      </c>
      <c r="H36" s="36"/>
      <c r="I36" s="36">
        <v>79724</v>
      </c>
      <c r="J36" s="36">
        <f t="shared" si="1"/>
        <v>79724</v>
      </c>
      <c r="K36" s="35">
        <f>'Academic Project '!K36</f>
        <v>42264.25746400001</v>
      </c>
      <c r="M36" s="36"/>
      <c r="N36" s="35">
        <f t="shared" si="2"/>
        <v>449225.5981</v>
      </c>
      <c r="O36" s="5">
        <f t="shared" si="3"/>
        <v>449225.5981</v>
      </c>
      <c r="P36" s="35">
        <f t="shared" si="4"/>
        <v>238147.74253599998</v>
      </c>
      <c r="R36" s="36"/>
      <c r="S36" s="36">
        <f t="shared" si="5"/>
        <v>20274.706395</v>
      </c>
      <c r="T36" s="5">
        <f t="shared" si="6"/>
        <v>20274.706395</v>
      </c>
      <c r="U36" s="36">
        <f t="shared" si="7"/>
        <v>10748.2200012</v>
      </c>
      <c r="X36" s="36">
        <f t="shared" si="8"/>
        <v>36738.592515</v>
      </c>
      <c r="Y36" s="36">
        <f t="shared" si="9"/>
        <v>36738.592515</v>
      </c>
      <c r="Z36" s="36">
        <f t="shared" si="10"/>
        <v>19476.211748399997</v>
      </c>
      <c r="AC36" s="5">
        <f t="shared" si="11"/>
        <v>29602.739644999998</v>
      </c>
      <c r="AD36" s="5">
        <f t="shared" si="12"/>
        <v>29602.739644999998</v>
      </c>
      <c r="AE36" s="36">
        <f t="shared" si="13"/>
        <v>15693.285621199999</v>
      </c>
      <c r="AH36" s="5">
        <f t="shared" si="14"/>
        <v>35179.93555</v>
      </c>
      <c r="AI36" s="5">
        <f t="shared" si="15"/>
        <v>35179.93555</v>
      </c>
      <c r="AJ36" s="36">
        <f t="shared" si="16"/>
        <v>18649.921707999998</v>
      </c>
      <c r="AL36" s="36"/>
      <c r="AM36" s="36">
        <f t="shared" si="17"/>
        <v>2101.3067699999997</v>
      </c>
      <c r="AN36" s="5">
        <f t="shared" si="18"/>
        <v>2101.3067699999997</v>
      </c>
      <c r="AO36" s="36">
        <f t="shared" si="19"/>
        <v>1113.9647112</v>
      </c>
      <c r="AQ36" s="36"/>
      <c r="AR36" s="36">
        <f t="shared" si="20"/>
        <v>189.15252</v>
      </c>
      <c r="AS36" s="5">
        <f t="shared" si="21"/>
        <v>189.15252</v>
      </c>
      <c r="AT36" s="36">
        <f t="shared" si="22"/>
        <v>100.27533120000001</v>
      </c>
      <c r="AU36" s="5"/>
      <c r="AV36" s="36"/>
      <c r="AW36" s="36">
        <f t="shared" si="23"/>
        <v>38700.94412</v>
      </c>
      <c r="AX36" s="5">
        <f t="shared" si="24"/>
        <v>38700.94412</v>
      </c>
      <c r="AY36" s="36">
        <f t="shared" si="25"/>
        <v>20516.5122272</v>
      </c>
      <c r="AZ36" s="5"/>
      <c r="BA36" s="36"/>
      <c r="BB36" s="36">
        <f t="shared" si="26"/>
        <v>1.37527</v>
      </c>
      <c r="BC36" s="5">
        <f t="shared" si="27"/>
        <v>1.37527</v>
      </c>
      <c r="BD36" s="36">
        <f t="shared" si="28"/>
        <v>0.7290712</v>
      </c>
      <c r="BE36" s="5"/>
      <c r="BF36" s="36"/>
      <c r="BG36" s="36">
        <f t="shared" si="29"/>
        <v>49433.022249999995</v>
      </c>
      <c r="BH36" s="5">
        <f t="shared" si="30"/>
        <v>49433.022249999995</v>
      </c>
      <c r="BI36" s="36">
        <f t="shared" si="31"/>
        <v>26205.903459999998</v>
      </c>
      <c r="BJ36" s="5"/>
      <c r="BK36" s="36"/>
      <c r="BL36" s="36">
        <f t="shared" si="32"/>
        <v>116.63347499999999</v>
      </c>
      <c r="BM36" s="5">
        <f t="shared" si="33"/>
        <v>116.63347499999999</v>
      </c>
      <c r="BN36" s="36">
        <f t="shared" si="34"/>
        <v>61.830846</v>
      </c>
      <c r="BO36" s="5"/>
      <c r="BP36" s="36"/>
      <c r="BQ36" s="36">
        <f t="shared" si="35"/>
        <v>20727.593385</v>
      </c>
      <c r="BR36" s="5">
        <f t="shared" si="36"/>
        <v>20727.593385</v>
      </c>
      <c r="BS36" s="36">
        <f t="shared" si="37"/>
        <v>10988.308755600001</v>
      </c>
      <c r="BT36" s="5"/>
      <c r="BU36" s="5"/>
      <c r="BV36" s="5">
        <f t="shared" si="38"/>
        <v>104.62631</v>
      </c>
      <c r="BW36" s="5">
        <f t="shared" si="39"/>
        <v>104.62631</v>
      </c>
      <c r="BX36" s="36">
        <f t="shared" si="40"/>
        <v>55.4654936</v>
      </c>
      <c r="BY36" s="5"/>
      <c r="BZ36" s="36"/>
      <c r="CA36" s="36">
        <f t="shared" si="41"/>
        <v>4067.94287</v>
      </c>
      <c r="CB36" s="5">
        <f t="shared" si="42"/>
        <v>4067.94287</v>
      </c>
      <c r="CC36" s="36">
        <f t="shared" si="43"/>
        <v>2156.5365272</v>
      </c>
      <c r="CD36" s="5"/>
      <c r="CE36" s="36"/>
      <c r="CF36" s="36">
        <f t="shared" si="44"/>
        <v>2165.679985</v>
      </c>
      <c r="CG36" s="5">
        <f t="shared" si="45"/>
        <v>2165.679985</v>
      </c>
      <c r="CH36" s="36">
        <f t="shared" si="46"/>
        <v>1148.0908516000002</v>
      </c>
      <c r="CI36" s="5"/>
      <c r="CJ36" s="5"/>
      <c r="CK36" s="36">
        <f t="shared" si="47"/>
        <v>7056.93353</v>
      </c>
      <c r="CL36" s="36">
        <f t="shared" si="48"/>
        <v>7056.93353</v>
      </c>
      <c r="CM36" s="36">
        <f t="shared" si="49"/>
        <v>3741.0886568</v>
      </c>
      <c r="CN36" s="5"/>
      <c r="CO36" s="5"/>
      <c r="CP36" s="36">
        <f t="shared" si="50"/>
        <v>62118.671415000004</v>
      </c>
      <c r="CQ36" s="36">
        <f t="shared" si="51"/>
        <v>62118.671415000004</v>
      </c>
      <c r="CR36" s="36">
        <f t="shared" si="52"/>
        <v>32930.9403324</v>
      </c>
      <c r="CS36" s="5"/>
      <c r="CT36" s="36"/>
      <c r="CU36" s="36">
        <f t="shared" si="53"/>
        <v>128606.628515</v>
      </c>
      <c r="CV36" s="5">
        <f t="shared" si="54"/>
        <v>128606.628515</v>
      </c>
      <c r="CW36" s="36">
        <f t="shared" si="55"/>
        <v>68178.1679084</v>
      </c>
      <c r="CX36" s="5"/>
      <c r="CY36" s="5"/>
      <c r="CZ36" s="5">
        <f t="shared" si="56"/>
        <v>5707.846555</v>
      </c>
      <c r="DA36" s="5">
        <f t="shared" si="57"/>
        <v>5707.846555</v>
      </c>
      <c r="DB36" s="36">
        <f t="shared" si="58"/>
        <v>3025.8978508</v>
      </c>
      <c r="DC36" s="5"/>
      <c r="DD36" s="36"/>
      <c r="DE36" s="36">
        <f t="shared" si="59"/>
        <v>6331.267024999999</v>
      </c>
      <c r="DF36" s="5">
        <f t="shared" si="60"/>
        <v>6331.267024999999</v>
      </c>
      <c r="DG36" s="36">
        <f t="shared" si="61"/>
        <v>3356.3914339999997</v>
      </c>
      <c r="DH36" s="5"/>
      <c r="DI36" s="36"/>
      <c r="DJ36" s="36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</row>
    <row r="37" spans="1:131" ht="12">
      <c r="A37" s="37">
        <v>47209</v>
      </c>
      <c r="C37" s="3">
        <v>7795000</v>
      </c>
      <c r="D37" s="3">
        <v>528950</v>
      </c>
      <c r="E37" s="35">
        <f t="shared" si="0"/>
        <v>8323950</v>
      </c>
      <c r="F37" s="35">
        <v>280412</v>
      </c>
      <c r="H37" s="36">
        <v>1174878</v>
      </c>
      <c r="I37" s="36">
        <v>79724</v>
      </c>
      <c r="J37" s="36">
        <f t="shared" si="1"/>
        <v>1254602</v>
      </c>
      <c r="K37" s="35">
        <f>'Academic Project '!K37</f>
        <v>42264.25746400001</v>
      </c>
      <c r="M37" s="36">
        <f t="shared" si="62"/>
        <v>6620122.01</v>
      </c>
      <c r="N37" s="35">
        <f t="shared" si="2"/>
        <v>449225.5981</v>
      </c>
      <c r="O37" s="5">
        <f t="shared" si="3"/>
        <v>7069347.6081</v>
      </c>
      <c r="P37" s="35">
        <f t="shared" si="4"/>
        <v>238147.74253599998</v>
      </c>
      <c r="R37" s="36">
        <f t="shared" si="63"/>
        <v>298783.1295</v>
      </c>
      <c r="S37" s="36">
        <f t="shared" si="5"/>
        <v>20274.706395</v>
      </c>
      <c r="T37" s="5">
        <f t="shared" si="6"/>
        <v>319057.83589499997</v>
      </c>
      <c r="U37" s="36">
        <f t="shared" si="7"/>
        <v>10748.2200012</v>
      </c>
      <c r="W37" s="5">
        <f t="shared" si="64"/>
        <v>541407.1815</v>
      </c>
      <c r="X37" s="36">
        <f t="shared" si="8"/>
        <v>36738.592515</v>
      </c>
      <c r="Y37" s="36">
        <f t="shared" si="9"/>
        <v>578145.774015</v>
      </c>
      <c r="Z37" s="36">
        <f t="shared" si="10"/>
        <v>19476.211748399997</v>
      </c>
      <c r="AB37" s="5">
        <f t="shared" si="65"/>
        <v>436247.9545</v>
      </c>
      <c r="AC37" s="5">
        <f t="shared" si="11"/>
        <v>29602.739644999998</v>
      </c>
      <c r="AD37" s="5">
        <f t="shared" si="12"/>
        <v>465850.694145</v>
      </c>
      <c r="AE37" s="36">
        <f t="shared" si="13"/>
        <v>15693.285621199999</v>
      </c>
      <c r="AG37" s="5">
        <f t="shared" si="66"/>
        <v>518437.65499999997</v>
      </c>
      <c r="AH37" s="5">
        <f t="shared" si="14"/>
        <v>35179.93555</v>
      </c>
      <c r="AI37" s="5">
        <f t="shared" si="15"/>
        <v>553617.59055</v>
      </c>
      <c r="AJ37" s="36">
        <f t="shared" si="16"/>
        <v>18649.921707999998</v>
      </c>
      <c r="AL37" s="36">
        <f t="shared" si="67"/>
        <v>30966.416999999998</v>
      </c>
      <c r="AM37" s="36">
        <f t="shared" si="17"/>
        <v>2101.3067699999997</v>
      </c>
      <c r="AN37" s="5">
        <f t="shared" si="18"/>
        <v>33067.72377</v>
      </c>
      <c r="AO37" s="36">
        <f t="shared" si="19"/>
        <v>1113.9647112</v>
      </c>
      <c r="AQ37" s="36">
        <f t="shared" si="68"/>
        <v>2787.492</v>
      </c>
      <c r="AR37" s="36">
        <f t="shared" si="20"/>
        <v>189.15252</v>
      </c>
      <c r="AS37" s="5">
        <f t="shared" si="21"/>
        <v>2976.6445200000003</v>
      </c>
      <c r="AT37" s="36">
        <f t="shared" si="22"/>
        <v>100.27533120000001</v>
      </c>
      <c r="AU37" s="5"/>
      <c r="AV37" s="36">
        <f t="shared" si="69"/>
        <v>570325.852</v>
      </c>
      <c r="AW37" s="36">
        <f t="shared" si="23"/>
        <v>38700.94412</v>
      </c>
      <c r="AX37" s="5">
        <f t="shared" si="24"/>
        <v>609026.79612</v>
      </c>
      <c r="AY37" s="36">
        <f t="shared" si="25"/>
        <v>20516.5122272</v>
      </c>
      <c r="AZ37" s="5"/>
      <c r="BA37" s="36">
        <f t="shared" si="70"/>
        <v>20.267</v>
      </c>
      <c r="BB37" s="36">
        <f t="shared" si="26"/>
        <v>1.37527</v>
      </c>
      <c r="BC37" s="5">
        <f t="shared" si="27"/>
        <v>21.64227</v>
      </c>
      <c r="BD37" s="36">
        <f t="shared" si="28"/>
        <v>0.7290712</v>
      </c>
      <c r="BE37" s="5"/>
      <c r="BF37" s="36">
        <f t="shared" si="71"/>
        <v>728481.725</v>
      </c>
      <c r="BG37" s="36">
        <f t="shared" si="29"/>
        <v>49433.022249999995</v>
      </c>
      <c r="BH37" s="5">
        <f t="shared" si="30"/>
        <v>777914.74725</v>
      </c>
      <c r="BI37" s="36">
        <f t="shared" si="31"/>
        <v>26205.903459999998</v>
      </c>
      <c r="BJ37" s="5"/>
      <c r="BK37" s="36">
        <f t="shared" si="72"/>
        <v>1718.7975</v>
      </c>
      <c r="BL37" s="36">
        <f t="shared" si="32"/>
        <v>116.63347499999999</v>
      </c>
      <c r="BM37" s="5">
        <f t="shared" si="33"/>
        <v>1835.430975</v>
      </c>
      <c r="BN37" s="36">
        <f t="shared" si="34"/>
        <v>61.830846</v>
      </c>
      <c r="BO37" s="5"/>
      <c r="BP37" s="36">
        <f t="shared" si="73"/>
        <v>305457.2085</v>
      </c>
      <c r="BQ37" s="36">
        <f t="shared" si="35"/>
        <v>20727.593385</v>
      </c>
      <c r="BR37" s="5">
        <f t="shared" si="36"/>
        <v>326184.801885</v>
      </c>
      <c r="BS37" s="36">
        <f t="shared" si="37"/>
        <v>10988.308755600001</v>
      </c>
      <c r="BT37" s="5"/>
      <c r="BU37" s="5">
        <f t="shared" si="74"/>
        <v>1541.851</v>
      </c>
      <c r="BV37" s="5">
        <f t="shared" si="38"/>
        <v>104.62631</v>
      </c>
      <c r="BW37" s="5">
        <f t="shared" si="39"/>
        <v>1646.4773100000002</v>
      </c>
      <c r="BX37" s="36">
        <f t="shared" si="40"/>
        <v>55.4654936</v>
      </c>
      <c r="BY37" s="5"/>
      <c r="BZ37" s="36">
        <f t="shared" si="75"/>
        <v>59948.227</v>
      </c>
      <c r="CA37" s="36">
        <f t="shared" si="41"/>
        <v>4067.94287</v>
      </c>
      <c r="CB37" s="5">
        <f t="shared" si="42"/>
        <v>64016.16987</v>
      </c>
      <c r="CC37" s="36">
        <f t="shared" si="43"/>
        <v>2156.5365272</v>
      </c>
      <c r="CD37" s="5"/>
      <c r="CE37" s="36">
        <f t="shared" si="76"/>
        <v>31915.0685</v>
      </c>
      <c r="CF37" s="36">
        <f t="shared" si="44"/>
        <v>2165.679985</v>
      </c>
      <c r="CG37" s="5">
        <f t="shared" si="45"/>
        <v>34080.748485000004</v>
      </c>
      <c r="CH37" s="36">
        <f t="shared" si="46"/>
        <v>1148.0908516000002</v>
      </c>
      <c r="CI37" s="5"/>
      <c r="CJ37" s="5">
        <f t="shared" si="77"/>
        <v>103996.213</v>
      </c>
      <c r="CK37" s="36">
        <f t="shared" si="47"/>
        <v>7056.93353</v>
      </c>
      <c r="CL37" s="36">
        <f t="shared" si="48"/>
        <v>111053.14653</v>
      </c>
      <c r="CM37" s="36">
        <f t="shared" si="49"/>
        <v>3741.0886568</v>
      </c>
      <c r="CN37" s="5"/>
      <c r="CO37" s="5">
        <f t="shared" si="78"/>
        <v>915426.8715</v>
      </c>
      <c r="CP37" s="36">
        <f t="shared" si="50"/>
        <v>62118.671415000004</v>
      </c>
      <c r="CQ37" s="36">
        <f t="shared" si="51"/>
        <v>977545.542915</v>
      </c>
      <c r="CR37" s="36">
        <f t="shared" si="52"/>
        <v>32930.9403324</v>
      </c>
      <c r="CS37" s="5"/>
      <c r="CT37" s="36">
        <f t="shared" si="79"/>
        <v>1895242.7815</v>
      </c>
      <c r="CU37" s="36">
        <f t="shared" si="53"/>
        <v>128606.628515</v>
      </c>
      <c r="CV37" s="5">
        <f t="shared" si="54"/>
        <v>2023849.410015</v>
      </c>
      <c r="CW37" s="36">
        <f t="shared" si="55"/>
        <v>68178.1679084</v>
      </c>
      <c r="CX37" s="5"/>
      <c r="CY37" s="5">
        <f t="shared" si="80"/>
        <v>84115.06550000001</v>
      </c>
      <c r="CZ37" s="5">
        <f t="shared" si="56"/>
        <v>5707.846555</v>
      </c>
      <c r="DA37" s="5">
        <f t="shared" si="57"/>
        <v>89822.91205500001</v>
      </c>
      <c r="DB37" s="36">
        <f t="shared" si="58"/>
        <v>3025.8978508</v>
      </c>
      <c r="DC37" s="5"/>
      <c r="DD37" s="36">
        <f t="shared" si="81"/>
        <v>93302.25249999999</v>
      </c>
      <c r="DE37" s="36">
        <f t="shared" si="59"/>
        <v>6331.267024999999</v>
      </c>
      <c r="DF37" s="5">
        <f t="shared" si="60"/>
        <v>99633.51952499998</v>
      </c>
      <c r="DG37" s="36">
        <f t="shared" si="61"/>
        <v>3356.3914339999997</v>
      </c>
      <c r="DH37" s="5"/>
      <c r="DI37" s="36"/>
      <c r="DJ37" s="36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</row>
    <row r="38" spans="1:131" ht="12">
      <c r="A38" s="37">
        <v>47392</v>
      </c>
      <c r="D38" s="3">
        <v>373050</v>
      </c>
      <c r="E38" s="35">
        <f t="shared" si="0"/>
        <v>373050</v>
      </c>
      <c r="F38" s="35">
        <v>280412</v>
      </c>
      <c r="H38" s="36"/>
      <c r="I38" s="36">
        <v>56227</v>
      </c>
      <c r="J38" s="36">
        <f t="shared" si="1"/>
        <v>56227</v>
      </c>
      <c r="K38" s="35">
        <f>'Academic Project '!K38</f>
        <v>42264.25746400001</v>
      </c>
      <c r="M38" s="36"/>
      <c r="N38" s="35">
        <f t="shared" si="2"/>
        <v>316823.1579</v>
      </c>
      <c r="O38" s="5">
        <f t="shared" si="3"/>
        <v>316823.1579</v>
      </c>
      <c r="P38" s="35">
        <f t="shared" si="4"/>
        <v>238147.74253599998</v>
      </c>
      <c r="R38" s="36"/>
      <c r="S38" s="36">
        <f t="shared" si="5"/>
        <v>14299.043805</v>
      </c>
      <c r="T38" s="5">
        <f t="shared" si="6"/>
        <v>14299.043805</v>
      </c>
      <c r="U38" s="36">
        <f t="shared" si="7"/>
        <v>10748.2200012</v>
      </c>
      <c r="X38" s="36">
        <f t="shared" si="8"/>
        <v>25910.448884999998</v>
      </c>
      <c r="Y38" s="36">
        <f t="shared" si="9"/>
        <v>25910.448884999998</v>
      </c>
      <c r="Z38" s="36">
        <f t="shared" si="10"/>
        <v>19476.211748399997</v>
      </c>
      <c r="AC38" s="5">
        <f t="shared" si="11"/>
        <v>20877.780554999998</v>
      </c>
      <c r="AD38" s="5">
        <f t="shared" si="12"/>
        <v>20877.780554999998</v>
      </c>
      <c r="AE38" s="36">
        <f t="shared" si="13"/>
        <v>15693.285621199999</v>
      </c>
      <c r="AH38" s="5">
        <f t="shared" si="14"/>
        <v>24811.18245</v>
      </c>
      <c r="AI38" s="5">
        <f t="shared" si="15"/>
        <v>24811.18245</v>
      </c>
      <c r="AJ38" s="36">
        <f t="shared" si="16"/>
        <v>18649.921707999998</v>
      </c>
      <c r="AL38" s="36"/>
      <c r="AM38" s="36">
        <f t="shared" si="17"/>
        <v>1481.97843</v>
      </c>
      <c r="AN38" s="5">
        <f t="shared" si="18"/>
        <v>1481.97843</v>
      </c>
      <c r="AO38" s="36">
        <f t="shared" si="19"/>
        <v>1113.9647112</v>
      </c>
      <c r="AQ38" s="36"/>
      <c r="AR38" s="36">
        <f t="shared" si="20"/>
        <v>133.40268</v>
      </c>
      <c r="AS38" s="5">
        <f t="shared" si="21"/>
        <v>133.40268</v>
      </c>
      <c r="AT38" s="36">
        <f t="shared" si="22"/>
        <v>100.27533120000001</v>
      </c>
      <c r="AU38" s="5"/>
      <c r="AV38" s="36"/>
      <c r="AW38" s="36">
        <f t="shared" si="23"/>
        <v>27294.427079999998</v>
      </c>
      <c r="AX38" s="5">
        <f t="shared" si="24"/>
        <v>27294.427079999998</v>
      </c>
      <c r="AY38" s="36">
        <f t="shared" si="25"/>
        <v>20516.5122272</v>
      </c>
      <c r="AZ38" s="5"/>
      <c r="BA38" s="36"/>
      <c r="BB38" s="36">
        <f t="shared" si="26"/>
        <v>0.9699300000000001</v>
      </c>
      <c r="BC38" s="5">
        <f t="shared" si="27"/>
        <v>0.9699300000000001</v>
      </c>
      <c r="BD38" s="36">
        <f t="shared" si="28"/>
        <v>0.7290712</v>
      </c>
      <c r="BE38" s="5"/>
      <c r="BF38" s="36"/>
      <c r="BG38" s="36">
        <f t="shared" si="29"/>
        <v>34863.38775</v>
      </c>
      <c r="BH38" s="5">
        <f t="shared" si="30"/>
        <v>34863.38775</v>
      </c>
      <c r="BI38" s="36">
        <f t="shared" si="31"/>
        <v>26205.903459999998</v>
      </c>
      <c r="BJ38" s="5"/>
      <c r="BK38" s="36"/>
      <c r="BL38" s="36">
        <f t="shared" si="32"/>
        <v>82.257525</v>
      </c>
      <c r="BM38" s="5">
        <f t="shared" si="33"/>
        <v>82.257525</v>
      </c>
      <c r="BN38" s="36">
        <f t="shared" si="34"/>
        <v>61.830846</v>
      </c>
      <c r="BO38" s="5"/>
      <c r="BP38" s="36"/>
      <c r="BQ38" s="36">
        <f t="shared" si="35"/>
        <v>14618.449215</v>
      </c>
      <c r="BR38" s="5">
        <f t="shared" si="36"/>
        <v>14618.449215</v>
      </c>
      <c r="BS38" s="36">
        <f t="shared" si="37"/>
        <v>10988.308755600001</v>
      </c>
      <c r="BT38" s="5"/>
      <c r="BU38" s="5"/>
      <c r="BV38" s="5">
        <f t="shared" si="38"/>
        <v>73.78929000000001</v>
      </c>
      <c r="BW38" s="5">
        <f t="shared" si="39"/>
        <v>73.78929000000001</v>
      </c>
      <c r="BX38" s="36">
        <f t="shared" si="40"/>
        <v>55.4654936</v>
      </c>
      <c r="BY38" s="5"/>
      <c r="BZ38" s="36"/>
      <c r="CA38" s="36">
        <f t="shared" si="41"/>
        <v>2868.97833</v>
      </c>
      <c r="CB38" s="5">
        <f t="shared" si="42"/>
        <v>2868.97833</v>
      </c>
      <c r="CC38" s="36">
        <f t="shared" si="43"/>
        <v>2156.5365272</v>
      </c>
      <c r="CD38" s="5"/>
      <c r="CE38" s="36"/>
      <c r="CF38" s="36">
        <f t="shared" si="44"/>
        <v>1527.378615</v>
      </c>
      <c r="CG38" s="5">
        <f t="shared" si="45"/>
        <v>1527.378615</v>
      </c>
      <c r="CH38" s="36">
        <f t="shared" si="46"/>
        <v>1148.0908516000002</v>
      </c>
      <c r="CI38" s="5"/>
      <c r="CJ38" s="5"/>
      <c r="CK38" s="36">
        <f t="shared" si="47"/>
        <v>4977.00927</v>
      </c>
      <c r="CL38" s="36">
        <f t="shared" si="48"/>
        <v>4977.00927</v>
      </c>
      <c r="CM38" s="36">
        <f t="shared" si="49"/>
        <v>3741.0886568</v>
      </c>
      <c r="CN38" s="5"/>
      <c r="CO38" s="5"/>
      <c r="CP38" s="36">
        <f t="shared" si="50"/>
        <v>43810.133985</v>
      </c>
      <c r="CQ38" s="36">
        <f t="shared" si="51"/>
        <v>43810.133985</v>
      </c>
      <c r="CR38" s="36">
        <f t="shared" si="52"/>
        <v>32930.9403324</v>
      </c>
      <c r="CS38" s="5"/>
      <c r="CT38" s="36"/>
      <c r="CU38" s="36">
        <f t="shared" si="53"/>
        <v>90701.772885</v>
      </c>
      <c r="CV38" s="5">
        <f t="shared" si="54"/>
        <v>90701.772885</v>
      </c>
      <c r="CW38" s="36">
        <f t="shared" si="55"/>
        <v>68178.1679084</v>
      </c>
      <c r="CX38" s="5"/>
      <c r="CY38" s="5"/>
      <c r="CZ38" s="5">
        <f t="shared" si="56"/>
        <v>4025.5452450000003</v>
      </c>
      <c r="DA38" s="5">
        <f t="shared" si="57"/>
        <v>4025.5452450000003</v>
      </c>
      <c r="DB38" s="36">
        <f t="shared" si="58"/>
        <v>3025.8978508</v>
      </c>
      <c r="DC38" s="5"/>
      <c r="DD38" s="36"/>
      <c r="DE38" s="36">
        <f t="shared" si="59"/>
        <v>4465.2219749999995</v>
      </c>
      <c r="DF38" s="5">
        <f t="shared" si="60"/>
        <v>4465.2219749999995</v>
      </c>
      <c r="DG38" s="36">
        <f t="shared" si="61"/>
        <v>3356.3914339999997</v>
      </c>
      <c r="DH38" s="5"/>
      <c r="DI38" s="36"/>
      <c r="DJ38" s="36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  <row r="39" spans="1:131" ht="12">
      <c r="A39" s="37">
        <v>11049</v>
      </c>
      <c r="C39" s="3">
        <v>8110000</v>
      </c>
      <c r="D39" s="3">
        <v>373050</v>
      </c>
      <c r="E39" s="35">
        <f t="shared" si="0"/>
        <v>8483050</v>
      </c>
      <c r="F39" s="35">
        <v>280412</v>
      </c>
      <c r="H39" s="36">
        <v>1222355</v>
      </c>
      <c r="I39" s="36">
        <v>56227</v>
      </c>
      <c r="J39" s="36">
        <f t="shared" si="1"/>
        <v>1278582</v>
      </c>
      <c r="K39" s="35">
        <f>'Academic Project '!K39</f>
        <v>42264.25746400001</v>
      </c>
      <c r="M39" s="36">
        <f t="shared" si="62"/>
        <v>6887644.579999999</v>
      </c>
      <c r="N39" s="35">
        <f t="shared" si="2"/>
        <v>316823.1579</v>
      </c>
      <c r="O39" s="5">
        <f t="shared" si="3"/>
        <v>7204467.737899999</v>
      </c>
      <c r="P39" s="35">
        <f t="shared" si="4"/>
        <v>238147.74253599998</v>
      </c>
      <c r="R39" s="36">
        <f t="shared" si="63"/>
        <v>310857.111</v>
      </c>
      <c r="S39" s="36">
        <f t="shared" si="5"/>
        <v>14299.043805</v>
      </c>
      <c r="T39" s="5">
        <f t="shared" si="6"/>
        <v>325156.154805</v>
      </c>
      <c r="U39" s="36">
        <f t="shared" si="7"/>
        <v>10748.2200012</v>
      </c>
      <c r="W39" s="5">
        <f t="shared" si="64"/>
        <v>563285.727</v>
      </c>
      <c r="X39" s="36">
        <f t="shared" si="8"/>
        <v>25910.448884999998</v>
      </c>
      <c r="Y39" s="36">
        <f t="shared" si="9"/>
        <v>589196.1758849999</v>
      </c>
      <c r="Z39" s="36">
        <f t="shared" si="10"/>
        <v>19476.211748399997</v>
      </c>
      <c r="AB39" s="5">
        <f t="shared" si="65"/>
        <v>453876.96099999995</v>
      </c>
      <c r="AC39" s="5">
        <f t="shared" si="11"/>
        <v>20877.780554999998</v>
      </c>
      <c r="AD39" s="5">
        <f t="shared" si="12"/>
        <v>474754.74155499996</v>
      </c>
      <c r="AE39" s="36">
        <f t="shared" si="13"/>
        <v>15693.285621199999</v>
      </c>
      <c r="AG39" s="5">
        <f t="shared" si="66"/>
        <v>539387.99</v>
      </c>
      <c r="AH39" s="5">
        <f t="shared" si="14"/>
        <v>24811.18245</v>
      </c>
      <c r="AI39" s="5">
        <f t="shared" si="15"/>
        <v>564199.17245</v>
      </c>
      <c r="AJ39" s="36">
        <f t="shared" si="16"/>
        <v>18649.921707999998</v>
      </c>
      <c r="AL39" s="36">
        <f t="shared" si="67"/>
        <v>32217.785999999996</v>
      </c>
      <c r="AM39" s="36">
        <f t="shared" si="17"/>
        <v>1481.97843</v>
      </c>
      <c r="AN39" s="5">
        <f t="shared" si="18"/>
        <v>33699.764429999996</v>
      </c>
      <c r="AO39" s="36">
        <f t="shared" si="19"/>
        <v>1113.9647112</v>
      </c>
      <c r="AQ39" s="36">
        <f t="shared" si="68"/>
        <v>2900.136</v>
      </c>
      <c r="AR39" s="36">
        <f t="shared" si="20"/>
        <v>133.40268</v>
      </c>
      <c r="AS39" s="5">
        <f t="shared" si="21"/>
        <v>3033.53868</v>
      </c>
      <c r="AT39" s="36">
        <f t="shared" si="22"/>
        <v>100.27533120000001</v>
      </c>
      <c r="AU39" s="5"/>
      <c r="AV39" s="36">
        <f t="shared" si="69"/>
        <v>593373.016</v>
      </c>
      <c r="AW39" s="36">
        <f t="shared" si="23"/>
        <v>27294.427079999998</v>
      </c>
      <c r="AX39" s="5">
        <f t="shared" si="24"/>
        <v>620667.44308</v>
      </c>
      <c r="AY39" s="36">
        <f t="shared" si="25"/>
        <v>20516.5122272</v>
      </c>
      <c r="AZ39" s="5"/>
      <c r="BA39" s="36">
        <f t="shared" si="70"/>
        <v>21.086000000000002</v>
      </c>
      <c r="BB39" s="36">
        <f t="shared" si="26"/>
        <v>0.9699300000000001</v>
      </c>
      <c r="BC39" s="5">
        <f t="shared" si="27"/>
        <v>22.055930000000004</v>
      </c>
      <c r="BD39" s="36">
        <f t="shared" si="28"/>
        <v>0.7290712</v>
      </c>
      <c r="BE39" s="5"/>
      <c r="BF39" s="36">
        <f t="shared" si="71"/>
        <v>757920.0499999999</v>
      </c>
      <c r="BG39" s="36">
        <f t="shared" si="29"/>
        <v>34863.38775</v>
      </c>
      <c r="BH39" s="5">
        <f t="shared" si="30"/>
        <v>792783.4377499999</v>
      </c>
      <c r="BI39" s="36">
        <f t="shared" si="31"/>
        <v>26205.903459999998</v>
      </c>
      <c r="BJ39" s="5"/>
      <c r="BK39" s="36">
        <f t="shared" si="72"/>
        <v>1788.2549999999999</v>
      </c>
      <c r="BL39" s="36">
        <f t="shared" si="32"/>
        <v>82.257525</v>
      </c>
      <c r="BM39" s="5">
        <f t="shared" si="33"/>
        <v>1870.5125249999999</v>
      </c>
      <c r="BN39" s="36">
        <f t="shared" si="34"/>
        <v>61.830846</v>
      </c>
      <c r="BO39" s="5"/>
      <c r="BP39" s="36">
        <f t="shared" si="73"/>
        <v>317800.893</v>
      </c>
      <c r="BQ39" s="36">
        <f t="shared" si="35"/>
        <v>14618.449215</v>
      </c>
      <c r="BR39" s="5">
        <f t="shared" si="36"/>
        <v>332419.34221499995</v>
      </c>
      <c r="BS39" s="36">
        <f t="shared" si="37"/>
        <v>10988.308755600001</v>
      </c>
      <c r="BT39" s="5"/>
      <c r="BU39" s="5">
        <f t="shared" si="74"/>
        <v>1604.1580000000001</v>
      </c>
      <c r="BV39" s="5">
        <f t="shared" si="38"/>
        <v>73.78929000000001</v>
      </c>
      <c r="BW39" s="5">
        <f t="shared" si="39"/>
        <v>1677.94729</v>
      </c>
      <c r="BX39" s="36">
        <f t="shared" si="40"/>
        <v>55.4654936</v>
      </c>
      <c r="BY39" s="5"/>
      <c r="BZ39" s="36">
        <f t="shared" si="75"/>
        <v>62370.765999999996</v>
      </c>
      <c r="CA39" s="36">
        <f t="shared" si="41"/>
        <v>2868.97833</v>
      </c>
      <c r="CB39" s="5">
        <f t="shared" si="42"/>
        <v>65239.744329999994</v>
      </c>
      <c r="CC39" s="36">
        <f t="shared" si="43"/>
        <v>2156.5365272</v>
      </c>
      <c r="CD39" s="5"/>
      <c r="CE39" s="36">
        <f t="shared" si="76"/>
        <v>33204.773</v>
      </c>
      <c r="CF39" s="36">
        <f t="shared" si="44"/>
        <v>1527.378615</v>
      </c>
      <c r="CG39" s="5">
        <f t="shared" si="45"/>
        <v>34732.151615</v>
      </c>
      <c r="CH39" s="36">
        <f t="shared" si="46"/>
        <v>1148.0908516000002</v>
      </c>
      <c r="CI39" s="5"/>
      <c r="CJ39" s="5">
        <f t="shared" si="77"/>
        <v>108198.754</v>
      </c>
      <c r="CK39" s="36">
        <f t="shared" si="47"/>
        <v>4977.00927</v>
      </c>
      <c r="CL39" s="36">
        <f t="shared" si="48"/>
        <v>113175.76327</v>
      </c>
      <c r="CM39" s="36">
        <f t="shared" si="49"/>
        <v>3741.0886568</v>
      </c>
      <c r="CN39" s="5"/>
      <c r="CO39" s="5">
        <f t="shared" si="78"/>
        <v>952419.7470000001</v>
      </c>
      <c r="CP39" s="36">
        <f t="shared" si="50"/>
        <v>43810.133985</v>
      </c>
      <c r="CQ39" s="36">
        <f t="shared" si="51"/>
        <v>996229.880985</v>
      </c>
      <c r="CR39" s="36">
        <f t="shared" si="52"/>
        <v>32930.9403324</v>
      </c>
      <c r="CS39" s="5"/>
      <c r="CT39" s="36">
        <f t="shared" si="79"/>
        <v>1971830.527</v>
      </c>
      <c r="CU39" s="36">
        <f t="shared" si="53"/>
        <v>90701.772885</v>
      </c>
      <c r="CV39" s="5">
        <f t="shared" si="54"/>
        <v>2062532.299885</v>
      </c>
      <c r="CW39" s="36">
        <f t="shared" si="55"/>
        <v>68178.1679084</v>
      </c>
      <c r="CX39" s="5"/>
      <c r="CY39" s="5">
        <f t="shared" si="80"/>
        <v>87514.19900000001</v>
      </c>
      <c r="CZ39" s="5">
        <f t="shared" si="56"/>
        <v>4025.5452450000003</v>
      </c>
      <c r="DA39" s="5">
        <f t="shared" si="57"/>
        <v>91539.74424500001</v>
      </c>
      <c r="DB39" s="36">
        <f t="shared" si="58"/>
        <v>3025.8978508</v>
      </c>
      <c r="DC39" s="5"/>
      <c r="DD39" s="36">
        <f t="shared" si="81"/>
        <v>97072.64499999999</v>
      </c>
      <c r="DE39" s="36">
        <f t="shared" si="59"/>
        <v>4465.2219749999995</v>
      </c>
      <c r="DF39" s="5">
        <f t="shared" si="60"/>
        <v>101537.86697499998</v>
      </c>
      <c r="DG39" s="36">
        <f t="shared" si="61"/>
        <v>3356.3914339999997</v>
      </c>
      <c r="DH39" s="5"/>
      <c r="DI39" s="36"/>
      <c r="DJ39" s="36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</row>
    <row r="40" spans="1:131" ht="12">
      <c r="A40" s="37">
        <v>11232</v>
      </c>
      <c r="D40" s="3">
        <v>170300</v>
      </c>
      <c r="E40" s="35">
        <f t="shared" si="0"/>
        <v>170300</v>
      </c>
      <c r="F40" s="35">
        <v>280412</v>
      </c>
      <c r="H40" s="36"/>
      <c r="I40" s="36">
        <v>25668</v>
      </c>
      <c r="J40" s="36">
        <f t="shared" si="1"/>
        <v>25668</v>
      </c>
      <c r="K40" s="35">
        <f>'Academic Project '!K40</f>
        <v>42264.25746400001</v>
      </c>
      <c r="M40" s="36"/>
      <c r="N40" s="35">
        <f t="shared" si="2"/>
        <v>144632.0434</v>
      </c>
      <c r="O40" s="5">
        <f t="shared" si="3"/>
        <v>144632.0434</v>
      </c>
      <c r="P40" s="35">
        <f t="shared" si="4"/>
        <v>238147.74253599998</v>
      </c>
      <c r="R40" s="36"/>
      <c r="S40" s="36">
        <f t="shared" si="5"/>
        <v>6527.61603</v>
      </c>
      <c r="T40" s="5">
        <f t="shared" si="6"/>
        <v>6527.61603</v>
      </c>
      <c r="U40" s="36">
        <f t="shared" si="7"/>
        <v>10748.2200012</v>
      </c>
      <c r="X40" s="36">
        <f t="shared" si="8"/>
        <v>11828.305709999999</v>
      </c>
      <c r="Y40" s="36">
        <f t="shared" si="9"/>
        <v>11828.305709999999</v>
      </c>
      <c r="Z40" s="36">
        <f t="shared" si="10"/>
        <v>19476.211748399997</v>
      </c>
      <c r="AC40" s="5">
        <f t="shared" si="11"/>
        <v>9530.85653</v>
      </c>
      <c r="AD40" s="5">
        <f t="shared" si="12"/>
        <v>9530.85653</v>
      </c>
      <c r="AE40" s="36">
        <f t="shared" si="13"/>
        <v>15693.285621199999</v>
      </c>
      <c r="AH40" s="5">
        <f t="shared" si="14"/>
        <v>11326.4827</v>
      </c>
      <c r="AI40" s="5">
        <f t="shared" si="15"/>
        <v>11326.4827</v>
      </c>
      <c r="AJ40" s="36">
        <f t="shared" si="16"/>
        <v>18649.921707999998</v>
      </c>
      <c r="AL40" s="36"/>
      <c r="AM40" s="36">
        <f t="shared" si="17"/>
        <v>676.53378</v>
      </c>
      <c r="AN40" s="5">
        <f t="shared" si="18"/>
        <v>676.53378</v>
      </c>
      <c r="AO40" s="36">
        <f t="shared" si="19"/>
        <v>1113.9647112</v>
      </c>
      <c r="AQ40" s="36"/>
      <c r="AR40" s="36">
        <f t="shared" si="20"/>
        <v>60.899280000000005</v>
      </c>
      <c r="AS40" s="5">
        <f t="shared" si="21"/>
        <v>60.899280000000005</v>
      </c>
      <c r="AT40" s="36">
        <f t="shared" si="22"/>
        <v>100.27533120000001</v>
      </c>
      <c r="AU40" s="5"/>
      <c r="AV40" s="36"/>
      <c r="AW40" s="36">
        <f t="shared" si="23"/>
        <v>12460.10168</v>
      </c>
      <c r="AX40" s="5">
        <f t="shared" si="24"/>
        <v>12460.10168</v>
      </c>
      <c r="AY40" s="36">
        <f t="shared" si="25"/>
        <v>20516.5122272</v>
      </c>
      <c r="AZ40" s="5"/>
      <c r="BA40" s="36"/>
      <c r="BB40" s="36">
        <f t="shared" si="26"/>
        <v>0.44278</v>
      </c>
      <c r="BC40" s="5">
        <f t="shared" si="27"/>
        <v>0.44278</v>
      </c>
      <c r="BD40" s="36">
        <f t="shared" si="28"/>
        <v>0.7290712</v>
      </c>
      <c r="BE40" s="5"/>
      <c r="BF40" s="36"/>
      <c r="BG40" s="36">
        <f t="shared" si="29"/>
        <v>15915.386499999999</v>
      </c>
      <c r="BH40" s="5">
        <f t="shared" si="30"/>
        <v>15915.386499999999</v>
      </c>
      <c r="BI40" s="36">
        <f t="shared" si="31"/>
        <v>26205.903459999998</v>
      </c>
      <c r="BJ40" s="5"/>
      <c r="BK40" s="36"/>
      <c r="BL40" s="36">
        <f t="shared" si="32"/>
        <v>37.55115</v>
      </c>
      <c r="BM40" s="5">
        <f t="shared" si="33"/>
        <v>37.55115</v>
      </c>
      <c r="BN40" s="36">
        <f t="shared" si="34"/>
        <v>61.830846</v>
      </c>
      <c r="BO40" s="5"/>
      <c r="BP40" s="36"/>
      <c r="BQ40" s="36">
        <f t="shared" si="35"/>
        <v>6673.42689</v>
      </c>
      <c r="BR40" s="5">
        <f t="shared" si="36"/>
        <v>6673.42689</v>
      </c>
      <c r="BS40" s="36">
        <f t="shared" si="37"/>
        <v>10988.308755600001</v>
      </c>
      <c r="BT40" s="5"/>
      <c r="BU40" s="5"/>
      <c r="BV40" s="5">
        <f t="shared" si="38"/>
        <v>33.685340000000004</v>
      </c>
      <c r="BW40" s="5">
        <f t="shared" si="39"/>
        <v>33.685340000000004</v>
      </c>
      <c r="BX40" s="36">
        <f t="shared" si="40"/>
        <v>55.4654936</v>
      </c>
      <c r="BY40" s="5"/>
      <c r="BZ40" s="36"/>
      <c r="CA40" s="36">
        <f t="shared" si="41"/>
        <v>1309.70918</v>
      </c>
      <c r="CB40" s="5">
        <f t="shared" si="42"/>
        <v>1309.70918</v>
      </c>
      <c r="CC40" s="36">
        <f t="shared" si="43"/>
        <v>2156.5365272</v>
      </c>
      <c r="CD40" s="5"/>
      <c r="CE40" s="36"/>
      <c r="CF40" s="36">
        <f t="shared" si="44"/>
        <v>697.2592900000001</v>
      </c>
      <c r="CG40" s="5">
        <f t="shared" si="45"/>
        <v>697.2592900000001</v>
      </c>
      <c r="CH40" s="36">
        <f t="shared" si="46"/>
        <v>1148.0908516000002</v>
      </c>
      <c r="CI40" s="5"/>
      <c r="CJ40" s="5"/>
      <c r="CK40" s="36">
        <f t="shared" si="47"/>
        <v>2272.04042</v>
      </c>
      <c r="CL40" s="36">
        <f t="shared" si="48"/>
        <v>2272.04042</v>
      </c>
      <c r="CM40" s="36">
        <f t="shared" si="49"/>
        <v>3741.0886568</v>
      </c>
      <c r="CN40" s="5"/>
      <c r="CO40" s="5"/>
      <c r="CP40" s="36">
        <f t="shared" si="50"/>
        <v>19999.640310000003</v>
      </c>
      <c r="CQ40" s="36">
        <f t="shared" si="51"/>
        <v>19999.640310000003</v>
      </c>
      <c r="CR40" s="36">
        <f t="shared" si="52"/>
        <v>32930.9403324</v>
      </c>
      <c r="CS40" s="5"/>
      <c r="CT40" s="36"/>
      <c r="CU40" s="36">
        <f t="shared" si="53"/>
        <v>41406.00971</v>
      </c>
      <c r="CV40" s="5">
        <f t="shared" si="54"/>
        <v>41406.00971</v>
      </c>
      <c r="CW40" s="36">
        <f t="shared" si="55"/>
        <v>68178.1679084</v>
      </c>
      <c r="CX40" s="5"/>
      <c r="CY40" s="5"/>
      <c r="CZ40" s="5">
        <f t="shared" si="56"/>
        <v>1837.69027</v>
      </c>
      <c r="DA40" s="5">
        <f t="shared" si="57"/>
        <v>1837.69027</v>
      </c>
      <c r="DB40" s="36">
        <f t="shared" si="58"/>
        <v>3025.8978508</v>
      </c>
      <c r="DC40" s="5"/>
      <c r="DD40" s="36"/>
      <c r="DE40" s="36">
        <f t="shared" si="59"/>
        <v>2038.4058499999999</v>
      </c>
      <c r="DF40" s="5">
        <f t="shared" si="60"/>
        <v>2038.4058499999999</v>
      </c>
      <c r="DG40" s="36">
        <f t="shared" si="61"/>
        <v>3356.3914339999997</v>
      </c>
      <c r="DH40" s="5"/>
      <c r="DI40" s="36"/>
      <c r="DJ40" s="36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</row>
    <row r="41" spans="1:131" ht="12">
      <c r="A41" s="37">
        <v>11414</v>
      </c>
      <c r="C41" s="3">
        <v>8515000</v>
      </c>
      <c r="D41" s="3">
        <v>170300</v>
      </c>
      <c r="E41" s="35">
        <f t="shared" si="0"/>
        <v>8685300</v>
      </c>
      <c r="F41" s="35">
        <v>280412</v>
      </c>
      <c r="H41" s="36">
        <v>1283398</v>
      </c>
      <c r="I41" s="36">
        <v>25668</v>
      </c>
      <c r="J41" s="36">
        <f t="shared" si="1"/>
        <v>1309066</v>
      </c>
      <c r="K41" s="35">
        <f>'Academic Project '!K41</f>
        <v>42264.25746400001</v>
      </c>
      <c r="M41" s="36">
        <f t="shared" si="62"/>
        <v>7231602.170000002</v>
      </c>
      <c r="N41" s="35">
        <f t="shared" si="2"/>
        <v>144632.0434</v>
      </c>
      <c r="O41" s="5">
        <f t="shared" si="3"/>
        <v>7376234.213400002</v>
      </c>
      <c r="P41" s="35">
        <f t="shared" si="4"/>
        <v>238147.74253599998</v>
      </c>
      <c r="R41" s="36">
        <f t="shared" si="63"/>
        <v>326380.8015</v>
      </c>
      <c r="S41" s="36">
        <f t="shared" si="5"/>
        <v>6527.61603</v>
      </c>
      <c r="T41" s="5">
        <f t="shared" si="6"/>
        <v>332908.41753</v>
      </c>
      <c r="U41" s="36">
        <f t="shared" si="7"/>
        <v>10748.2200012</v>
      </c>
      <c r="W41" s="5">
        <f t="shared" si="64"/>
        <v>591415.2855</v>
      </c>
      <c r="X41" s="36">
        <f t="shared" si="8"/>
        <v>11828.305709999999</v>
      </c>
      <c r="Y41" s="36">
        <f t="shared" si="9"/>
        <v>603243.59121</v>
      </c>
      <c r="Z41" s="36">
        <f t="shared" si="10"/>
        <v>19476.211748399997</v>
      </c>
      <c r="AB41" s="5">
        <f t="shared" si="65"/>
        <v>476542.82649999997</v>
      </c>
      <c r="AC41" s="5">
        <f t="shared" si="11"/>
        <v>9530.85653</v>
      </c>
      <c r="AD41" s="5">
        <f t="shared" si="12"/>
        <v>486073.68302999996</v>
      </c>
      <c r="AE41" s="36">
        <f t="shared" si="13"/>
        <v>15693.285621199999</v>
      </c>
      <c r="AG41" s="5">
        <f t="shared" si="66"/>
        <v>566324.135</v>
      </c>
      <c r="AH41" s="5">
        <f t="shared" si="14"/>
        <v>11326.4827</v>
      </c>
      <c r="AI41" s="5">
        <f t="shared" si="15"/>
        <v>577650.6177000001</v>
      </c>
      <c r="AJ41" s="36">
        <f t="shared" si="16"/>
        <v>18649.921707999998</v>
      </c>
      <c r="AL41" s="36">
        <f t="shared" si="67"/>
        <v>33826.689</v>
      </c>
      <c r="AM41" s="36">
        <f t="shared" si="17"/>
        <v>676.53378</v>
      </c>
      <c r="AN41" s="5">
        <f t="shared" si="18"/>
        <v>34503.22278</v>
      </c>
      <c r="AO41" s="36">
        <f t="shared" si="19"/>
        <v>1113.9647112</v>
      </c>
      <c r="AQ41" s="36">
        <f t="shared" si="68"/>
        <v>3044.964</v>
      </c>
      <c r="AR41" s="36">
        <f t="shared" si="20"/>
        <v>60.899280000000005</v>
      </c>
      <c r="AS41" s="5">
        <f t="shared" si="21"/>
        <v>3105.86328</v>
      </c>
      <c r="AT41" s="36">
        <f t="shared" si="22"/>
        <v>100.27533120000001</v>
      </c>
      <c r="AU41" s="5"/>
      <c r="AV41" s="36">
        <f t="shared" si="69"/>
        <v>623005.084</v>
      </c>
      <c r="AW41" s="36">
        <f t="shared" si="23"/>
        <v>12460.10168</v>
      </c>
      <c r="AX41" s="5">
        <f t="shared" si="24"/>
        <v>635465.18568</v>
      </c>
      <c r="AY41" s="36">
        <f t="shared" si="25"/>
        <v>20516.5122272</v>
      </c>
      <c r="AZ41" s="5"/>
      <c r="BA41" s="36">
        <f t="shared" si="70"/>
        <v>22.139</v>
      </c>
      <c r="BB41" s="36">
        <f t="shared" si="26"/>
        <v>0.44278</v>
      </c>
      <c r="BC41" s="5">
        <f t="shared" si="27"/>
        <v>22.58178</v>
      </c>
      <c r="BD41" s="36">
        <f t="shared" si="28"/>
        <v>0.7290712</v>
      </c>
      <c r="BE41" s="5"/>
      <c r="BF41" s="36">
        <f t="shared" si="71"/>
        <v>795769.325</v>
      </c>
      <c r="BG41" s="36">
        <f t="shared" si="29"/>
        <v>15915.386499999999</v>
      </c>
      <c r="BH41" s="5">
        <f t="shared" si="30"/>
        <v>811684.7115</v>
      </c>
      <c r="BI41" s="36">
        <f t="shared" si="31"/>
        <v>26205.903459999998</v>
      </c>
      <c r="BJ41" s="5"/>
      <c r="BK41" s="36">
        <f t="shared" si="72"/>
        <v>1877.5575</v>
      </c>
      <c r="BL41" s="36">
        <f t="shared" si="32"/>
        <v>37.55115</v>
      </c>
      <c r="BM41" s="5">
        <f t="shared" si="33"/>
        <v>1915.10865</v>
      </c>
      <c r="BN41" s="36">
        <f t="shared" si="34"/>
        <v>61.830846</v>
      </c>
      <c r="BO41" s="5"/>
      <c r="BP41" s="36">
        <f t="shared" si="73"/>
        <v>333671.3445</v>
      </c>
      <c r="BQ41" s="36">
        <f t="shared" si="35"/>
        <v>6673.42689</v>
      </c>
      <c r="BR41" s="5">
        <f t="shared" si="36"/>
        <v>340344.77139</v>
      </c>
      <c r="BS41" s="36">
        <f t="shared" si="37"/>
        <v>10988.308755600001</v>
      </c>
      <c r="BT41" s="5"/>
      <c r="BU41" s="5">
        <f t="shared" si="74"/>
        <v>1684.267</v>
      </c>
      <c r="BV41" s="5">
        <f t="shared" si="38"/>
        <v>33.685340000000004</v>
      </c>
      <c r="BW41" s="5">
        <f t="shared" si="39"/>
        <v>1717.95234</v>
      </c>
      <c r="BX41" s="36">
        <f t="shared" si="40"/>
        <v>55.4654936</v>
      </c>
      <c r="BY41" s="5"/>
      <c r="BZ41" s="36">
        <f t="shared" si="75"/>
        <v>65485.458999999995</v>
      </c>
      <c r="CA41" s="36">
        <f t="shared" si="41"/>
        <v>1309.70918</v>
      </c>
      <c r="CB41" s="5">
        <f t="shared" si="42"/>
        <v>66795.16818</v>
      </c>
      <c r="CC41" s="36">
        <f t="shared" si="43"/>
        <v>2156.5365272</v>
      </c>
      <c r="CD41" s="5"/>
      <c r="CE41" s="36">
        <f t="shared" si="76"/>
        <v>34862.9645</v>
      </c>
      <c r="CF41" s="36">
        <f t="shared" si="44"/>
        <v>697.2592900000001</v>
      </c>
      <c r="CG41" s="5">
        <f t="shared" si="45"/>
        <v>35560.223790000004</v>
      </c>
      <c r="CH41" s="36">
        <f t="shared" si="46"/>
        <v>1148.0908516000002</v>
      </c>
      <c r="CI41" s="5"/>
      <c r="CJ41" s="5">
        <f t="shared" si="77"/>
        <v>113602.021</v>
      </c>
      <c r="CK41" s="36">
        <f t="shared" si="47"/>
        <v>2272.04042</v>
      </c>
      <c r="CL41" s="36">
        <f t="shared" si="48"/>
        <v>115874.06142</v>
      </c>
      <c r="CM41" s="36">
        <f t="shared" si="49"/>
        <v>3741.0886568</v>
      </c>
      <c r="CN41" s="5"/>
      <c r="CO41" s="5">
        <f t="shared" si="78"/>
        <v>999982.0155000001</v>
      </c>
      <c r="CP41" s="36">
        <f t="shared" si="50"/>
        <v>19999.640310000003</v>
      </c>
      <c r="CQ41" s="36">
        <f t="shared" si="51"/>
        <v>1019981.6558100001</v>
      </c>
      <c r="CR41" s="36">
        <f t="shared" si="52"/>
        <v>32930.9403324</v>
      </c>
      <c r="CS41" s="5"/>
      <c r="CT41" s="36">
        <f t="shared" si="79"/>
        <v>2070300.4855000002</v>
      </c>
      <c r="CU41" s="36">
        <f t="shared" si="53"/>
        <v>41406.00971</v>
      </c>
      <c r="CV41" s="5">
        <f t="shared" si="54"/>
        <v>2111706.4952100003</v>
      </c>
      <c r="CW41" s="36">
        <f t="shared" si="55"/>
        <v>68178.1679084</v>
      </c>
      <c r="CX41" s="5"/>
      <c r="CY41" s="5">
        <f t="shared" si="80"/>
        <v>91884.5135</v>
      </c>
      <c r="CZ41" s="5">
        <f t="shared" si="56"/>
        <v>1837.69027</v>
      </c>
      <c r="DA41" s="5">
        <f t="shared" si="57"/>
        <v>93722.20377000001</v>
      </c>
      <c r="DB41" s="36">
        <f t="shared" si="58"/>
        <v>3025.8978508</v>
      </c>
      <c r="DC41" s="5"/>
      <c r="DD41" s="36">
        <f t="shared" si="81"/>
        <v>101920.2925</v>
      </c>
      <c r="DE41" s="36">
        <f t="shared" si="59"/>
        <v>2038.4058499999999</v>
      </c>
      <c r="DF41" s="5">
        <f t="shared" si="60"/>
        <v>103958.69834999999</v>
      </c>
      <c r="DG41" s="36">
        <f t="shared" si="61"/>
        <v>3356.3914339999997</v>
      </c>
      <c r="DH41" s="5"/>
      <c r="DI41" s="36"/>
      <c r="DJ41" s="36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</row>
    <row r="42" spans="2:131" ht="12">
      <c r="B42" s="34"/>
      <c r="C42" s="35"/>
      <c r="D42" s="35"/>
      <c r="E42" s="35"/>
      <c r="F42" s="35"/>
      <c r="H42" s="36"/>
      <c r="I42" s="36"/>
      <c r="J42" s="36"/>
      <c r="K42" s="35"/>
      <c r="M42" s="36"/>
      <c r="N42" s="35"/>
      <c r="O42" s="5"/>
      <c r="P42" s="35"/>
      <c r="R42" s="36"/>
      <c r="S42" s="36"/>
      <c r="T42" s="5"/>
      <c r="U42" s="35"/>
      <c r="X42" s="36"/>
      <c r="Y42" s="36"/>
      <c r="Z42" s="35"/>
      <c r="AE42" s="35"/>
      <c r="AJ42" s="35"/>
      <c r="AL42" s="36"/>
      <c r="AM42" s="36"/>
      <c r="AN42" s="5"/>
      <c r="AO42" s="35"/>
      <c r="AQ42" s="36"/>
      <c r="AR42" s="36"/>
      <c r="AS42" s="5"/>
      <c r="AT42" s="35"/>
      <c r="AU42" s="5"/>
      <c r="AV42" s="36"/>
      <c r="AW42" s="36"/>
      <c r="AX42" s="5"/>
      <c r="AY42" s="35"/>
      <c r="AZ42" s="5"/>
      <c r="BA42" s="36"/>
      <c r="BB42" s="36"/>
      <c r="BC42" s="5"/>
      <c r="BD42" s="35"/>
      <c r="BE42" s="5"/>
      <c r="BF42" s="36"/>
      <c r="BG42" s="36"/>
      <c r="BH42" s="5"/>
      <c r="BI42" s="35"/>
      <c r="BJ42" s="5"/>
      <c r="BK42" s="36"/>
      <c r="BL42" s="36"/>
      <c r="BM42" s="5"/>
      <c r="BN42" s="35"/>
      <c r="BO42" s="5"/>
      <c r="BP42" s="36"/>
      <c r="BQ42" s="36"/>
      <c r="BR42" s="5"/>
      <c r="BS42" s="35"/>
      <c r="BT42" s="5"/>
      <c r="BU42" s="5"/>
      <c r="BV42" s="5"/>
      <c r="BW42" s="5"/>
      <c r="BX42" s="35"/>
      <c r="BY42" s="5"/>
      <c r="BZ42" s="36"/>
      <c r="CA42" s="36"/>
      <c r="CB42" s="5"/>
      <c r="CC42" s="35"/>
      <c r="CD42" s="5"/>
      <c r="CE42" s="36"/>
      <c r="CF42" s="36"/>
      <c r="CG42" s="5"/>
      <c r="CH42" s="35"/>
      <c r="CI42" s="5"/>
      <c r="CJ42" s="5"/>
      <c r="CK42" s="36"/>
      <c r="CL42" s="36"/>
      <c r="CM42" s="35"/>
      <c r="CN42" s="5"/>
      <c r="CO42" s="5"/>
      <c r="CP42" s="36"/>
      <c r="CQ42" s="36"/>
      <c r="CR42" s="35"/>
      <c r="CS42" s="5"/>
      <c r="CT42" s="36"/>
      <c r="CU42" s="36"/>
      <c r="CV42" s="5"/>
      <c r="CW42" s="35"/>
      <c r="CX42" s="5"/>
      <c r="CY42" s="5"/>
      <c r="CZ42" s="5"/>
      <c r="DA42" s="5"/>
      <c r="DB42" s="35"/>
      <c r="DC42" s="5"/>
      <c r="DD42" s="36"/>
      <c r="DE42" s="36"/>
      <c r="DF42" s="5"/>
      <c r="DG42" s="35"/>
      <c r="DH42" s="5"/>
      <c r="DI42" s="36"/>
      <c r="DJ42" s="36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</row>
    <row r="43" spans="1:131" ht="12.75" thickBot="1">
      <c r="A43" s="39" t="s">
        <v>16</v>
      </c>
      <c r="C43" s="40">
        <f>SUM(C8:C42)</f>
        <v>103215000</v>
      </c>
      <c r="D43" s="40">
        <f>SUM(D8:D42)</f>
        <v>47301250</v>
      </c>
      <c r="E43" s="40">
        <f>SUM(E8:E42)</f>
        <v>150516250</v>
      </c>
      <c r="F43" s="40">
        <f>SUM(F8:F42)</f>
        <v>9534008</v>
      </c>
      <c r="H43" s="40">
        <f>SUM(H8:H42)</f>
        <v>15556772</v>
      </c>
      <c r="I43" s="40">
        <f>SUM(I8:I42)</f>
        <v>7129340</v>
      </c>
      <c r="J43" s="40">
        <f>SUM(J8:J42)</f>
        <v>22686112</v>
      </c>
      <c r="K43" s="40">
        <f>SUM(K8:K42)</f>
        <v>1436984.7537760006</v>
      </c>
      <c r="M43" s="40">
        <f>SUM(M8:M42)</f>
        <v>87658228.77</v>
      </c>
      <c r="N43" s="40">
        <f>SUM(N8:N42)</f>
        <v>40171910.99749998</v>
      </c>
      <c r="O43" s="40">
        <f>SUM(O8:O42)</f>
        <v>127830139.76749998</v>
      </c>
      <c r="P43" s="40">
        <f>SUM(P8:P42)</f>
        <v>8097023.246223999</v>
      </c>
      <c r="R43" s="40">
        <f>SUM(R8:R42)</f>
        <v>3956241.2715</v>
      </c>
      <c r="S43" s="40">
        <f>SUM(S8:S42)</f>
        <v>1813061.642624999</v>
      </c>
      <c r="T43" s="40">
        <f>SUM(T8:T42)</f>
        <v>5769302.914125002</v>
      </c>
      <c r="U43" s="40">
        <f>SUM(U8:U42)</f>
        <v>365439.4800407999</v>
      </c>
      <c r="W43" s="40">
        <f>SUM(W8:W42)</f>
        <v>7168870.075499999</v>
      </c>
      <c r="X43" s="40">
        <f>SUM(X8:X42)</f>
        <v>3285341.4296249994</v>
      </c>
      <c r="Y43" s="40">
        <f>SUM(Y8:Y42)</f>
        <v>10454211.505124997</v>
      </c>
      <c r="Z43" s="40">
        <f>SUM(Z8:Z42)</f>
        <v>662191.1994456</v>
      </c>
      <c r="AB43" s="40">
        <f>SUM(AB8:AB42)</f>
        <v>5776437.796499999</v>
      </c>
      <c r="AC43" s="40">
        <f>SUM(AC8:AC42)</f>
        <v>2647219.186374999</v>
      </c>
      <c r="AD43" s="40">
        <f>SUM(AD8:AD42)</f>
        <v>8423656.982875</v>
      </c>
      <c r="AE43" s="40">
        <f>SUM(AE8:AE42)</f>
        <v>533571.7111207998</v>
      </c>
      <c r="AG43" s="40">
        <f>SUM(AG8:AG42)</f>
        <v>6864726.4350000005</v>
      </c>
      <c r="AH43" s="40">
        <f>SUM(AH8:AH42)</f>
        <v>3145958.8362499992</v>
      </c>
      <c r="AI43" s="40">
        <f>SUM(AI8:AI42)</f>
        <v>10010685.27125</v>
      </c>
      <c r="AJ43" s="40">
        <f>SUM(AJ8:AJ42)</f>
        <v>634097.3380720002</v>
      </c>
      <c r="AL43" s="40">
        <f>SUM(AL8:AL42)</f>
        <v>410031.90900000004</v>
      </c>
      <c r="AM43" s="40">
        <f>SUM(AM8:AM42)</f>
        <v>187908.94574999996</v>
      </c>
      <c r="AN43" s="40">
        <f>SUM(AN8:AN42)</f>
        <v>597940.85475</v>
      </c>
      <c r="AO43" s="40">
        <f>SUM(AO8:AO42)</f>
        <v>37874.80018079999</v>
      </c>
      <c r="AQ43" s="40">
        <f>SUM(AQ8:AQ42)</f>
        <v>36909.684</v>
      </c>
      <c r="AR43" s="40">
        <f>SUM(AR8:AR42)</f>
        <v>16914.92700000001</v>
      </c>
      <c r="AS43" s="40">
        <f>SUM(AS8:AS42)</f>
        <v>53824.61099999999</v>
      </c>
      <c r="AT43" s="40">
        <f>SUM(AT8:AT42)</f>
        <v>3409.3612608</v>
      </c>
      <c r="AU43" s="5"/>
      <c r="AV43" s="40">
        <f>SUM(AV8:AV42)</f>
        <v>7551787.404</v>
      </c>
      <c r="AW43" s="40">
        <f>SUM(AW8:AW42)</f>
        <v>3460824.3370000003</v>
      </c>
      <c r="AX43" s="40">
        <f>SUM(AX8:AX42)</f>
        <v>11012611.740999999</v>
      </c>
      <c r="AY43" s="40">
        <f>SUM(AY8:AY42)</f>
        <v>697561.4157247994</v>
      </c>
      <c r="AZ43" s="5"/>
      <c r="BA43" s="40">
        <f>SUM(BA8:BA42)</f>
        <v>268.35900000000004</v>
      </c>
      <c r="BB43" s="40">
        <f>SUM(BB8:BB42)</f>
        <v>122.98325000000001</v>
      </c>
      <c r="BC43" s="40">
        <f>SUM(BC8:BC42)</f>
        <v>391.34225</v>
      </c>
      <c r="BD43" s="40">
        <f>SUM(BD8:BD42)</f>
        <v>24.7884208</v>
      </c>
      <c r="BE43" s="5"/>
      <c r="BF43" s="40">
        <f>SUM(BF8:BF42)</f>
        <v>9645957.824999997</v>
      </c>
      <c r="BG43" s="40">
        <f>SUM(BG8:BG42)</f>
        <v>4420538.3187500015</v>
      </c>
      <c r="BH43" s="40">
        <f>SUM(BH8:BH42)</f>
        <v>14066496.14375</v>
      </c>
      <c r="BI43" s="40">
        <f>SUM(BI8:BI42)</f>
        <v>891000.7176399992</v>
      </c>
      <c r="BJ43" s="5"/>
      <c r="BK43" s="40">
        <f>SUM(BK8:BK42)</f>
        <v>22758.907499999998</v>
      </c>
      <c r="BL43" s="40">
        <f>SUM(BL8:BL42)</f>
        <v>10429.925625000003</v>
      </c>
      <c r="BM43" s="40">
        <f>SUM(BM8:BM42)</f>
        <v>33188.833125</v>
      </c>
      <c r="BN43" s="40">
        <f>SUM(BN8:BN42)</f>
        <v>2102.248764000001</v>
      </c>
      <c r="BO43" s="5"/>
      <c r="BP43" s="40">
        <f>SUM(BP8:BP42)</f>
        <v>4044613.9545000005</v>
      </c>
      <c r="BQ43" s="40">
        <f>SUM(BQ8:BQ42)</f>
        <v>1853560.972875</v>
      </c>
      <c r="BR43" s="40">
        <f>SUM(BR8:BR42)</f>
        <v>5898174.927374999</v>
      </c>
      <c r="BS43" s="40">
        <f>SUM(BS8:BS42)</f>
        <v>373602.49769040017</v>
      </c>
      <c r="BT43" s="5"/>
      <c r="BU43" s="40">
        <f>SUM(BU8:BU42)</f>
        <v>20415.927</v>
      </c>
      <c r="BV43" s="40">
        <f>SUM(BV8:BV42)</f>
        <v>9356.18725</v>
      </c>
      <c r="BW43" s="40">
        <f>SUM(BW8:BW42)</f>
        <v>29772.11425000001</v>
      </c>
      <c r="BX43" s="40">
        <f>SUM(BX8:BX42)</f>
        <v>1885.8267823999988</v>
      </c>
      <c r="BY43" s="5"/>
      <c r="BZ43" s="40">
        <f>SUM(BZ8:BZ42)</f>
        <v>793785.2789999999</v>
      </c>
      <c r="CA43" s="40">
        <f>SUM(CA8:CA42)</f>
        <v>363774.9932500002</v>
      </c>
      <c r="CB43" s="40">
        <f>SUM(CB8:CB42)</f>
        <v>1157560.27225</v>
      </c>
      <c r="CC43" s="40">
        <f>SUM(CC8:CC42)</f>
        <v>73322.24192479998</v>
      </c>
      <c r="CD43" s="5"/>
      <c r="CE43" s="40">
        <f>SUM(CE8:CE42)</f>
        <v>422593.17449999996</v>
      </c>
      <c r="CF43" s="40">
        <f>SUM(CF8:CF42)</f>
        <v>193665.50787499995</v>
      </c>
      <c r="CG43" s="40">
        <f>SUM(CG8:CG42)</f>
        <v>616258.682375</v>
      </c>
      <c r="CH43" s="40">
        <f>SUM(CH8:CH42)</f>
        <v>39035.08895440002</v>
      </c>
      <c r="CI43" s="5"/>
      <c r="CJ43" s="40">
        <f>SUM(CJ8:CJ42)</f>
        <v>1377032.601</v>
      </c>
      <c r="CK43" s="40">
        <f>SUM(CK8:CK42)</f>
        <v>631064.8967499998</v>
      </c>
      <c r="CL43" s="40">
        <f>SUM(CL8:CL42)</f>
        <v>2008097.49775</v>
      </c>
      <c r="CM43" s="40">
        <f>SUM(CM8:CM42)</f>
        <v>127197.01433119997</v>
      </c>
      <c r="CN43" s="5"/>
      <c r="CO43" s="40">
        <f>SUM(CO8:CO42)</f>
        <v>12121332.2055</v>
      </c>
      <c r="CP43" s="40">
        <f>SUM(CP8:CP42)</f>
        <v>5554950.0071250005</v>
      </c>
      <c r="CQ43" s="40">
        <f>SUM(CQ8:CQ42)</f>
        <v>17676282.212624997</v>
      </c>
      <c r="CR43" s="40">
        <f>SUM(CR8:CR42)</f>
        <v>1119651.9713016006</v>
      </c>
      <c r="CS43" s="5"/>
      <c r="CT43" s="40">
        <f>SUM(CT8:CT42)</f>
        <v>25095251.275500003</v>
      </c>
      <c r="CU43" s="40">
        <f>SUM(CU8:CU42)</f>
        <v>11500622.529625002</v>
      </c>
      <c r="CV43" s="40">
        <f>SUM(CV8:CV42)</f>
        <v>36595873.805125</v>
      </c>
      <c r="CW43" s="40">
        <f>SUM(CW8:CW42)</f>
        <v>2318057.708885601</v>
      </c>
      <c r="CX43" s="5"/>
      <c r="CY43" s="40">
        <f>SUM(CY8:CY42)</f>
        <v>1113782.7435</v>
      </c>
      <c r="CZ43" s="40">
        <f>SUM(CZ8:CZ42)</f>
        <v>510423.0586249999</v>
      </c>
      <c r="DA43" s="40">
        <f>SUM(DA8:DA42)</f>
        <v>1624205.8021250002</v>
      </c>
      <c r="DB43" s="40">
        <f>SUM(DB8:DB42)</f>
        <v>102880.5269272</v>
      </c>
      <c r="DC43" s="5"/>
      <c r="DD43" s="40">
        <f>SUM(DD8:DD42)</f>
        <v>1235431.9425</v>
      </c>
      <c r="DE43" s="40">
        <f>SUM(DE8:DE42)</f>
        <v>566172.3118749998</v>
      </c>
      <c r="DF43" s="40">
        <f>SUM(DF8:DF42)</f>
        <v>1801604.2543749996</v>
      </c>
      <c r="DG43" s="40">
        <f>SUM(DG8:DG42)</f>
        <v>114117.30875600004</v>
      </c>
      <c r="DH43" s="5"/>
      <c r="DI43" s="40">
        <f>SUM(DI8:DI42)</f>
        <v>0</v>
      </c>
      <c r="DJ43" s="40">
        <f>SUM(DJ8:DJ42)</f>
        <v>0</v>
      </c>
      <c r="DK43" s="40">
        <f>SUM(DK8:DK42)</f>
        <v>0</v>
      </c>
      <c r="DL43" s="3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</row>
    <row r="44" spans="18:131" ht="12.75" thickTop="1"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</row>
    <row r="45" spans="3:131" ht="12">
      <c r="C45" s="3">
        <f>H43+M43</f>
        <v>103215000.77</v>
      </c>
      <c r="D45" s="3">
        <f>I43+N43</f>
        <v>47301250.99749998</v>
      </c>
      <c r="E45" s="3">
        <f>J43+O43</f>
        <v>150516251.76749998</v>
      </c>
      <c r="F45" s="3">
        <f>K43+P43</f>
        <v>9534008</v>
      </c>
      <c r="N45" s="5"/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</row>
    <row r="46" spans="18:131" ht="12"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</row>
    <row r="47" spans="18:131" ht="12"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</row>
    <row r="48" spans="18:131" ht="12"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18:131" ht="12"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</row>
    <row r="50" spans="1:131" ht="12">
      <c r="A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1" ht="12">
      <c r="A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</row>
    <row r="52" spans="1:131" ht="12">
      <c r="A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</row>
    <row r="53" spans="1:131" ht="12">
      <c r="A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</row>
    <row r="54" spans="1:131" ht="12">
      <c r="A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</row>
    <row r="55" spans="1:131" ht="12">
      <c r="A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31" ht="12">
      <c r="A56"/>
      <c r="C56"/>
      <c r="D56"/>
      <c r="E56"/>
      <c r="F56"/>
      <c r="H56"/>
      <c r="I56"/>
      <c r="J56"/>
      <c r="K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</row>
    <row r="57" spans="1:131" ht="12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31" ht="12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</row>
    <row r="59" spans="1:131" ht="12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</row>
    <row r="60" spans="1:131" ht="12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ht="12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131" ht="12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</row>
    <row r="63" spans="1:131" ht="12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</row>
    <row r="64" spans="1:131" ht="12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</row>
    <row r="65" spans="1:131" ht="12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</row>
    <row r="66" spans="1:131" ht="12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</row>
    <row r="67" spans="1:131" ht="12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</row>
    <row r="68" spans="1:131" ht="12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</row>
    <row r="69" spans="1:131" ht="12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</row>
    <row r="70" spans="1:131" ht="12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</row>
    <row r="71" spans="1:131" ht="12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</row>
    <row r="72" spans="1:131" ht="12">
      <c r="A72"/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</row>
    <row r="73" spans="1:131" ht="12">
      <c r="A73"/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</row>
    <row r="74" spans="1:131" ht="12">
      <c r="A74"/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</row>
    <row r="75" spans="1:131" ht="12">
      <c r="A75"/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</row>
    <row r="76" spans="1:131" ht="12">
      <c r="A76"/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</row>
    <row r="77" spans="3:131" ht="12">
      <c r="C77"/>
      <c r="D77"/>
      <c r="E77"/>
      <c r="F77"/>
      <c r="G77"/>
      <c r="H77"/>
      <c r="I77"/>
      <c r="J77"/>
      <c r="K77"/>
      <c r="L77"/>
      <c r="Q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</row>
    <row r="78" spans="3:131" ht="12">
      <c r="C78"/>
      <c r="D78"/>
      <c r="E78"/>
      <c r="F78"/>
      <c r="G78"/>
      <c r="H78"/>
      <c r="I78"/>
      <c r="J78"/>
      <c r="K78"/>
      <c r="L78"/>
      <c r="Q78"/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</row>
    <row r="79" spans="3:131" ht="12">
      <c r="C79"/>
      <c r="D79"/>
      <c r="E79"/>
      <c r="F79"/>
      <c r="G79"/>
      <c r="H79"/>
      <c r="I79"/>
      <c r="J79"/>
      <c r="K79"/>
      <c r="L79"/>
      <c r="Q79"/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</row>
    <row r="80" spans="3:131" ht="12">
      <c r="C80"/>
      <c r="D80"/>
      <c r="E80"/>
      <c r="F80"/>
      <c r="G80"/>
      <c r="H80"/>
      <c r="I80"/>
      <c r="J80"/>
      <c r="K80"/>
      <c r="L80"/>
      <c r="Q80"/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</row>
    <row r="81" spans="3:131" ht="12">
      <c r="C81"/>
      <c r="D81"/>
      <c r="E81"/>
      <c r="F81"/>
      <c r="G81"/>
      <c r="H81"/>
      <c r="I81"/>
      <c r="J81"/>
      <c r="K81"/>
      <c r="L81"/>
      <c r="Q81"/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</row>
    <row r="82" spans="3:131" ht="12">
      <c r="C82"/>
      <c r="D82"/>
      <c r="E82"/>
      <c r="F82"/>
      <c r="G82"/>
      <c r="H82"/>
      <c r="I82"/>
      <c r="J82"/>
      <c r="K82"/>
      <c r="L82"/>
      <c r="Q82"/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</row>
    <row r="83" spans="7:131" ht="12">
      <c r="G83"/>
      <c r="L83"/>
      <c r="Q83"/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</row>
    <row r="84" spans="18:131" ht="12"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</row>
    <row r="85" spans="18:131" ht="12"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</row>
    <row r="86" spans="18:131" ht="12"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</row>
    <row r="87" spans="18:131" ht="12"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</row>
    <row r="88" spans="18:131" ht="12"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</row>
    <row r="89" spans="18:131" ht="12"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</row>
    <row r="90" spans="18:131" ht="12"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</row>
    <row r="91" spans="18:131" ht="12"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</row>
    <row r="92" spans="18:131" ht="12"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</row>
    <row r="93" spans="18:131" ht="12"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</row>
    <row r="94" spans="18:131" ht="12"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</row>
    <row r="95" spans="18:131" ht="12"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</row>
    <row r="96" spans="18:131" ht="12"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</row>
    <row r="97" spans="18:131" ht="12"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</row>
    <row r="98" spans="18:131" ht="12"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</row>
    <row r="99" spans="18:131" ht="12"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</row>
    <row r="100" spans="18:131" ht="12"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</row>
    <row r="101" spans="18:131" ht="12"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</row>
    <row r="102" spans="18:131" ht="12"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</row>
    <row r="103" spans="18:131" ht="12"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</row>
    <row r="104" spans="18:131" ht="12"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</row>
    <row r="105" spans="18:131" ht="12"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</row>
    <row r="106" spans="18:131" ht="12"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</row>
    <row r="107" spans="18:131" ht="12"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</row>
    <row r="108" spans="18:131" ht="12"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</row>
    <row r="109" spans="18:131" ht="12"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</row>
    <row r="110" spans="18:131" ht="12"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</row>
    <row r="111" spans="18:131" ht="12"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</row>
    <row r="112" spans="18:131" ht="12"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</row>
    <row r="113" spans="18:131" ht="12"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</row>
    <row r="114" spans="18:131" ht="12"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</row>
    <row r="115" spans="18:131" ht="12"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</row>
    <row r="116" spans="18:131" ht="12"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</row>
    <row r="117" spans="18:131" ht="12"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</row>
    <row r="118" spans="18:131" ht="12"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</row>
    <row r="119" spans="18:131" ht="12"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</row>
    <row r="120" spans="18:131" ht="12"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</row>
    <row r="121" spans="18:131" ht="12"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</row>
    <row r="122" spans="18:131" ht="12"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</row>
    <row r="123" spans="18:131" ht="12"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</row>
    <row r="124" spans="18:131" ht="12"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</row>
    <row r="125" spans="18:131" ht="12"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</row>
    <row r="126" spans="18:131" ht="12"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</row>
    <row r="127" spans="18:131" ht="12"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</row>
    <row r="128" spans="18:131" ht="12"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</row>
    <row r="129" spans="18:131" ht="12"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</row>
    <row r="130" spans="18:131" ht="12"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</row>
    <row r="131" spans="18:131" ht="12"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</row>
    <row r="132" spans="18:131" ht="12"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</row>
    <row r="133" spans="18:131" ht="12"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</row>
    <row r="134" spans="18:131" ht="12"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</row>
    <row r="135" spans="18:131" ht="12"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</row>
    <row r="136" spans="18:131" ht="12"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</row>
    <row r="137" spans="18:131" ht="12"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</row>
    <row r="138" spans="18:131" ht="12"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</row>
    <row r="139" spans="18:131" ht="12"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</row>
    <row r="140" spans="18:131" ht="12"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</row>
    <row r="141" spans="18:131" ht="12"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</row>
    <row r="142" spans="18:131" ht="12"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</row>
    <row r="143" spans="18:131" ht="12"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</row>
    <row r="144" spans="18:131" ht="12"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</row>
    <row r="145" spans="18:131" ht="12"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</row>
    <row r="146" spans="18:131" ht="12"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</row>
    <row r="147" spans="18:131" ht="12"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</row>
    <row r="148" spans="18:131" ht="12"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</row>
    <row r="149" spans="18:131" ht="12"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</row>
    <row r="150" spans="18:131" ht="12"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</row>
    <row r="151" spans="18:131" ht="12"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</row>
    <row r="152" spans="18:131" ht="12"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</row>
    <row r="153" spans="18:131" ht="12"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</row>
    <row r="154" spans="18:131" ht="12"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</row>
    <row r="155" spans="18:131" ht="12"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</row>
    <row r="156" spans="18:131" ht="12"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</row>
    <row r="157" spans="18:131" ht="12"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</row>
    <row r="158" spans="18:131" ht="12"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</row>
    <row r="159" spans="18:131" ht="12"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</row>
    <row r="160" spans="18:131" ht="12"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</row>
    <row r="161" spans="18:131" ht="12"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</row>
    <row r="162" spans="18:131" ht="12"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</row>
    <row r="163" spans="18:131" ht="12"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</row>
    <row r="164" spans="18:131" ht="12"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</row>
    <row r="165" spans="18:131" ht="12"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</row>
    <row r="166" spans="18:131" ht="12"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</row>
    <row r="167" spans="18:131" ht="12"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</row>
    <row r="168" spans="18:131" ht="12"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</row>
    <row r="169" spans="18:131" ht="12"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</row>
    <row r="170" spans="18:131" ht="12"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</row>
    <row r="171" spans="18:131" ht="12"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</row>
    <row r="172" spans="18:131" ht="12"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</row>
    <row r="173" spans="18:131" ht="12"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</row>
    <row r="174" spans="18:131" ht="12"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</row>
    <row r="175" spans="18:131" ht="12"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</row>
    <row r="176" spans="18:131" ht="12"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</row>
    <row r="177" spans="18:131" ht="12"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</row>
    <row r="178" spans="18:131" ht="12"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</row>
    <row r="179" spans="18:131" ht="12"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</row>
    <row r="180" spans="18:131" ht="12"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</row>
    <row r="181" spans="18:131" ht="12"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</row>
    <row r="182" spans="18:131" ht="12"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</row>
    <row r="183" spans="18:131" ht="12"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</row>
    <row r="184" spans="18:131" ht="12"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</row>
    <row r="185" spans="18:131" ht="12"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</row>
    <row r="186" spans="18:131" ht="12"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</row>
    <row r="187" spans="18:131" ht="12"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</row>
    <row r="188" spans="18:131" ht="12"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</row>
    <row r="189" spans="18:131" ht="12"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</row>
    <row r="190" spans="18:131" ht="12"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</row>
    <row r="191" spans="18:131" ht="12"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</row>
    <row r="192" spans="18:131" ht="12"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</row>
    <row r="193" spans="18:131" ht="12"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</row>
    <row r="194" spans="18:131" ht="12"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</row>
    <row r="195" spans="18:131" ht="12"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</row>
    <row r="196" spans="18:131" ht="12"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</row>
    <row r="197" spans="18:131" ht="12"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</row>
    <row r="198" spans="18:131" ht="12"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</row>
    <row r="199" spans="18:131" ht="12"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</row>
    <row r="200" spans="18:131" ht="12"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</row>
    <row r="201" spans="18:131" ht="12"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</row>
    <row r="202" spans="18:131" ht="12"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</row>
    <row r="203" spans="18:131" ht="12"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</row>
    <row r="204" spans="18:131" ht="12"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</row>
    <row r="205" spans="18:131" ht="12"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</row>
    <row r="206" spans="18:131" ht="12"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</row>
    <row r="207" spans="18:131" ht="12"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</row>
    <row r="208" spans="18:131" ht="12"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</row>
    <row r="209" spans="18:131" ht="12"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</row>
    <row r="210" spans="18:131" ht="12"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</row>
    <row r="211" spans="18:131" ht="12"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</row>
    <row r="212" spans="18:131" ht="12"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</row>
    <row r="213" spans="18:131" ht="12"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</row>
    <row r="214" spans="18:131" ht="12"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</row>
    <row r="215" spans="18:131" ht="12"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</row>
    <row r="216" spans="18:131" ht="12"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</row>
    <row r="217" spans="18:131" ht="12"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</row>
    <row r="218" spans="18:131" ht="12"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</row>
    <row r="219" spans="18:131" ht="12"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</row>
    <row r="220" spans="18:131" ht="12"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</row>
    <row r="221" spans="18:131" ht="12"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</row>
    <row r="222" spans="18:131" ht="12"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</row>
    <row r="223" spans="18:131" ht="12"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</row>
    <row r="224" spans="18:131" ht="12"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</row>
    <row r="225" spans="18:131" ht="12"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</row>
    <row r="226" spans="18:131" ht="12"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</row>
    <row r="227" spans="18:131" ht="12"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</row>
    <row r="228" spans="18:131" ht="12"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</row>
    <row r="229" spans="18:131" ht="12"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</row>
    <row r="230" spans="18:131" ht="12"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</row>
    <row r="231" spans="18:131" ht="12"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</row>
    <row r="232" spans="18:131" ht="12"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</row>
    <row r="233" spans="18:131" ht="12"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</row>
    <row r="234" spans="18:131" ht="12"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</row>
    <row r="235" spans="18:131" ht="12"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</row>
    <row r="236" spans="18:131" ht="12"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</row>
    <row r="237" spans="18:131" ht="12"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</row>
    <row r="238" spans="18:131" ht="12"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</row>
    <row r="239" spans="18:131" ht="12"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</row>
    <row r="240" spans="18:131" ht="12"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</row>
    <row r="241" spans="18:131" ht="12"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</row>
    <row r="242" spans="18:131" ht="12"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</row>
    <row r="243" spans="18:131" ht="12"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</row>
    <row r="244" spans="18:131" ht="12"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</row>
    <row r="245" spans="18:131" ht="12"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</row>
    <row r="246" spans="18:131" ht="12"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</row>
    <row r="247" spans="18:131" ht="12"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</row>
    <row r="248" spans="18:131" ht="12"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</row>
    <row r="249" spans="18:131" ht="12"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</row>
    <row r="250" spans="18:131" ht="12"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</row>
    <row r="251" spans="18:131" ht="12"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</row>
    <row r="252" spans="18:131" ht="12"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</row>
    <row r="253" spans="18:131" ht="12"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</row>
    <row r="254" spans="18:131" ht="12"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</row>
    <row r="255" spans="18:131" ht="12"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</row>
    <row r="256" spans="18:131" ht="12"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</row>
    <row r="257" spans="18:131" ht="12"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</row>
    <row r="258" spans="18:131" ht="12"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</row>
    <row r="259" spans="18:131" ht="12"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</row>
    <row r="260" spans="18:131" ht="12"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</row>
    <row r="261" spans="18:131" ht="12"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</row>
    <row r="262" spans="18:131" ht="12"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</row>
    <row r="263" spans="18:131" ht="12"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</row>
    <row r="264" spans="18:131" ht="12"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</row>
    <row r="265" spans="18:131" ht="12"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</row>
    <row r="266" spans="18:131" ht="12"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</row>
    <row r="267" spans="18:131" ht="12"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</row>
    <row r="268" spans="18:131" ht="12"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</row>
    <row r="269" spans="18:131" ht="12"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</row>
    <row r="270" spans="18:131" ht="12"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</row>
    <row r="271" spans="18:131" ht="12"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</row>
    <row r="272" spans="18:131" ht="12"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</row>
    <row r="273" spans="18:131" ht="12"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</row>
    <row r="274" spans="18:131" ht="12"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</row>
    <row r="275" spans="18:131" ht="12"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</row>
    <row r="276" spans="18:131" ht="12"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</row>
    <row r="277" spans="18:131" ht="12"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</row>
    <row r="278" spans="18:131" ht="12"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</row>
    <row r="279" spans="18:131" ht="12"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</row>
    <row r="280" spans="18:131" ht="12"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</row>
    <row r="281" spans="18:131" ht="12"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</row>
    <row r="282" spans="18:131" ht="12"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</row>
    <row r="283" spans="18:131" ht="12"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</row>
    <row r="284" spans="18:131" ht="12"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</row>
    <row r="285" spans="18:131" ht="12"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</row>
    <row r="286" spans="18:131" ht="12"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</row>
    <row r="287" spans="18:131" ht="12"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</row>
    <row r="288" spans="18:131" ht="12"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</row>
    <row r="289" spans="18:131" ht="12"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</row>
    <row r="290" spans="18:131" ht="12"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</row>
    <row r="291" spans="18:131" ht="12"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</row>
    <row r="292" spans="18:131" ht="12"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</row>
    <row r="293" spans="18:131" ht="12"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</row>
    <row r="294" spans="18:131" ht="12"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</row>
    <row r="295" spans="18:131" ht="12"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</row>
    <row r="296" spans="18:131" ht="12"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</row>
    <row r="297" spans="18:131" ht="12"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</row>
    <row r="298" spans="18:131" ht="12"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</row>
    <row r="299" spans="18:131" ht="12"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</row>
    <row r="300" spans="18:131" ht="12"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</row>
    <row r="301" spans="18:131" ht="12"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</row>
    <row r="302" spans="18:131" ht="12"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</row>
    <row r="303" spans="18:131" ht="12"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</row>
    <row r="304" spans="18:131" ht="12"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</row>
    <row r="305" spans="18:131" ht="12"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</row>
    <row r="306" spans="18:131" ht="12"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</row>
    <row r="307" spans="18:131" ht="12"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</row>
    <row r="308" spans="18:131" ht="12"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</row>
    <row r="309" spans="18:131" ht="12"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</row>
    <row r="310" spans="18:131" ht="12"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</row>
    <row r="311" spans="18:131" ht="12"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</row>
    <row r="312" spans="18:131" ht="12"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</row>
    <row r="313" spans="18:131" ht="12"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</row>
    <row r="314" spans="18:131" ht="12"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</row>
    <row r="315" spans="18:131" ht="12"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</row>
    <row r="316" spans="18:131" ht="12"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</row>
    <row r="317" spans="18:131" ht="12"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</row>
    <row r="318" spans="18:131" ht="12"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</row>
    <row r="319" spans="18:131" ht="12"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</row>
    <row r="320" spans="18:131" ht="12"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</row>
    <row r="321" spans="18:131" ht="12"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</row>
    <row r="322" spans="18:131" ht="12"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</row>
    <row r="323" spans="18:131" ht="12"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</row>
    <row r="324" spans="18:131" ht="12"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</row>
    <row r="325" spans="18:131" ht="12"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</row>
    <row r="326" spans="18:131" ht="12"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</row>
    <row r="327" spans="18:131" ht="12"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</row>
    <row r="328" spans="18:131" ht="12"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</row>
    <row r="329" spans="18:131" ht="12"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</row>
    <row r="330" spans="18:131" ht="12"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</row>
    <row r="331" spans="18:131" ht="12"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</row>
    <row r="332" spans="18:131" ht="12"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</row>
    <row r="333" spans="18:131" ht="12"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</row>
    <row r="334" spans="18:131" ht="12"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</row>
    <row r="335" spans="18:131" ht="12"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</row>
    <row r="336" spans="18:131" ht="12"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</row>
    <row r="337" spans="18:131" ht="12"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</row>
    <row r="338" spans="18:131" ht="12"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</row>
    <row r="339" spans="18:131" ht="12"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</row>
    <row r="340" spans="18:131" ht="12"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</row>
    <row r="341" spans="18:131" ht="12"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</row>
    <row r="342" spans="18:131" ht="12"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</row>
    <row r="343" spans="18:131" ht="12"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</row>
    <row r="344" spans="18:131" ht="12"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</row>
    <row r="345" spans="18:131" ht="12"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</row>
    <row r="346" spans="18:131" ht="12"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</row>
    <row r="347" spans="18:131" ht="12"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</row>
    <row r="348" spans="18:131" ht="12"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</row>
    <row r="349" spans="18:131" ht="12"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</row>
    <row r="350" spans="18:131" ht="12"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</row>
    <row r="351" spans="18:131" ht="12"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</row>
    <row r="352" spans="18:131" ht="12"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</row>
    <row r="353" spans="18:131" ht="12"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</row>
    <row r="354" spans="18:131" ht="12"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</row>
    <row r="355" spans="18:131" ht="12"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</row>
    <row r="356" spans="18:131" ht="12"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</row>
    <row r="357" spans="18:131" ht="12"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</row>
    <row r="358" spans="18:131" ht="12"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</row>
    <row r="359" spans="18:131" ht="12"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</row>
    <row r="360" spans="18:131" ht="12"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</row>
    <row r="361" spans="18:131" ht="12"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</row>
    <row r="362" spans="18:131" ht="12"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</row>
    <row r="363" spans="18:131" ht="12"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</row>
    <row r="364" spans="18:131" ht="12"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</row>
    <row r="365" spans="18:131" ht="12"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</row>
    <row r="366" spans="18:131" ht="12"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</row>
    <row r="367" spans="18:131" ht="12"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</row>
    <row r="368" spans="18:131" ht="12"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</row>
    <row r="369" spans="18:131" ht="12"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</row>
    <row r="370" spans="18:131" ht="12"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</row>
    <row r="371" spans="18:131" ht="12"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</row>
    <row r="372" spans="18:131" ht="12"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</row>
    <row r="373" spans="18:131" ht="12"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</row>
    <row r="374" spans="18:131" ht="12"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</row>
    <row r="375" spans="18:131" ht="12"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</row>
    <row r="376" spans="18:131" ht="12"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</row>
    <row r="377" spans="18:131" ht="12"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</row>
    <row r="378" spans="18:131" ht="12"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</row>
    <row r="379" spans="18:131" ht="12"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</row>
    <row r="380" spans="18:131" ht="12"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</row>
    <row r="381" spans="18:131" ht="12"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</row>
    <row r="382" spans="18:131" ht="12"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</row>
    <row r="383" spans="18:131" ht="12"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</row>
    <row r="384" spans="18:131" ht="12"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</row>
    <row r="385" spans="18:131" ht="12"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</row>
    <row r="386" spans="18:131" ht="12"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</row>
    <row r="387" spans="18:131" ht="12"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</row>
    <row r="388" spans="18:131" ht="12"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</row>
    <row r="389" spans="18:131" ht="12"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</row>
    <row r="390" spans="18:131" ht="12"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</row>
    <row r="391" spans="18:131" ht="12"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</row>
    <row r="392" spans="18:131" ht="12"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</row>
    <row r="393" spans="18:131" ht="12"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</row>
    <row r="394" spans="18:131" ht="12"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</row>
    <row r="395" spans="18:131" ht="12"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</row>
    <row r="396" spans="18:131" ht="12"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</row>
    <row r="397" spans="18:131" ht="12"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</row>
    <row r="398" spans="18:131" ht="12"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</row>
    <row r="399" spans="18:131" ht="12"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</row>
    <row r="400" spans="18:131" ht="12"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</row>
    <row r="401" spans="18:131" ht="12"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</row>
    <row r="402" spans="18:131" ht="12"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</row>
    <row r="403" spans="18:131" ht="12"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</row>
    <row r="404" spans="18:131" ht="12"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</row>
    <row r="405" spans="18:131" ht="12"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</row>
    <row r="406" spans="18:131" ht="12"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</row>
    <row r="407" spans="18:131" ht="12"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</row>
    <row r="408" spans="18:131" ht="12"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</row>
    <row r="409" spans="18:131" ht="12"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</row>
    <row r="410" spans="18:131" ht="12"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</row>
    <row r="411" spans="18:131" ht="12"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</row>
    <row r="412" spans="18:131" ht="12"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</row>
    <row r="413" spans="18:131" ht="12"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</row>
    <row r="414" spans="18:131" ht="12"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</row>
    <row r="415" spans="18:131" ht="12"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</row>
    <row r="416" spans="18:131" ht="12"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</row>
    <row r="417" spans="18:131" ht="12"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</row>
    <row r="418" spans="18:131" ht="12"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</row>
    <row r="419" spans="18:131" ht="12"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</row>
    <row r="420" spans="18:131" ht="12"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</row>
    <row r="421" spans="18:131" ht="12"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</row>
    <row r="422" spans="18:131" ht="12"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</row>
    <row r="423" spans="18:131" ht="12"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</row>
    <row r="424" spans="18:131" ht="12"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</row>
    <row r="425" spans="18:131" ht="12"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</row>
    <row r="426" spans="18:131" ht="12"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</row>
    <row r="427" spans="18:131" ht="12"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</row>
    <row r="428" spans="18:131" ht="12"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</row>
    <row r="429" spans="18:131" ht="12"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</row>
    <row r="430" spans="18:131" ht="12"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</row>
    <row r="431" spans="18:131" ht="12"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</row>
    <row r="432" spans="18:131" ht="12"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</row>
    <row r="433" spans="18:131" ht="12"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</row>
    <row r="434" spans="18:131" ht="12"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</row>
    <row r="435" spans="18:131" ht="12"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</row>
    <row r="436" spans="18:131" ht="12"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</row>
    <row r="437" spans="18:131" ht="12"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</row>
    <row r="438" spans="18:131" ht="12"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</row>
    <row r="439" spans="18:131" ht="12"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</row>
    <row r="440" spans="18:131" ht="12"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</row>
    <row r="441" spans="18:131" ht="12"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</row>
    <row r="442" spans="18:131" ht="12"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</row>
    <row r="443" spans="18:131" ht="12"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</row>
    <row r="444" spans="18:131" ht="12"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</row>
    <row r="445" spans="18:131" ht="12"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</row>
    <row r="446" spans="18:131" ht="12"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</row>
    <row r="447" spans="18:131" ht="12"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</row>
    <row r="448" spans="18:131" ht="12"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</row>
    <row r="449" spans="18:131" ht="12"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</row>
    <row r="450" spans="18:131" ht="12"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</row>
    <row r="451" spans="18:131" ht="12"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</row>
    <row r="452" spans="18:131" ht="12"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</row>
    <row r="453" spans="18:131" ht="12"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</row>
    <row r="454" spans="18:131" ht="12"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</row>
    <row r="455" spans="18:131" ht="12"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</row>
    <row r="456" spans="18:131" ht="12"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</row>
    <row r="457" spans="18:131" ht="12"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</row>
    <row r="458" spans="18:131" ht="12"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</row>
    <row r="459" spans="18:131" ht="12"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</row>
    <row r="460" spans="18:131" ht="12"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</row>
    <row r="461" spans="18:131" ht="12"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</row>
    <row r="462" spans="18:131" ht="12"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</row>
    <row r="463" spans="18:131" ht="12"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</row>
    <row r="464" spans="18:131" ht="12"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</row>
    <row r="465" spans="18:131" ht="12"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</row>
    <row r="466" spans="18:131" ht="12"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</row>
    <row r="467" spans="18:131" ht="12"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</row>
    <row r="468" spans="18:131" ht="12"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</row>
    <row r="469" spans="18:131" ht="12"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</row>
    <row r="470" spans="18:131" ht="12"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</row>
    <row r="471" spans="18:131" ht="12"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</row>
    <row r="472" spans="18:131" ht="12"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</row>
    <row r="473" spans="18:131" ht="12"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</row>
    <row r="474" spans="18:131" ht="12"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</row>
    <row r="475" spans="18:131" ht="12"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</row>
    <row r="476" spans="18:131" ht="12"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</row>
    <row r="477" spans="18:131" ht="12"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</row>
    <row r="478" spans="18:131" ht="12"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</row>
    <row r="479" spans="18:131" ht="12"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</row>
    <row r="480" spans="18:131" ht="12"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</row>
    <row r="481" spans="18:131" ht="12"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</row>
    <row r="482" spans="18:131" ht="12"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</row>
    <row r="483" spans="18:131" ht="12"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</row>
    <row r="484" spans="18:131" ht="12"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</row>
    <row r="485" spans="18:131" ht="12"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</row>
    <row r="486" spans="18:131" ht="12"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</row>
    <row r="487" spans="18:131" ht="12"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</row>
    <row r="488" spans="18:131" ht="12"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</row>
    <row r="489" spans="18:131" ht="12"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</row>
    <row r="490" spans="18:131" ht="12"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</row>
    <row r="491" spans="18:131" ht="12"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</row>
    <row r="492" spans="18:131" ht="12"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</row>
    <row r="493" spans="18:131" ht="12"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</row>
    <row r="494" spans="18:131" ht="12"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</row>
    <row r="495" spans="18:131" ht="12"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</row>
    <row r="496" spans="18:131" ht="12"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</row>
    <row r="497" spans="18:131" ht="12"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</row>
    <row r="498" spans="18:131" ht="12"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</row>
    <row r="499" spans="18:131" ht="12"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</row>
    <row r="500" spans="18:131" ht="12"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</row>
    <row r="501" spans="18:131" ht="12"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</row>
    <row r="502" spans="18:131" ht="12"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</row>
    <row r="503" spans="18:131" ht="12"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</row>
    <row r="504" spans="18:131" ht="12"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</row>
    <row r="505" spans="18:131" ht="12"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</row>
    <row r="506" spans="18:131" ht="12"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</row>
    <row r="507" spans="18:131" ht="12"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</row>
    <row r="508" spans="18:131" ht="12"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</row>
    <row r="509" spans="18:131" ht="12"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</row>
    <row r="510" spans="18:131" ht="12"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</row>
    <row r="511" spans="18:131" ht="12"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</row>
    <row r="512" spans="18:131" ht="12"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</row>
    <row r="513" spans="18:131" ht="12"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</row>
    <row r="514" spans="18:131" ht="12"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</row>
    <row r="515" spans="18:131" ht="12"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</row>
    <row r="516" spans="18:131" ht="12"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</row>
    <row r="517" spans="18:131" ht="12"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</row>
    <row r="518" spans="18:131" ht="12"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</row>
    <row r="519" spans="18:131" ht="12"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</row>
    <row r="520" spans="18:131" ht="12"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</row>
    <row r="521" spans="18:131" ht="12"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</row>
    <row r="522" spans="18:131" ht="12"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</row>
    <row r="523" spans="18:131" ht="12"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</row>
    <row r="524" spans="18:131" ht="12"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</row>
    <row r="525" spans="18:131" ht="12"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</row>
    <row r="526" spans="18:131" ht="12"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</row>
    <row r="527" spans="18:131" ht="12"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</row>
    <row r="528" spans="18:131" ht="12"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</row>
    <row r="529" spans="18:131" ht="12"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</row>
    <row r="530" spans="18:131" ht="12"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</row>
    <row r="531" spans="18:131" ht="12"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</row>
    <row r="532" spans="18:131" ht="12"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</row>
    <row r="533" spans="18:131" ht="12"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</row>
    <row r="534" spans="18:131" ht="12"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</row>
    <row r="535" spans="18:131" ht="12"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</row>
    <row r="536" spans="18:131" ht="12"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</row>
    <row r="537" spans="18:131" ht="12"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</row>
    <row r="538" spans="18:131" ht="12"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</row>
    <row r="539" spans="18:131" ht="12"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</row>
    <row r="540" spans="18:131" ht="12"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</row>
    <row r="541" spans="18:131" ht="12"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</row>
    <row r="542" spans="18:131" ht="12"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</row>
    <row r="543" spans="18:131" ht="12"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</row>
    <row r="544" spans="18:131" ht="12"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</row>
    <row r="545" spans="18:131" ht="12"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</row>
    <row r="546" spans="18:131" ht="12"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</row>
    <row r="547" spans="18:131" ht="12"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</row>
    <row r="548" spans="18:131" ht="12"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</row>
    <row r="549" spans="18:131" ht="12"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</row>
    <row r="550" spans="18:131" ht="12"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</row>
    <row r="551" spans="18:131" ht="12"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</row>
    <row r="552" spans="18:131" ht="12"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</row>
    <row r="553" spans="18:131" ht="12"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</row>
    <row r="554" spans="18:131" ht="12"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</row>
    <row r="555" spans="18:131" ht="12"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</row>
    <row r="556" spans="18:131" ht="12"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</row>
    <row r="557" spans="18:131" ht="12"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</row>
    <row r="558" spans="18:131" ht="12"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</row>
    <row r="559" spans="18:131" ht="12"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</row>
    <row r="560" spans="18:131" ht="12"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</row>
    <row r="561" spans="18:131" ht="12"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</row>
    <row r="562" spans="18:131" ht="12"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</row>
    <row r="563" spans="18:131" ht="12"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</row>
    <row r="564" spans="18:131" ht="12"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</row>
    <row r="565" spans="18:131" ht="12"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</row>
    <row r="566" spans="18:131" ht="12">
      <c r="R566" s="5"/>
      <c r="S566" s="5"/>
      <c r="T566" s="5"/>
      <c r="U566" s="5"/>
      <c r="AL566" s="5"/>
      <c r="AM566" s="5"/>
      <c r="AN566" s="5"/>
      <c r="AO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</row>
    <row r="567" spans="18:131" ht="12">
      <c r="R567" s="5"/>
      <c r="S567" s="5"/>
      <c r="T567" s="5"/>
      <c r="U567" s="5"/>
      <c r="AL567" s="5"/>
      <c r="AM567" s="5"/>
      <c r="AN567" s="5"/>
      <c r="AO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</row>
    <row r="568" spans="18:131" ht="12">
      <c r="R568" s="5"/>
      <c r="S568" s="5"/>
      <c r="T568" s="5"/>
      <c r="U568" s="5"/>
      <c r="AL568" s="5"/>
      <c r="AM568" s="5"/>
      <c r="AN568" s="5"/>
      <c r="AO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</row>
    <row r="569" spans="18:131" ht="12">
      <c r="R569" s="5"/>
      <c r="S569" s="5"/>
      <c r="T569" s="5"/>
      <c r="U569" s="5"/>
      <c r="AL569" s="5"/>
      <c r="AM569" s="5"/>
      <c r="AN569" s="5"/>
      <c r="AO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</row>
    <row r="570" spans="18:131" ht="12">
      <c r="R570" s="5"/>
      <c r="S570" s="5"/>
      <c r="T570" s="5"/>
      <c r="U570" s="5"/>
      <c r="AL570" s="5"/>
      <c r="AM570" s="5"/>
      <c r="AN570" s="5"/>
      <c r="AO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</row>
    <row r="571" spans="18:131" ht="12">
      <c r="R571" s="5"/>
      <c r="S571" s="5"/>
      <c r="T571" s="5"/>
      <c r="U571" s="5"/>
      <c r="AL571" s="5"/>
      <c r="AM571" s="5"/>
      <c r="AN571" s="5"/>
      <c r="AO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</row>
    <row r="572" spans="18:131" ht="12">
      <c r="R572" s="5"/>
      <c r="S572" s="5"/>
      <c r="T572" s="5"/>
      <c r="U572" s="5"/>
      <c r="AL572" s="5"/>
      <c r="AM572" s="5"/>
      <c r="AN572" s="5"/>
      <c r="AO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</row>
    <row r="573" spans="18:131" ht="12">
      <c r="R573" s="5"/>
      <c r="S573" s="5"/>
      <c r="T573" s="5"/>
      <c r="U573" s="5"/>
      <c r="AL573" s="5"/>
      <c r="AM573" s="5"/>
      <c r="AN573" s="5"/>
      <c r="AO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83"/>
  <sheetViews>
    <sheetView zoomScale="150" zoomScaleNormal="150" workbookViewId="0" topLeftCell="A1">
      <pane xSplit="1" ySplit="7" topLeftCell="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1" sqref="M11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</cols>
  <sheetData>
    <row r="1" spans="1:128" ht="12">
      <c r="A1" s="1"/>
      <c r="B1" s="2"/>
      <c r="D1" s="4"/>
      <c r="H1" s="4" t="s">
        <v>95</v>
      </c>
      <c r="R1" s="4"/>
      <c r="W1" s="4" t="s">
        <v>95</v>
      </c>
      <c r="AL1" s="4" t="s">
        <v>95</v>
      </c>
      <c r="AV1" s="4"/>
      <c r="BA1" s="4" t="s">
        <v>95</v>
      </c>
      <c r="BP1" s="4" t="s">
        <v>95</v>
      </c>
      <c r="CE1" s="4" t="s">
        <v>95</v>
      </c>
      <c r="CJ1" s="4"/>
      <c r="CO1" s="4"/>
      <c r="CT1" s="4" t="s">
        <v>95</v>
      </c>
      <c r="DI1" s="4" t="s">
        <v>95</v>
      </c>
      <c r="DX1" s="4" t="s">
        <v>95</v>
      </c>
    </row>
    <row r="2" spans="1:128" ht="12">
      <c r="A2" s="1"/>
      <c r="B2" s="2"/>
      <c r="D2" s="4"/>
      <c r="H2" s="4" t="s">
        <v>94</v>
      </c>
      <c r="R2" s="4"/>
      <c r="W2" s="4" t="s">
        <v>94</v>
      </c>
      <c r="AL2" s="4" t="s">
        <v>94</v>
      </c>
      <c r="AV2" s="4"/>
      <c r="BA2" s="4" t="s">
        <v>94</v>
      </c>
      <c r="BP2" s="4" t="s">
        <v>94</v>
      </c>
      <c r="CE2" s="4" t="s">
        <v>94</v>
      </c>
      <c r="CJ2" s="4"/>
      <c r="CO2" s="4"/>
      <c r="CT2" s="4" t="s">
        <v>94</v>
      </c>
      <c r="DI2" s="4" t="s">
        <v>94</v>
      </c>
      <c r="DX2" s="4" t="s">
        <v>94</v>
      </c>
    </row>
    <row r="3" spans="1:128" ht="12">
      <c r="A3" s="1"/>
      <c r="B3" s="2"/>
      <c r="D3" s="7"/>
      <c r="H3" s="4" t="s">
        <v>122</v>
      </c>
      <c r="R3" s="4"/>
      <c r="W3" s="4" t="s">
        <v>122</v>
      </c>
      <c r="AL3" s="4" t="s">
        <v>122</v>
      </c>
      <c r="AV3" s="4"/>
      <c r="BA3" s="4" t="s">
        <v>122</v>
      </c>
      <c r="BP3" s="4" t="s">
        <v>122</v>
      </c>
      <c r="CE3" s="4" t="s">
        <v>122</v>
      </c>
      <c r="CJ3" s="4"/>
      <c r="CO3" s="4"/>
      <c r="CT3" s="4" t="s">
        <v>122</v>
      </c>
      <c r="DI3" s="4" t="s">
        <v>122</v>
      </c>
      <c r="DX3" s="4" t="s">
        <v>122</v>
      </c>
    </row>
    <row r="4" spans="1:4" ht="12">
      <c r="A4" s="1"/>
      <c r="B4" s="2"/>
      <c r="C4" s="7"/>
      <c r="D4" s="4"/>
    </row>
    <row r="5" spans="1:127" ht="12">
      <c r="A5" s="9" t="s">
        <v>0</v>
      </c>
      <c r="C5" s="10" t="s">
        <v>121</v>
      </c>
      <c r="D5" s="11"/>
      <c r="E5" s="12"/>
      <c r="F5" s="12"/>
      <c r="H5" s="13" t="s">
        <v>130</v>
      </c>
      <c r="I5" s="16"/>
      <c r="J5" s="15"/>
      <c r="K5" s="74"/>
      <c r="M5" s="42" t="s">
        <v>17</v>
      </c>
      <c r="N5" s="14"/>
      <c r="O5" s="15"/>
      <c r="P5" s="74"/>
      <c r="R5" s="42" t="s">
        <v>18</v>
      </c>
      <c r="S5" s="14"/>
      <c r="T5" s="15"/>
      <c r="U5" s="74"/>
      <c r="W5" s="75" t="s">
        <v>161</v>
      </c>
      <c r="X5" s="14"/>
      <c r="Y5" s="15"/>
      <c r="Z5" s="74"/>
      <c r="AB5" s="75" t="s">
        <v>162</v>
      </c>
      <c r="AC5" s="14"/>
      <c r="AD5" s="15"/>
      <c r="AE5" s="74"/>
      <c r="AG5" s="42" t="s">
        <v>19</v>
      </c>
      <c r="AH5" s="14"/>
      <c r="AI5" s="15"/>
      <c r="AJ5" s="74"/>
      <c r="AL5" s="42" t="s">
        <v>20</v>
      </c>
      <c r="AM5" s="14"/>
      <c r="AN5" s="15"/>
      <c r="AO5" s="74"/>
      <c r="AQ5" s="42" t="s">
        <v>21</v>
      </c>
      <c r="AR5" s="14"/>
      <c r="AS5" s="15"/>
      <c r="AT5" s="74"/>
      <c r="AV5" s="42" t="s">
        <v>22</v>
      </c>
      <c r="AW5" s="14"/>
      <c r="AX5" s="15"/>
      <c r="AY5" s="74"/>
      <c r="BA5" s="13" t="s">
        <v>23</v>
      </c>
      <c r="BB5" s="14"/>
      <c r="BC5" s="15"/>
      <c r="BD5" s="74"/>
      <c r="BF5" s="42" t="s">
        <v>126</v>
      </c>
      <c r="BG5" s="14"/>
      <c r="BH5" s="15"/>
      <c r="BI5" s="74"/>
      <c r="BK5" s="13" t="s">
        <v>96</v>
      </c>
      <c r="BL5" s="14"/>
      <c r="BM5" s="15"/>
      <c r="BN5" s="74"/>
      <c r="BP5" s="13" t="s">
        <v>158</v>
      </c>
      <c r="BQ5" s="14"/>
      <c r="BR5" s="15"/>
      <c r="BS5" s="74"/>
      <c r="BU5" s="13" t="s">
        <v>24</v>
      </c>
      <c r="BV5" s="14"/>
      <c r="BW5" s="15"/>
      <c r="BX5" s="74"/>
      <c r="BZ5" s="42" t="s">
        <v>127</v>
      </c>
      <c r="CA5" s="14"/>
      <c r="CB5" s="15"/>
      <c r="CC5" s="74"/>
      <c r="CE5" s="42" t="s">
        <v>25</v>
      </c>
      <c r="CF5" s="14"/>
      <c r="CG5" s="15"/>
      <c r="CH5" s="74"/>
      <c r="CJ5" s="42" t="s">
        <v>128</v>
      </c>
      <c r="CK5" s="14"/>
      <c r="CL5" s="15"/>
      <c r="CM5" s="74"/>
      <c r="CO5" s="42" t="s">
        <v>146</v>
      </c>
      <c r="CP5" s="16"/>
      <c r="CQ5" s="15"/>
      <c r="CR5" s="74"/>
      <c r="CT5" s="42" t="s">
        <v>26</v>
      </c>
      <c r="CU5" s="16"/>
      <c r="CV5" s="15"/>
      <c r="CW5" s="74"/>
      <c r="CY5" s="13" t="s">
        <v>27</v>
      </c>
      <c r="CZ5" s="16"/>
      <c r="DA5" s="15"/>
      <c r="DB5" s="74"/>
      <c r="DD5" s="13" t="s">
        <v>28</v>
      </c>
      <c r="DE5" s="16"/>
      <c r="DF5" s="15"/>
      <c r="DG5" s="74"/>
      <c r="DI5" s="13" t="s">
        <v>97</v>
      </c>
      <c r="DJ5" s="16"/>
      <c r="DK5" s="15"/>
      <c r="DL5" s="74"/>
      <c r="DN5" s="42" t="s">
        <v>129</v>
      </c>
      <c r="DO5" s="16"/>
      <c r="DP5" s="15"/>
      <c r="DQ5" s="74"/>
      <c r="DR5" s="43"/>
      <c r="DS5" s="13" t="s">
        <v>29</v>
      </c>
      <c r="DT5" s="16"/>
      <c r="DU5" s="15"/>
      <c r="DV5" s="74"/>
      <c r="DW5" s="44"/>
    </row>
    <row r="6" spans="1:127" ht="12">
      <c r="A6" s="22" t="s">
        <v>13</v>
      </c>
      <c r="B6" s="8"/>
      <c r="C6" s="42" t="s">
        <v>135</v>
      </c>
      <c r="D6" s="14"/>
      <c r="E6" s="41"/>
      <c r="F6" s="31" t="s">
        <v>159</v>
      </c>
      <c r="H6" s="23">
        <f>M6+R6+W6+AG6+AL6+AQ6+AV6+BA6+BF6+BK6+BU6+BZ6+CE6+CJ6+CT6+CY6+DD6+DI6+DN6+DS6+CO6</f>
        <v>0.027609599999999998</v>
      </c>
      <c r="I6" s="24">
        <f>N6+S6+X6+AH6+AM6+AR6+AW6+BB6+BG6+BL6+BV6+CA6+CF6+CK6+CU6+CZ6+DE6+DJ6+DO6+DT6+CP6</f>
        <v>0.11840270000000001</v>
      </c>
      <c r="J6" s="25">
        <f>O6+T6+Y6+AI6+AN6+BC6+BH6+BM6+BW6+CB6+CV6+DA6+DP6+AS6+AX6+CG6+DF6+DK6+DU6+CL6+AD6+BR6+CQ6</f>
        <v>0.15072199999999997</v>
      </c>
      <c r="K6" s="31" t="s">
        <v>159</v>
      </c>
      <c r="M6" s="45">
        <v>0.0100458</v>
      </c>
      <c r="N6" s="8">
        <v>0.052307</v>
      </c>
      <c r="O6" s="25">
        <v>0.0626544</v>
      </c>
      <c r="P6" s="31" t="s">
        <v>159</v>
      </c>
      <c r="R6" s="45">
        <v>2.65E-05</v>
      </c>
      <c r="S6" s="8">
        <v>2.66E-05</v>
      </c>
      <c r="T6" s="25">
        <v>2.77E-05</v>
      </c>
      <c r="U6" s="31" t="s">
        <v>159</v>
      </c>
      <c r="W6" s="45">
        <v>3.72E-05</v>
      </c>
      <c r="X6" s="8">
        <v>0.0011716</v>
      </c>
      <c r="Y6" s="25">
        <v>0.0012403</v>
      </c>
      <c r="Z6" s="31" t="s">
        <v>159</v>
      </c>
      <c r="AB6" s="45">
        <v>0</v>
      </c>
      <c r="AC6" s="8">
        <v>0</v>
      </c>
      <c r="AD6" s="25">
        <v>0.0007469</v>
      </c>
      <c r="AE6" s="31" t="s">
        <v>159</v>
      </c>
      <c r="AG6" s="45">
        <v>0.0016866</v>
      </c>
      <c r="AH6" s="8">
        <v>0.0049811</v>
      </c>
      <c r="AI6" s="25">
        <v>0.005551</v>
      </c>
      <c r="AJ6" s="31" t="s">
        <v>159</v>
      </c>
      <c r="AL6" s="45">
        <v>0.0002723</v>
      </c>
      <c r="AM6" s="8">
        <v>0.0006498</v>
      </c>
      <c r="AN6" s="25">
        <v>0.0017202</v>
      </c>
      <c r="AO6" s="31" t="s">
        <v>159</v>
      </c>
      <c r="AQ6" s="45">
        <v>0.0010803</v>
      </c>
      <c r="AR6" s="8">
        <v>0.0029386</v>
      </c>
      <c r="AS6" s="25">
        <v>0.0032386</v>
      </c>
      <c r="AT6" s="31" t="s">
        <v>159</v>
      </c>
      <c r="AV6" s="45">
        <v>5.25E-05</v>
      </c>
      <c r="AW6" s="8">
        <v>0.0004128</v>
      </c>
      <c r="AX6" s="25">
        <v>0.0006858</v>
      </c>
      <c r="AY6" s="31" t="s">
        <v>159</v>
      </c>
      <c r="BA6" s="45">
        <v>0.0002484</v>
      </c>
      <c r="BB6" s="8">
        <v>0.0077563</v>
      </c>
      <c r="BC6" s="25">
        <v>0.0122283</v>
      </c>
      <c r="BD6" s="31" t="s">
        <v>159</v>
      </c>
      <c r="BF6" s="45">
        <v>0.0054241</v>
      </c>
      <c r="BG6" s="8">
        <v>0.00544</v>
      </c>
      <c r="BH6" s="25">
        <v>0.0056618</v>
      </c>
      <c r="BI6" s="31" t="s">
        <v>159</v>
      </c>
      <c r="BK6" s="45">
        <v>0.0004603</v>
      </c>
      <c r="BL6" s="8">
        <v>0.0013952</v>
      </c>
      <c r="BM6" s="25">
        <v>0.0027116</v>
      </c>
      <c r="BN6" s="31" t="s">
        <v>159</v>
      </c>
      <c r="BP6" s="45">
        <v>0</v>
      </c>
      <c r="BQ6" s="8">
        <v>0</v>
      </c>
      <c r="BR6" s="25">
        <v>0.0004001</v>
      </c>
      <c r="BS6" s="31" t="s">
        <v>159</v>
      </c>
      <c r="BU6" s="45">
        <v>0.0008507</v>
      </c>
      <c r="BV6" s="8">
        <v>0.0015946</v>
      </c>
      <c r="BW6" s="25">
        <v>0.0017739</v>
      </c>
      <c r="BX6" s="31" t="s">
        <v>159</v>
      </c>
      <c r="BZ6" s="45">
        <v>4.45E-05</v>
      </c>
      <c r="CA6" s="8">
        <v>8.15E-05</v>
      </c>
      <c r="CB6" s="25">
        <v>0.0002443</v>
      </c>
      <c r="CC6" s="31" t="s">
        <v>159</v>
      </c>
      <c r="CE6" s="45">
        <v>0.0001117</v>
      </c>
      <c r="CF6" s="8">
        <v>0.003689</v>
      </c>
      <c r="CG6" s="25">
        <v>0.0050964</v>
      </c>
      <c r="CH6" s="31" t="s">
        <v>159</v>
      </c>
      <c r="CJ6" s="45">
        <v>0.0005897</v>
      </c>
      <c r="CK6" s="8">
        <v>0.0006701</v>
      </c>
      <c r="CL6" s="25">
        <v>0.0009872</v>
      </c>
      <c r="CM6" s="31" t="s">
        <v>159</v>
      </c>
      <c r="CO6" s="45">
        <v>0</v>
      </c>
      <c r="CP6" s="24">
        <v>0.0007801</v>
      </c>
      <c r="CQ6" s="25">
        <v>0.0013061</v>
      </c>
      <c r="CR6" s="31" t="s">
        <v>159</v>
      </c>
      <c r="CT6" s="45">
        <v>0.0010986</v>
      </c>
      <c r="CU6" s="24">
        <v>0.0017139</v>
      </c>
      <c r="CV6" s="25">
        <v>0.0042458</v>
      </c>
      <c r="CW6" s="31" t="s">
        <v>159</v>
      </c>
      <c r="CY6" s="45">
        <v>0.0015892</v>
      </c>
      <c r="CZ6" s="24">
        <v>0.0015939</v>
      </c>
      <c r="DA6" s="25">
        <v>0.0024961</v>
      </c>
      <c r="DB6" s="31" t="s">
        <v>159</v>
      </c>
      <c r="DD6" s="45">
        <v>0.0003515</v>
      </c>
      <c r="DE6" s="24">
        <v>0.0019244</v>
      </c>
      <c r="DF6" s="25">
        <v>0.0028177</v>
      </c>
      <c r="DG6" s="31" t="s">
        <v>159</v>
      </c>
      <c r="DI6" s="45">
        <v>0.0020374</v>
      </c>
      <c r="DJ6" s="24">
        <v>0.0271257</v>
      </c>
      <c r="DK6" s="25">
        <v>0.0326233</v>
      </c>
      <c r="DL6" s="31" t="s">
        <v>159</v>
      </c>
      <c r="DN6" s="45">
        <v>0.0011508</v>
      </c>
      <c r="DO6" s="24">
        <v>0.0011542</v>
      </c>
      <c r="DP6" s="25">
        <v>0.0012012</v>
      </c>
      <c r="DQ6" s="31" t="s">
        <v>159</v>
      </c>
      <c r="DR6" s="43"/>
      <c r="DS6" s="45">
        <v>0.0004515</v>
      </c>
      <c r="DT6" s="24">
        <v>0.0009963</v>
      </c>
      <c r="DU6" s="25">
        <v>0.0010633</v>
      </c>
      <c r="DV6" s="31" t="s">
        <v>159</v>
      </c>
      <c r="DW6" s="44"/>
    </row>
    <row r="7" spans="1:128" ht="12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1" t="s">
        <v>14</v>
      </c>
      <c r="S7" s="31" t="s">
        <v>15</v>
      </c>
      <c r="T7" s="31" t="s">
        <v>16</v>
      </c>
      <c r="U7" s="31" t="s">
        <v>160</v>
      </c>
      <c r="W7" s="31" t="s">
        <v>14</v>
      </c>
      <c r="X7" s="31" t="s">
        <v>15</v>
      </c>
      <c r="Y7" s="31" t="s">
        <v>16</v>
      </c>
      <c r="Z7" s="31" t="s">
        <v>160</v>
      </c>
      <c r="AB7" s="31" t="s">
        <v>14</v>
      </c>
      <c r="AC7" s="31" t="s">
        <v>15</v>
      </c>
      <c r="AD7" s="31" t="s">
        <v>16</v>
      </c>
      <c r="AE7" s="31" t="s">
        <v>160</v>
      </c>
      <c r="AG7" s="31" t="s">
        <v>14</v>
      </c>
      <c r="AH7" s="31" t="s">
        <v>15</v>
      </c>
      <c r="AI7" s="31" t="s">
        <v>16</v>
      </c>
      <c r="AJ7" s="31" t="s">
        <v>160</v>
      </c>
      <c r="AL7" s="31" t="s">
        <v>14</v>
      </c>
      <c r="AM7" s="31" t="s">
        <v>15</v>
      </c>
      <c r="AN7" s="31" t="s">
        <v>16</v>
      </c>
      <c r="AO7" s="31" t="s">
        <v>160</v>
      </c>
      <c r="AQ7" s="31" t="s">
        <v>14</v>
      </c>
      <c r="AR7" s="31" t="s">
        <v>15</v>
      </c>
      <c r="AS7" s="31" t="s">
        <v>16</v>
      </c>
      <c r="AT7" s="31" t="s">
        <v>160</v>
      </c>
      <c r="AV7" s="31" t="s">
        <v>14</v>
      </c>
      <c r="AW7" s="31" t="s">
        <v>15</v>
      </c>
      <c r="AX7" s="31" t="s">
        <v>16</v>
      </c>
      <c r="AY7" s="31" t="s">
        <v>160</v>
      </c>
      <c r="BA7" s="31" t="s">
        <v>14</v>
      </c>
      <c r="BB7" s="31" t="s">
        <v>15</v>
      </c>
      <c r="BC7" s="31" t="s">
        <v>16</v>
      </c>
      <c r="BD7" s="31" t="s">
        <v>160</v>
      </c>
      <c r="BF7" s="31" t="s">
        <v>14</v>
      </c>
      <c r="BG7" s="31" t="s">
        <v>15</v>
      </c>
      <c r="BH7" s="31" t="s">
        <v>16</v>
      </c>
      <c r="BI7" s="31" t="s">
        <v>160</v>
      </c>
      <c r="BK7" s="31" t="s">
        <v>14</v>
      </c>
      <c r="BL7" s="31" t="s">
        <v>15</v>
      </c>
      <c r="BM7" s="31" t="s">
        <v>16</v>
      </c>
      <c r="BN7" s="31" t="s">
        <v>160</v>
      </c>
      <c r="BP7" s="31" t="s">
        <v>14</v>
      </c>
      <c r="BQ7" s="31" t="s">
        <v>15</v>
      </c>
      <c r="BR7" s="31" t="s">
        <v>16</v>
      </c>
      <c r="BS7" s="31" t="s">
        <v>160</v>
      </c>
      <c r="BU7" s="31" t="s">
        <v>14</v>
      </c>
      <c r="BV7" s="31" t="s">
        <v>15</v>
      </c>
      <c r="BW7" s="31" t="s">
        <v>16</v>
      </c>
      <c r="BX7" s="31" t="s">
        <v>160</v>
      </c>
      <c r="BZ7" s="31" t="s">
        <v>14</v>
      </c>
      <c r="CA7" s="31" t="s">
        <v>15</v>
      </c>
      <c r="CB7" s="31" t="s">
        <v>16</v>
      </c>
      <c r="CC7" s="31" t="s">
        <v>160</v>
      </c>
      <c r="CE7" s="31" t="s">
        <v>14</v>
      </c>
      <c r="CF7" s="31" t="s">
        <v>15</v>
      </c>
      <c r="CG7" s="31" t="s">
        <v>16</v>
      </c>
      <c r="CH7" s="31" t="s">
        <v>160</v>
      </c>
      <c r="CJ7" s="31" t="s">
        <v>14</v>
      </c>
      <c r="CK7" s="31" t="s">
        <v>15</v>
      </c>
      <c r="CL7" s="31" t="s">
        <v>16</v>
      </c>
      <c r="CM7" s="31" t="s">
        <v>160</v>
      </c>
      <c r="CO7" s="31" t="s">
        <v>14</v>
      </c>
      <c r="CP7" s="31" t="s">
        <v>15</v>
      </c>
      <c r="CQ7" s="31" t="s">
        <v>16</v>
      </c>
      <c r="CR7" s="31" t="s">
        <v>160</v>
      </c>
      <c r="CT7" s="31" t="s">
        <v>14</v>
      </c>
      <c r="CU7" s="31" t="s">
        <v>15</v>
      </c>
      <c r="CV7" s="31" t="s">
        <v>16</v>
      </c>
      <c r="CW7" s="31" t="s">
        <v>160</v>
      </c>
      <c r="CY7" s="31" t="s">
        <v>14</v>
      </c>
      <c r="CZ7" s="31" t="s">
        <v>15</v>
      </c>
      <c r="DA7" s="31" t="s">
        <v>16</v>
      </c>
      <c r="DB7" s="31" t="s">
        <v>160</v>
      </c>
      <c r="DD7" s="31" t="s">
        <v>14</v>
      </c>
      <c r="DE7" s="31" t="s">
        <v>15</v>
      </c>
      <c r="DF7" s="31" t="s">
        <v>16</v>
      </c>
      <c r="DG7" s="31" t="s">
        <v>160</v>
      </c>
      <c r="DI7" s="31" t="s">
        <v>14</v>
      </c>
      <c r="DJ7" s="31" t="s">
        <v>15</v>
      </c>
      <c r="DK7" s="31" t="s">
        <v>16</v>
      </c>
      <c r="DL7" s="31" t="s">
        <v>160</v>
      </c>
      <c r="DN7" s="31" t="s">
        <v>14</v>
      </c>
      <c r="DO7" s="31" t="s">
        <v>15</v>
      </c>
      <c r="DP7" s="31" t="s">
        <v>16</v>
      </c>
      <c r="DQ7" s="31" t="s">
        <v>160</v>
      </c>
      <c r="DR7" s="46"/>
      <c r="DS7" s="31" t="s">
        <v>14</v>
      </c>
      <c r="DT7" s="31" t="s">
        <v>15</v>
      </c>
      <c r="DU7" s="31" t="s">
        <v>16</v>
      </c>
      <c r="DV7" s="31" t="s">
        <v>160</v>
      </c>
      <c r="DW7" s="73"/>
      <c r="DX7" s="34"/>
    </row>
    <row r="8" spans="1:126" ht="12">
      <c r="A8" s="37">
        <v>41913</v>
      </c>
      <c r="D8" s="3">
        <v>2361475</v>
      </c>
      <c r="E8" s="35">
        <f aca="true" t="shared" si="0" ref="E8:E41">C8+D8</f>
        <v>2361475</v>
      </c>
      <c r="F8" s="35">
        <f>'2011A'!F8</f>
        <v>280412</v>
      </c>
      <c r="H8" s="47"/>
      <c r="I8" s="36">
        <f aca="true" t="shared" si="1" ref="I8:I41">N8+S8+AH8+AM8+BB8+BG8+BL8+BV8+CA8+CF8+CU8+CZ8+DO8+X8+AR8+AW8+DE8+DJ8+DT8+CK8+CP8+AC8+BQ8</f>
        <v>355926.2349500001</v>
      </c>
      <c r="J8" s="36">
        <f aca="true" t="shared" si="2" ref="J8:J41">H8+I8</f>
        <v>355926.2349500001</v>
      </c>
      <c r="K8" s="36">
        <f aca="true" t="shared" si="3" ref="K8:K41">P8+U8+AJ8+AO8+BD8+BI8+BN8+BX8+CC8+CH8+CW8+DB8+DQ8+Z8+AT8+AY8+DG8+DL8+DV8+CM8+CR8+AE8+BS8</f>
        <v>42264.25746400001</v>
      </c>
      <c r="N8" s="5">
        <f aca="true" t="shared" si="4" ref="N8:N41">D8*$O$6</f>
        <v>147956.79924</v>
      </c>
      <c r="O8" s="5">
        <f aca="true" t="shared" si="5" ref="O8:O41">M8+N8</f>
        <v>147956.79924</v>
      </c>
      <c r="P8" s="35">
        <f aca="true" t="shared" si="6" ref="P8:P41">O$6*$F8</f>
        <v>17569.0456128</v>
      </c>
      <c r="S8" s="36">
        <f aca="true" t="shared" si="7" ref="S8:S41">D8*$T$6</f>
        <v>65.4128575</v>
      </c>
      <c r="T8" s="36">
        <f aca="true" t="shared" si="8" ref="T8:T41">R8+S8</f>
        <v>65.4128575</v>
      </c>
      <c r="U8" s="35">
        <f aca="true" t="shared" si="9" ref="U8:U41">T$6*$F8</f>
        <v>7.7674123999999996</v>
      </c>
      <c r="X8" s="5">
        <f aca="true" t="shared" si="10" ref="X8:X41">D8*$Y$6</f>
        <v>2928.9374425</v>
      </c>
      <c r="Y8" s="5">
        <f aca="true" t="shared" si="11" ref="Y8:Y15">W8+X8</f>
        <v>2928.9374425</v>
      </c>
      <c r="Z8" s="35">
        <f aca="true" t="shared" si="12" ref="Z8:Z41">Y$6*$F8</f>
        <v>347.7950036</v>
      </c>
      <c r="AC8" s="5">
        <f aca="true" t="shared" si="13" ref="AC8:AC41">D8*$AD$6</f>
        <v>1763.7856775</v>
      </c>
      <c r="AD8" s="5">
        <f aca="true" t="shared" si="14" ref="AD8:AD41">AB8+AC8</f>
        <v>1763.7856775</v>
      </c>
      <c r="AE8" s="35">
        <f aca="true" t="shared" si="15" ref="AE8:AE41">AD$6*$F8</f>
        <v>209.4397228</v>
      </c>
      <c r="AH8" s="5">
        <f aca="true" t="shared" si="16" ref="AH8:AH41">D8*$AI$6</f>
        <v>13108.547725</v>
      </c>
      <c r="AI8" s="5">
        <f aca="true" t="shared" si="17" ref="AI8:AI41">AG8+AH8</f>
        <v>13108.547725</v>
      </c>
      <c r="AJ8" s="35">
        <f aca="true" t="shared" si="18" ref="AJ8:AJ41">AI$6*$F8</f>
        <v>1556.5670120000002</v>
      </c>
      <c r="AM8" s="5">
        <f aca="true" t="shared" si="19" ref="AM8:AM41">D8*$AN$6</f>
        <v>4062.209295</v>
      </c>
      <c r="AN8" s="5">
        <f aca="true" t="shared" si="20" ref="AN8:AN41">AL8+AM8</f>
        <v>4062.209295</v>
      </c>
      <c r="AO8" s="35">
        <f aca="true" t="shared" si="21" ref="AO8:AO41">AN$6*$F8</f>
        <v>482.3647224</v>
      </c>
      <c r="AR8" s="5">
        <f aca="true" t="shared" si="22" ref="AR8:AR41">D8*$AS$6</f>
        <v>7647.872934999999</v>
      </c>
      <c r="AS8" s="5">
        <f aca="true" t="shared" si="23" ref="AS8:AS41">AQ8+AR8</f>
        <v>7647.872934999999</v>
      </c>
      <c r="AT8" s="35">
        <f aca="true" t="shared" si="24" ref="AT8:AT41">AS$6*$F8</f>
        <v>908.1423032</v>
      </c>
      <c r="AW8" s="5">
        <f aca="true" t="shared" si="25" ref="AW8:AW41">D8*$AX$6</f>
        <v>1619.4995549999999</v>
      </c>
      <c r="AX8" s="5">
        <f aca="true" t="shared" si="26" ref="AX8:AX41">AV8+AW8</f>
        <v>1619.4995549999999</v>
      </c>
      <c r="AY8" s="35">
        <f aca="true" t="shared" si="27" ref="AY8:AY41">AX$6*$F8</f>
        <v>192.30654959999998</v>
      </c>
      <c r="BB8" s="5">
        <f aca="true" t="shared" si="28" ref="BB8:BB41">D8*$BC$6</f>
        <v>28876.824742499997</v>
      </c>
      <c r="BC8" s="5">
        <f aca="true" t="shared" si="29" ref="BC8:BC41">BA8+BB8</f>
        <v>28876.824742499997</v>
      </c>
      <c r="BD8" s="35">
        <f aca="true" t="shared" si="30" ref="BD8:BD41">BC$6*$F8</f>
        <v>3428.9620596</v>
      </c>
      <c r="BF8" s="36"/>
      <c r="BG8" s="5">
        <f aca="true" t="shared" si="31" ref="BG8:BG41">D8*$BH$6</f>
        <v>13370.199155</v>
      </c>
      <c r="BH8" s="36">
        <f aca="true" t="shared" si="32" ref="BH8:BH41">BF8+BG8</f>
        <v>13370.199155</v>
      </c>
      <c r="BI8" s="35">
        <f aca="true" t="shared" si="33" ref="BI8:BI41">BH$6*$F8</f>
        <v>1587.6366616</v>
      </c>
      <c r="BL8" s="5">
        <f aca="true" t="shared" si="34" ref="BL8:BL41">D8*$BM$6</f>
        <v>6403.37561</v>
      </c>
      <c r="BM8" s="5">
        <f aca="true" t="shared" si="35" ref="BM8:BM41">BK8+BL8</f>
        <v>6403.37561</v>
      </c>
      <c r="BN8" s="35">
        <f aca="true" t="shared" si="36" ref="BN8:BN41">BM$6*$F8</f>
        <v>760.3651792000001</v>
      </c>
      <c r="BP8" s="5">
        <f aca="true" t="shared" si="37" ref="BP8:BP41">C8*$BR$6</f>
        <v>0</v>
      </c>
      <c r="BQ8" s="5">
        <f aca="true" t="shared" si="38" ref="BQ8:BQ41">D8*$BR$6</f>
        <v>944.8261475</v>
      </c>
      <c r="BR8" s="5">
        <f aca="true" t="shared" si="39" ref="BR8:BR41">BP8+BQ8</f>
        <v>944.8261475</v>
      </c>
      <c r="BS8" s="35">
        <f aca="true" t="shared" si="40" ref="BS8:BS41">BR$6*$F8</f>
        <v>112.1928412</v>
      </c>
      <c r="BV8" s="5">
        <f aca="true" t="shared" si="41" ref="BV8:BV41">D8*$BW$6</f>
        <v>4189.0205025</v>
      </c>
      <c r="BW8" s="5">
        <f aca="true" t="shared" si="42" ref="BW8:BW41">BU8+BV8</f>
        <v>4189.0205025</v>
      </c>
      <c r="BX8" s="35">
        <f aca="true" t="shared" si="43" ref="BX8:BX41">BW$6*$F8</f>
        <v>497.4228468</v>
      </c>
      <c r="CA8" s="5">
        <f aca="true" t="shared" si="44" ref="CA8:CA41">D8*$CB$6</f>
        <v>576.9083424999999</v>
      </c>
      <c r="CB8" s="5">
        <f aca="true" t="shared" si="45" ref="CB8:CB41">BZ8+CA8</f>
        <v>576.9083424999999</v>
      </c>
      <c r="CC8" s="35">
        <f aca="true" t="shared" si="46" ref="CC8:CC41">CB$6*$F8</f>
        <v>68.50465159999999</v>
      </c>
      <c r="CF8" s="5">
        <f aca="true" t="shared" si="47" ref="CF8:CF41">D8*$CG$6</f>
        <v>12035.02119</v>
      </c>
      <c r="CG8" s="5">
        <f aca="true" t="shared" si="48" ref="CG8:CG41">CE8+CF8</f>
        <v>12035.02119</v>
      </c>
      <c r="CH8" s="35">
        <f aca="true" t="shared" si="49" ref="CH8:CH41">CG$6*$F8</f>
        <v>1429.0917168</v>
      </c>
      <c r="CK8" s="5">
        <f aca="true" t="shared" si="50" ref="CK8:CK41">D8*$CL$6</f>
        <v>2331.2481199999997</v>
      </c>
      <c r="CL8" s="5">
        <f aca="true" t="shared" si="51" ref="CL8:CL41">CJ8+CK8</f>
        <v>2331.2481199999997</v>
      </c>
      <c r="CM8" s="35">
        <f aca="true" t="shared" si="52" ref="CM8:CM41">CL$6*$F8</f>
        <v>276.82272639999996</v>
      </c>
      <c r="CP8" s="5">
        <f aca="true" t="shared" si="53" ref="CP8:CP41">D8*$CQ$6</f>
        <v>3084.3224975</v>
      </c>
      <c r="CQ8" s="36">
        <f aca="true" t="shared" si="54" ref="CQ8:CQ41">CO8+CP8</f>
        <v>3084.3224975</v>
      </c>
      <c r="CR8" s="35">
        <f aca="true" t="shared" si="55" ref="CR8:CR41">CQ$6*$F8</f>
        <v>366.24611319999997</v>
      </c>
      <c r="CU8" s="5">
        <f aca="true" t="shared" si="56" ref="CU8:CU41">D8*$CV$6</f>
        <v>10026.350555</v>
      </c>
      <c r="CV8" s="36">
        <f aca="true" t="shared" si="57" ref="CV8:CV41">CT8+CU8</f>
        <v>10026.350555</v>
      </c>
      <c r="CW8" s="35">
        <f aca="true" t="shared" si="58" ref="CW8:CW41">CV$6*$F8</f>
        <v>1190.5732696</v>
      </c>
      <c r="CZ8" s="5">
        <f aca="true" t="shared" si="59" ref="CZ8:CZ41">D8*$DA$6</f>
        <v>5894.477747499999</v>
      </c>
      <c r="DA8" s="5">
        <f aca="true" t="shared" si="60" ref="DA8:DA41">CY8+CZ8</f>
        <v>5894.477747499999</v>
      </c>
      <c r="DB8" s="35">
        <f aca="true" t="shared" si="61" ref="DB8:DB41">DA$6*$F8</f>
        <v>699.9363932</v>
      </c>
      <c r="DE8" s="5">
        <f aca="true" t="shared" si="62" ref="DE8:DE41">D8*$DF$6</f>
        <v>6653.9281075</v>
      </c>
      <c r="DF8" s="5">
        <f aca="true" t="shared" si="63" ref="DF8:DF41">DD8+DE8</f>
        <v>6653.9281075</v>
      </c>
      <c r="DG8" s="35">
        <f aca="true" t="shared" si="64" ref="DG8:DG41">DF$6*$F8</f>
        <v>790.1168924</v>
      </c>
      <c r="DJ8" s="5">
        <f aca="true" t="shared" si="65" ref="DJ8:DJ41">D8*$DK$6</f>
        <v>77039.10736750001</v>
      </c>
      <c r="DK8" s="5">
        <f aca="true" t="shared" si="66" ref="DK8:DK41">DI8+DJ8</f>
        <v>77039.10736750001</v>
      </c>
      <c r="DL8" s="35">
        <f aca="true" t="shared" si="67" ref="DL8:DL41">DK$6*$F8</f>
        <v>9147.9647996</v>
      </c>
      <c r="DO8" s="5">
        <f aca="true" t="shared" si="68" ref="DO8:DO41">D8*$DP$6</f>
        <v>2836.6037699999997</v>
      </c>
      <c r="DP8" s="36">
        <f aca="true" t="shared" si="69" ref="DP8:DP41">DN8+DO8</f>
        <v>2836.6037699999997</v>
      </c>
      <c r="DQ8" s="35">
        <f aca="true" t="shared" si="70" ref="DQ8:DQ41">DP$6*$F8</f>
        <v>336.8308944</v>
      </c>
      <c r="DT8" s="36">
        <f aca="true" t="shared" si="71" ref="DT8:DT41">D8*$DU$6</f>
        <v>2510.9563675000004</v>
      </c>
      <c r="DU8" s="36">
        <f aca="true" t="shared" si="72" ref="DU8:DU41">DS8+DT8</f>
        <v>2510.9563675000004</v>
      </c>
      <c r="DV8" s="35">
        <f aca="true" t="shared" si="73" ref="DV8:DV41">DU$6*$F8</f>
        <v>298.1620796</v>
      </c>
    </row>
    <row r="9" spans="1:126" ht="12">
      <c r="A9" s="37">
        <v>42095</v>
      </c>
      <c r="C9" s="3">
        <v>4130000</v>
      </c>
      <c r="D9" s="3">
        <v>2361475</v>
      </c>
      <c r="E9" s="35">
        <f t="shared" si="0"/>
        <v>6491475</v>
      </c>
      <c r="F9" s="35">
        <f>'2011A'!F9</f>
        <v>280412</v>
      </c>
      <c r="H9" s="47">
        <f aca="true" t="shared" si="74" ref="H9:H41">M9+R9+W9+AG9+AL9+BA9+BF9+BK9+BU9+BZ9+CT9+DN9+AQ9+AV9+CE9+CY9+DD9+DI9+DS9+CJ9+CO9+AB9+BP9</f>
        <v>622481.8599999999</v>
      </c>
      <c r="I9" s="36">
        <f t="shared" si="1"/>
        <v>355926.2349500001</v>
      </c>
      <c r="J9" s="36">
        <f t="shared" si="2"/>
        <v>978408.0949499999</v>
      </c>
      <c r="K9" s="36">
        <f t="shared" si="3"/>
        <v>42264.25746400001</v>
      </c>
      <c r="M9" s="5">
        <f aca="true" t="shared" si="75" ref="M9:M41">C9*$O$6</f>
        <v>258762.672</v>
      </c>
      <c r="N9" s="5">
        <f t="shared" si="4"/>
        <v>147956.79924</v>
      </c>
      <c r="O9" s="5">
        <f t="shared" si="5"/>
        <v>406719.47124</v>
      </c>
      <c r="P9" s="35">
        <f t="shared" si="6"/>
        <v>17569.0456128</v>
      </c>
      <c r="R9" s="5">
        <f aca="true" t="shared" si="76" ref="R9:R41">C9*$T$6</f>
        <v>114.401</v>
      </c>
      <c r="S9" s="36">
        <f t="shared" si="7"/>
        <v>65.4128575</v>
      </c>
      <c r="T9" s="36">
        <f t="shared" si="8"/>
        <v>179.81385749999998</v>
      </c>
      <c r="U9" s="35">
        <f t="shared" si="9"/>
        <v>7.7674123999999996</v>
      </c>
      <c r="W9" s="5">
        <f aca="true" t="shared" si="77" ref="W9:W41">C9*$Y$6</f>
        <v>5122.438999999999</v>
      </c>
      <c r="X9" s="5">
        <f t="shared" si="10"/>
        <v>2928.9374425</v>
      </c>
      <c r="Y9" s="5">
        <f t="shared" si="11"/>
        <v>8051.376442499999</v>
      </c>
      <c r="Z9" s="35">
        <f t="shared" si="12"/>
        <v>347.7950036</v>
      </c>
      <c r="AB9" s="5">
        <f aca="true" t="shared" si="78" ref="AB9:AB41">C9*$AD$6</f>
        <v>3084.697</v>
      </c>
      <c r="AC9" s="5">
        <f t="shared" si="13"/>
        <v>1763.7856775</v>
      </c>
      <c r="AD9" s="5">
        <f t="shared" si="14"/>
        <v>4848.4826775</v>
      </c>
      <c r="AE9" s="35">
        <f t="shared" si="15"/>
        <v>209.4397228</v>
      </c>
      <c r="AG9" s="5">
        <f aca="true" t="shared" si="79" ref="AG9:AG41">C9*$AI$6</f>
        <v>22925.63</v>
      </c>
      <c r="AH9" s="5">
        <f t="shared" si="16"/>
        <v>13108.547725</v>
      </c>
      <c r="AI9" s="5">
        <f t="shared" si="17"/>
        <v>36034.177725</v>
      </c>
      <c r="AJ9" s="35">
        <f t="shared" si="18"/>
        <v>1556.5670120000002</v>
      </c>
      <c r="AL9" s="5">
        <f aca="true" t="shared" si="80" ref="AL9:AL41">C9*$AN$6</f>
        <v>7104.426</v>
      </c>
      <c r="AM9" s="5">
        <f t="shared" si="19"/>
        <v>4062.209295</v>
      </c>
      <c r="AN9" s="5">
        <f t="shared" si="20"/>
        <v>11166.635295</v>
      </c>
      <c r="AO9" s="35">
        <f t="shared" si="21"/>
        <v>482.3647224</v>
      </c>
      <c r="AQ9" s="5">
        <f aca="true" t="shared" si="81" ref="AQ9:AQ41">C9*$AS$6</f>
        <v>13375.418</v>
      </c>
      <c r="AR9" s="5">
        <f t="shared" si="22"/>
        <v>7647.872934999999</v>
      </c>
      <c r="AS9" s="5">
        <f t="shared" si="23"/>
        <v>21023.290934999997</v>
      </c>
      <c r="AT9" s="35">
        <f t="shared" si="24"/>
        <v>908.1423032</v>
      </c>
      <c r="AV9" s="5">
        <f aca="true" t="shared" si="82" ref="AV9:AV41">C9*$AX$6</f>
        <v>2832.354</v>
      </c>
      <c r="AW9" s="5">
        <f t="shared" si="25"/>
        <v>1619.4995549999999</v>
      </c>
      <c r="AX9" s="5">
        <f t="shared" si="26"/>
        <v>4451.853555</v>
      </c>
      <c r="AY9" s="35">
        <f t="shared" si="27"/>
        <v>192.30654959999998</v>
      </c>
      <c r="BA9" s="5">
        <f aca="true" t="shared" si="83" ref="BA9:BA41">C9*$BC$6</f>
        <v>50502.87899999999</v>
      </c>
      <c r="BB9" s="5">
        <f t="shared" si="28"/>
        <v>28876.824742499997</v>
      </c>
      <c r="BC9" s="5">
        <f t="shared" si="29"/>
        <v>79379.70374249999</v>
      </c>
      <c r="BD9" s="35">
        <f t="shared" si="30"/>
        <v>3428.9620596</v>
      </c>
      <c r="BF9" s="36">
        <f aca="true" t="shared" si="84" ref="BF9:BF41">C9*$BH$6</f>
        <v>23383.234</v>
      </c>
      <c r="BG9" s="5">
        <f t="shared" si="31"/>
        <v>13370.199155</v>
      </c>
      <c r="BH9" s="36">
        <f t="shared" si="32"/>
        <v>36753.433155</v>
      </c>
      <c r="BI9" s="35">
        <f t="shared" si="33"/>
        <v>1587.6366616</v>
      </c>
      <c r="BK9" s="5">
        <f aca="true" t="shared" si="85" ref="BK9:BK41">C9*$BM$6</f>
        <v>11198.908000000001</v>
      </c>
      <c r="BL9" s="5">
        <f t="shared" si="34"/>
        <v>6403.37561</v>
      </c>
      <c r="BM9" s="5">
        <f t="shared" si="35"/>
        <v>17602.283610000002</v>
      </c>
      <c r="BN9" s="35">
        <f t="shared" si="36"/>
        <v>760.3651792000001</v>
      </c>
      <c r="BP9" s="5">
        <f t="shared" si="37"/>
        <v>1652.413</v>
      </c>
      <c r="BQ9" s="5">
        <f t="shared" si="38"/>
        <v>944.8261475</v>
      </c>
      <c r="BR9" s="5">
        <f t="shared" si="39"/>
        <v>2597.2391475</v>
      </c>
      <c r="BS9" s="35">
        <f t="shared" si="40"/>
        <v>112.1928412</v>
      </c>
      <c r="BU9" s="5">
        <f aca="true" t="shared" si="86" ref="BU9:BU41">C9*$BW$6</f>
        <v>7326.206999999999</v>
      </c>
      <c r="BV9" s="5">
        <f t="shared" si="41"/>
        <v>4189.0205025</v>
      </c>
      <c r="BW9" s="5">
        <f t="shared" si="42"/>
        <v>11515.227502499998</v>
      </c>
      <c r="BX9" s="35">
        <f t="shared" si="43"/>
        <v>497.4228468</v>
      </c>
      <c r="BZ9" s="5">
        <f aca="true" t="shared" si="87" ref="BZ9:BZ41">C9*$CB$6</f>
        <v>1008.959</v>
      </c>
      <c r="CA9" s="5">
        <f t="shared" si="44"/>
        <v>576.9083424999999</v>
      </c>
      <c r="CB9" s="5">
        <f t="shared" si="45"/>
        <v>1585.8673424999997</v>
      </c>
      <c r="CC9" s="35">
        <f t="shared" si="46"/>
        <v>68.50465159999999</v>
      </c>
      <c r="CE9" s="5">
        <f aca="true" t="shared" si="88" ref="CE9:CE41">C9*$CG$6</f>
        <v>21048.132</v>
      </c>
      <c r="CF9" s="5">
        <f t="shared" si="47"/>
        <v>12035.02119</v>
      </c>
      <c r="CG9" s="5">
        <f t="shared" si="48"/>
        <v>33083.15319</v>
      </c>
      <c r="CH9" s="35">
        <f t="shared" si="49"/>
        <v>1429.0917168</v>
      </c>
      <c r="CJ9" s="5">
        <f aca="true" t="shared" si="89" ref="CJ9:CJ41">C9*$CL$6</f>
        <v>4077.1359999999995</v>
      </c>
      <c r="CK9" s="5">
        <f t="shared" si="50"/>
        <v>2331.2481199999997</v>
      </c>
      <c r="CL9" s="5">
        <f t="shared" si="51"/>
        <v>6408.384119999999</v>
      </c>
      <c r="CM9" s="35">
        <f t="shared" si="52"/>
        <v>276.82272639999996</v>
      </c>
      <c r="CO9" s="5">
        <f aca="true" t="shared" si="90" ref="CO9:CO41">C9*$CQ$6</f>
        <v>5394.192999999999</v>
      </c>
      <c r="CP9" s="5">
        <f t="shared" si="53"/>
        <v>3084.3224975</v>
      </c>
      <c r="CQ9" s="36">
        <f t="shared" si="54"/>
        <v>8478.515497499999</v>
      </c>
      <c r="CR9" s="35">
        <f t="shared" si="55"/>
        <v>366.24611319999997</v>
      </c>
      <c r="CT9" s="5">
        <f aca="true" t="shared" si="91" ref="CT9:CT41">C9*$CV$6</f>
        <v>17535.154</v>
      </c>
      <c r="CU9" s="5">
        <f t="shared" si="56"/>
        <v>10026.350555</v>
      </c>
      <c r="CV9" s="36">
        <f t="shared" si="57"/>
        <v>27561.504555</v>
      </c>
      <c r="CW9" s="35">
        <f t="shared" si="58"/>
        <v>1190.5732696</v>
      </c>
      <c r="CY9" s="5">
        <f aca="true" t="shared" si="92" ref="CY9:CY41">C9*$DA$6</f>
        <v>10308.893</v>
      </c>
      <c r="CZ9" s="5">
        <f t="shared" si="59"/>
        <v>5894.477747499999</v>
      </c>
      <c r="DA9" s="5">
        <f t="shared" si="60"/>
        <v>16203.3707475</v>
      </c>
      <c r="DB9" s="35">
        <f t="shared" si="61"/>
        <v>699.9363932</v>
      </c>
      <c r="DD9" s="5">
        <f aca="true" t="shared" si="93" ref="DD9:DD41">C9*$DF$6</f>
        <v>11637.100999999999</v>
      </c>
      <c r="DE9" s="5">
        <f t="shared" si="62"/>
        <v>6653.9281075</v>
      </c>
      <c r="DF9" s="5">
        <f t="shared" si="63"/>
        <v>18291.0291075</v>
      </c>
      <c r="DG9" s="35">
        <f t="shared" si="64"/>
        <v>790.1168924</v>
      </c>
      <c r="DI9" s="5">
        <f aca="true" t="shared" si="94" ref="DI9:DI41">C9*$DK$6</f>
        <v>134734.229</v>
      </c>
      <c r="DJ9" s="5">
        <f t="shared" si="65"/>
        <v>77039.10736750001</v>
      </c>
      <c r="DK9" s="5">
        <f t="shared" si="66"/>
        <v>211773.33636750001</v>
      </c>
      <c r="DL9" s="35">
        <f t="shared" si="67"/>
        <v>9147.9647996</v>
      </c>
      <c r="DN9" s="5">
        <f aca="true" t="shared" si="95" ref="DN9:DN41">C9*$DP$6</f>
        <v>4960.956</v>
      </c>
      <c r="DO9" s="5">
        <f t="shared" si="68"/>
        <v>2836.6037699999997</v>
      </c>
      <c r="DP9" s="36">
        <f t="shared" si="69"/>
        <v>7797.55977</v>
      </c>
      <c r="DQ9" s="35">
        <f t="shared" si="70"/>
        <v>336.8308944</v>
      </c>
      <c r="DS9" s="5">
        <f aca="true" t="shared" si="96" ref="DS9:DS41">C9*$DU$6</f>
        <v>4391.429</v>
      </c>
      <c r="DT9" s="36">
        <f t="shared" si="71"/>
        <v>2510.9563675000004</v>
      </c>
      <c r="DU9" s="36">
        <f t="shared" si="72"/>
        <v>6902.385367500001</v>
      </c>
      <c r="DV9" s="35">
        <f t="shared" si="73"/>
        <v>298.1620796</v>
      </c>
    </row>
    <row r="10" spans="1:126" ht="12">
      <c r="A10" s="37">
        <v>42278</v>
      </c>
      <c r="D10" s="3">
        <v>2278875</v>
      </c>
      <c r="E10" s="35">
        <f t="shared" si="0"/>
        <v>2278875</v>
      </c>
      <c r="F10" s="35">
        <f>'2011A'!F10</f>
        <v>280412</v>
      </c>
      <c r="H10" s="47"/>
      <c r="I10" s="36">
        <f t="shared" si="1"/>
        <v>343476.5977499999</v>
      </c>
      <c r="J10" s="36">
        <f t="shared" si="2"/>
        <v>343476.5977499999</v>
      </c>
      <c r="K10" s="36">
        <f t="shared" si="3"/>
        <v>42264.25746400001</v>
      </c>
      <c r="N10" s="5">
        <f t="shared" si="4"/>
        <v>142781.5458</v>
      </c>
      <c r="O10" s="5">
        <f t="shared" si="5"/>
        <v>142781.5458</v>
      </c>
      <c r="P10" s="35">
        <f t="shared" si="6"/>
        <v>17569.0456128</v>
      </c>
      <c r="S10" s="36">
        <f t="shared" si="7"/>
        <v>63.1248375</v>
      </c>
      <c r="T10" s="36">
        <f t="shared" si="8"/>
        <v>63.1248375</v>
      </c>
      <c r="U10" s="35">
        <f t="shared" si="9"/>
        <v>7.7674123999999996</v>
      </c>
      <c r="X10" s="5">
        <f t="shared" si="10"/>
        <v>2826.4886625</v>
      </c>
      <c r="Y10" s="5">
        <f t="shared" si="11"/>
        <v>2826.4886625</v>
      </c>
      <c r="Z10" s="35">
        <f t="shared" si="12"/>
        <v>347.7950036</v>
      </c>
      <c r="AC10" s="5">
        <f t="shared" si="13"/>
        <v>1702.0917375</v>
      </c>
      <c r="AD10" s="5">
        <f t="shared" si="14"/>
        <v>1702.0917375</v>
      </c>
      <c r="AE10" s="35">
        <f t="shared" si="15"/>
        <v>209.4397228</v>
      </c>
      <c r="AH10" s="5">
        <f t="shared" si="16"/>
        <v>12650.035125</v>
      </c>
      <c r="AI10" s="5">
        <f t="shared" si="17"/>
        <v>12650.035125</v>
      </c>
      <c r="AJ10" s="35">
        <f t="shared" si="18"/>
        <v>1556.5670120000002</v>
      </c>
      <c r="AM10" s="5">
        <f t="shared" si="19"/>
        <v>3920.1207750000003</v>
      </c>
      <c r="AN10" s="5">
        <f t="shared" si="20"/>
        <v>3920.1207750000003</v>
      </c>
      <c r="AO10" s="35">
        <f t="shared" si="21"/>
        <v>482.3647224</v>
      </c>
      <c r="AR10" s="5">
        <f t="shared" si="22"/>
        <v>7380.364575</v>
      </c>
      <c r="AS10" s="5">
        <f t="shared" si="23"/>
        <v>7380.364575</v>
      </c>
      <c r="AT10" s="35">
        <f t="shared" si="24"/>
        <v>908.1423032</v>
      </c>
      <c r="AW10" s="5">
        <f t="shared" si="25"/>
        <v>1562.852475</v>
      </c>
      <c r="AX10" s="5">
        <f t="shared" si="26"/>
        <v>1562.852475</v>
      </c>
      <c r="AY10" s="35">
        <f t="shared" si="27"/>
        <v>192.30654959999998</v>
      </c>
      <c r="BB10" s="5">
        <f t="shared" si="28"/>
        <v>27866.767162499997</v>
      </c>
      <c r="BC10" s="5">
        <f t="shared" si="29"/>
        <v>27866.767162499997</v>
      </c>
      <c r="BD10" s="35">
        <f t="shared" si="30"/>
        <v>3428.9620596</v>
      </c>
      <c r="BF10" s="36"/>
      <c r="BG10" s="5">
        <f t="shared" si="31"/>
        <v>12902.534475</v>
      </c>
      <c r="BH10" s="36">
        <f t="shared" si="32"/>
        <v>12902.534475</v>
      </c>
      <c r="BI10" s="35">
        <f t="shared" si="33"/>
        <v>1587.6366616</v>
      </c>
      <c r="BL10" s="5">
        <f t="shared" si="34"/>
        <v>6179.39745</v>
      </c>
      <c r="BM10" s="5">
        <f t="shared" si="35"/>
        <v>6179.39745</v>
      </c>
      <c r="BN10" s="35">
        <f t="shared" si="36"/>
        <v>760.3651792000001</v>
      </c>
      <c r="BP10" s="5">
        <f t="shared" si="37"/>
        <v>0</v>
      </c>
      <c r="BQ10" s="5">
        <f t="shared" si="38"/>
        <v>911.7778875</v>
      </c>
      <c r="BR10" s="5">
        <f t="shared" si="39"/>
        <v>911.7778875</v>
      </c>
      <c r="BS10" s="35">
        <f t="shared" si="40"/>
        <v>112.1928412</v>
      </c>
      <c r="BV10" s="5">
        <f t="shared" si="41"/>
        <v>4042.4963624999996</v>
      </c>
      <c r="BW10" s="5">
        <f t="shared" si="42"/>
        <v>4042.4963624999996</v>
      </c>
      <c r="BX10" s="35">
        <f t="shared" si="43"/>
        <v>497.4228468</v>
      </c>
      <c r="CA10" s="5">
        <f t="shared" si="44"/>
        <v>556.7291624999999</v>
      </c>
      <c r="CB10" s="5">
        <f t="shared" si="45"/>
        <v>556.7291624999999</v>
      </c>
      <c r="CC10" s="35">
        <f t="shared" si="46"/>
        <v>68.50465159999999</v>
      </c>
      <c r="CF10" s="5">
        <f t="shared" si="47"/>
        <v>11614.05855</v>
      </c>
      <c r="CG10" s="5">
        <f t="shared" si="48"/>
        <v>11614.05855</v>
      </c>
      <c r="CH10" s="35">
        <f t="shared" si="49"/>
        <v>1429.0917168</v>
      </c>
      <c r="CK10" s="5">
        <f t="shared" si="50"/>
        <v>2249.7054</v>
      </c>
      <c r="CL10" s="5">
        <f t="shared" si="51"/>
        <v>2249.7054</v>
      </c>
      <c r="CM10" s="35">
        <f t="shared" si="52"/>
        <v>276.82272639999996</v>
      </c>
      <c r="CP10" s="5">
        <f t="shared" si="53"/>
        <v>2976.4386375</v>
      </c>
      <c r="CQ10" s="36">
        <f t="shared" si="54"/>
        <v>2976.4386375</v>
      </c>
      <c r="CR10" s="35">
        <f t="shared" si="55"/>
        <v>366.24611319999997</v>
      </c>
      <c r="CU10" s="5">
        <f t="shared" si="56"/>
        <v>9675.647475</v>
      </c>
      <c r="CV10" s="36">
        <f t="shared" si="57"/>
        <v>9675.647475</v>
      </c>
      <c r="CW10" s="35">
        <f t="shared" si="58"/>
        <v>1190.5732696</v>
      </c>
      <c r="CZ10" s="5">
        <f t="shared" si="59"/>
        <v>5688.299887499999</v>
      </c>
      <c r="DA10" s="5">
        <f t="shared" si="60"/>
        <v>5688.299887499999</v>
      </c>
      <c r="DB10" s="35">
        <f t="shared" si="61"/>
        <v>699.9363932</v>
      </c>
      <c r="DE10" s="5">
        <f t="shared" si="62"/>
        <v>6421.186087499999</v>
      </c>
      <c r="DF10" s="5">
        <f t="shared" si="63"/>
        <v>6421.186087499999</v>
      </c>
      <c r="DG10" s="35">
        <f t="shared" si="64"/>
        <v>790.1168924</v>
      </c>
      <c r="DJ10" s="5">
        <f t="shared" si="65"/>
        <v>74344.4227875</v>
      </c>
      <c r="DK10" s="5">
        <f t="shared" si="66"/>
        <v>74344.4227875</v>
      </c>
      <c r="DL10" s="35">
        <f t="shared" si="67"/>
        <v>9147.9647996</v>
      </c>
      <c r="DO10" s="5">
        <f t="shared" si="68"/>
        <v>2737.38465</v>
      </c>
      <c r="DP10" s="36">
        <f t="shared" si="69"/>
        <v>2737.38465</v>
      </c>
      <c r="DQ10" s="35">
        <f t="shared" si="70"/>
        <v>336.8308944</v>
      </c>
      <c r="DT10" s="36">
        <f t="shared" si="71"/>
        <v>2423.1277875</v>
      </c>
      <c r="DU10" s="36">
        <f t="shared" si="72"/>
        <v>2423.1277875</v>
      </c>
      <c r="DV10" s="35">
        <f t="shared" si="73"/>
        <v>298.1620796</v>
      </c>
    </row>
    <row r="11" spans="1:126" ht="12">
      <c r="A11" s="37">
        <v>42461</v>
      </c>
      <c r="C11" s="3">
        <v>4295000</v>
      </c>
      <c r="D11" s="3">
        <v>2278875</v>
      </c>
      <c r="E11" s="35">
        <f t="shared" si="0"/>
        <v>6573875</v>
      </c>
      <c r="F11" s="35">
        <f>'2011A'!F11</f>
        <v>280412</v>
      </c>
      <c r="H11" s="47">
        <f t="shared" si="74"/>
        <v>647350.9899999999</v>
      </c>
      <c r="I11" s="36">
        <f t="shared" si="1"/>
        <v>343476.5977499999</v>
      </c>
      <c r="J11" s="36">
        <f t="shared" si="2"/>
        <v>990827.5877499997</v>
      </c>
      <c r="K11" s="36">
        <f t="shared" si="3"/>
        <v>42264.25746400001</v>
      </c>
      <c r="M11" s="5">
        <f t="shared" si="75"/>
        <v>269100.648</v>
      </c>
      <c r="N11" s="5">
        <f t="shared" si="4"/>
        <v>142781.5458</v>
      </c>
      <c r="O11" s="5">
        <f t="shared" si="5"/>
        <v>411882.1938</v>
      </c>
      <c r="P11" s="35">
        <f t="shared" si="6"/>
        <v>17569.0456128</v>
      </c>
      <c r="R11" s="5">
        <f t="shared" si="76"/>
        <v>118.97149999999999</v>
      </c>
      <c r="S11" s="36">
        <f t="shared" si="7"/>
        <v>63.1248375</v>
      </c>
      <c r="T11" s="36">
        <f t="shared" si="8"/>
        <v>182.0963375</v>
      </c>
      <c r="U11" s="35">
        <f t="shared" si="9"/>
        <v>7.7674123999999996</v>
      </c>
      <c r="W11" s="5">
        <f t="shared" si="77"/>
        <v>5327.0885</v>
      </c>
      <c r="X11" s="5">
        <f t="shared" si="10"/>
        <v>2826.4886625</v>
      </c>
      <c r="Y11" s="5">
        <f t="shared" si="11"/>
        <v>8153.5771625</v>
      </c>
      <c r="Z11" s="35">
        <f t="shared" si="12"/>
        <v>347.7950036</v>
      </c>
      <c r="AB11" s="5">
        <f t="shared" si="78"/>
        <v>3207.9355</v>
      </c>
      <c r="AC11" s="5">
        <f t="shared" si="13"/>
        <v>1702.0917375</v>
      </c>
      <c r="AD11" s="5">
        <f t="shared" si="14"/>
        <v>4910.0272375</v>
      </c>
      <c r="AE11" s="35">
        <f t="shared" si="15"/>
        <v>209.4397228</v>
      </c>
      <c r="AG11" s="5">
        <f t="shared" si="79"/>
        <v>23841.545000000002</v>
      </c>
      <c r="AH11" s="5">
        <f t="shared" si="16"/>
        <v>12650.035125</v>
      </c>
      <c r="AI11" s="5">
        <f t="shared" si="17"/>
        <v>36491.580125</v>
      </c>
      <c r="AJ11" s="35">
        <f t="shared" si="18"/>
        <v>1556.5670120000002</v>
      </c>
      <c r="AL11" s="5">
        <f t="shared" si="80"/>
        <v>7388.259</v>
      </c>
      <c r="AM11" s="5">
        <f t="shared" si="19"/>
        <v>3920.1207750000003</v>
      </c>
      <c r="AN11" s="5">
        <f t="shared" si="20"/>
        <v>11308.379775000001</v>
      </c>
      <c r="AO11" s="35">
        <f t="shared" si="21"/>
        <v>482.3647224</v>
      </c>
      <c r="AQ11" s="5">
        <f t="shared" si="81"/>
        <v>13909.787</v>
      </c>
      <c r="AR11" s="5">
        <f t="shared" si="22"/>
        <v>7380.364575</v>
      </c>
      <c r="AS11" s="5">
        <f t="shared" si="23"/>
        <v>21290.151575</v>
      </c>
      <c r="AT11" s="35">
        <f t="shared" si="24"/>
        <v>908.1423032</v>
      </c>
      <c r="AV11" s="5">
        <f t="shared" si="82"/>
        <v>2945.511</v>
      </c>
      <c r="AW11" s="5">
        <f t="shared" si="25"/>
        <v>1562.852475</v>
      </c>
      <c r="AX11" s="5">
        <f t="shared" si="26"/>
        <v>4508.363475</v>
      </c>
      <c r="AY11" s="35">
        <f t="shared" si="27"/>
        <v>192.30654959999998</v>
      </c>
      <c r="BA11" s="5">
        <f t="shared" si="83"/>
        <v>52520.5485</v>
      </c>
      <c r="BB11" s="5">
        <f t="shared" si="28"/>
        <v>27866.767162499997</v>
      </c>
      <c r="BC11" s="5">
        <f t="shared" si="29"/>
        <v>80387.3156625</v>
      </c>
      <c r="BD11" s="35">
        <f t="shared" si="30"/>
        <v>3428.9620596</v>
      </c>
      <c r="BF11" s="36">
        <f t="shared" si="84"/>
        <v>24317.431</v>
      </c>
      <c r="BG11" s="5">
        <f t="shared" si="31"/>
        <v>12902.534475</v>
      </c>
      <c r="BH11" s="36">
        <f t="shared" si="32"/>
        <v>37219.965475000005</v>
      </c>
      <c r="BI11" s="35">
        <f t="shared" si="33"/>
        <v>1587.6366616</v>
      </c>
      <c r="BK11" s="5">
        <f t="shared" si="85"/>
        <v>11646.322</v>
      </c>
      <c r="BL11" s="5">
        <f t="shared" si="34"/>
        <v>6179.39745</v>
      </c>
      <c r="BM11" s="5">
        <f t="shared" si="35"/>
        <v>17825.71945</v>
      </c>
      <c r="BN11" s="35">
        <f t="shared" si="36"/>
        <v>760.3651792000001</v>
      </c>
      <c r="BP11" s="5">
        <f t="shared" si="37"/>
        <v>1718.4295000000002</v>
      </c>
      <c r="BQ11" s="5">
        <f t="shared" si="38"/>
        <v>911.7778875</v>
      </c>
      <c r="BR11" s="5">
        <f t="shared" si="39"/>
        <v>2630.2073875</v>
      </c>
      <c r="BS11" s="35">
        <f t="shared" si="40"/>
        <v>112.1928412</v>
      </c>
      <c r="BU11" s="5">
        <f t="shared" si="86"/>
        <v>7618.9005</v>
      </c>
      <c r="BV11" s="5">
        <f t="shared" si="41"/>
        <v>4042.4963624999996</v>
      </c>
      <c r="BW11" s="5">
        <f t="shared" si="42"/>
        <v>11661.3968625</v>
      </c>
      <c r="BX11" s="35">
        <f t="shared" si="43"/>
        <v>497.4228468</v>
      </c>
      <c r="BZ11" s="5">
        <f t="shared" si="87"/>
        <v>1049.2685</v>
      </c>
      <c r="CA11" s="5">
        <f t="shared" si="44"/>
        <v>556.7291624999999</v>
      </c>
      <c r="CB11" s="5">
        <f t="shared" si="45"/>
        <v>1605.9976625</v>
      </c>
      <c r="CC11" s="35">
        <f t="shared" si="46"/>
        <v>68.50465159999999</v>
      </c>
      <c r="CE11" s="5">
        <f t="shared" si="88"/>
        <v>21889.038</v>
      </c>
      <c r="CF11" s="5">
        <f t="shared" si="47"/>
        <v>11614.05855</v>
      </c>
      <c r="CG11" s="5">
        <f t="shared" si="48"/>
        <v>33503.09655</v>
      </c>
      <c r="CH11" s="35">
        <f t="shared" si="49"/>
        <v>1429.0917168</v>
      </c>
      <c r="CJ11" s="5">
        <f t="shared" si="89"/>
        <v>4240.023999999999</v>
      </c>
      <c r="CK11" s="5">
        <f t="shared" si="50"/>
        <v>2249.7054</v>
      </c>
      <c r="CL11" s="5">
        <f t="shared" si="51"/>
        <v>6489.729399999999</v>
      </c>
      <c r="CM11" s="35">
        <f t="shared" si="52"/>
        <v>276.82272639999996</v>
      </c>
      <c r="CO11" s="5">
        <f t="shared" si="90"/>
        <v>5609.6995</v>
      </c>
      <c r="CP11" s="5">
        <f t="shared" si="53"/>
        <v>2976.4386375</v>
      </c>
      <c r="CQ11" s="36">
        <f t="shared" si="54"/>
        <v>8586.1381375</v>
      </c>
      <c r="CR11" s="35">
        <f t="shared" si="55"/>
        <v>366.24611319999997</v>
      </c>
      <c r="CT11" s="5">
        <f t="shared" si="91"/>
        <v>18235.711</v>
      </c>
      <c r="CU11" s="5">
        <f t="shared" si="56"/>
        <v>9675.647475</v>
      </c>
      <c r="CV11" s="36">
        <f t="shared" si="57"/>
        <v>27911.358475</v>
      </c>
      <c r="CW11" s="35">
        <f t="shared" si="58"/>
        <v>1190.5732696</v>
      </c>
      <c r="CY11" s="5">
        <f t="shared" si="92"/>
        <v>10720.7495</v>
      </c>
      <c r="CZ11" s="5">
        <f t="shared" si="59"/>
        <v>5688.299887499999</v>
      </c>
      <c r="DA11" s="5">
        <f t="shared" si="60"/>
        <v>16409.0493875</v>
      </c>
      <c r="DB11" s="35">
        <f t="shared" si="61"/>
        <v>699.9363932</v>
      </c>
      <c r="DD11" s="5">
        <f t="shared" si="93"/>
        <v>12102.021499999999</v>
      </c>
      <c r="DE11" s="5">
        <f t="shared" si="62"/>
        <v>6421.186087499999</v>
      </c>
      <c r="DF11" s="5">
        <f t="shared" si="63"/>
        <v>18523.207587499997</v>
      </c>
      <c r="DG11" s="35">
        <f t="shared" si="64"/>
        <v>790.1168924</v>
      </c>
      <c r="DI11" s="5">
        <f t="shared" si="94"/>
        <v>140117.0735</v>
      </c>
      <c r="DJ11" s="5">
        <f t="shared" si="65"/>
        <v>74344.4227875</v>
      </c>
      <c r="DK11" s="5">
        <f t="shared" si="66"/>
        <v>214461.49628750002</v>
      </c>
      <c r="DL11" s="35">
        <f t="shared" si="67"/>
        <v>9147.9647996</v>
      </c>
      <c r="DN11" s="5">
        <f t="shared" si="95"/>
        <v>5159.1539999999995</v>
      </c>
      <c r="DO11" s="5">
        <f t="shared" si="68"/>
        <v>2737.38465</v>
      </c>
      <c r="DP11" s="36">
        <f t="shared" si="69"/>
        <v>7896.5386499999995</v>
      </c>
      <c r="DQ11" s="35">
        <f t="shared" si="70"/>
        <v>336.8308944</v>
      </c>
      <c r="DS11" s="5">
        <f t="shared" si="96"/>
        <v>4566.873500000001</v>
      </c>
      <c r="DT11" s="36">
        <f t="shared" si="71"/>
        <v>2423.1277875</v>
      </c>
      <c r="DU11" s="36">
        <f t="shared" si="72"/>
        <v>6990.001287500001</v>
      </c>
      <c r="DV11" s="35">
        <f t="shared" si="73"/>
        <v>298.1620796</v>
      </c>
    </row>
    <row r="12" spans="1:126" ht="12">
      <c r="A12" s="37">
        <v>42644</v>
      </c>
      <c r="D12" s="3">
        <v>2192975</v>
      </c>
      <c r="E12" s="35">
        <f t="shared" si="0"/>
        <v>2192975</v>
      </c>
      <c r="F12" s="35">
        <f>'2011A'!F12</f>
        <v>280412</v>
      </c>
      <c r="H12" s="47"/>
      <c r="I12" s="36">
        <f t="shared" si="1"/>
        <v>330529.57794999995</v>
      </c>
      <c r="J12" s="36">
        <f t="shared" si="2"/>
        <v>330529.57794999995</v>
      </c>
      <c r="K12" s="36">
        <f t="shared" si="3"/>
        <v>42264.25746400001</v>
      </c>
      <c r="N12" s="5">
        <f t="shared" si="4"/>
        <v>137399.53284</v>
      </c>
      <c r="O12" s="5">
        <f t="shared" si="5"/>
        <v>137399.53284</v>
      </c>
      <c r="P12" s="35">
        <f t="shared" si="6"/>
        <v>17569.0456128</v>
      </c>
      <c r="S12" s="36">
        <f t="shared" si="7"/>
        <v>60.7454075</v>
      </c>
      <c r="T12" s="36">
        <f t="shared" si="8"/>
        <v>60.7454075</v>
      </c>
      <c r="U12" s="35">
        <f t="shared" si="9"/>
        <v>7.7674123999999996</v>
      </c>
      <c r="X12" s="5">
        <f t="shared" si="10"/>
        <v>2719.9468925</v>
      </c>
      <c r="Y12" s="5">
        <f t="shared" si="11"/>
        <v>2719.9468925</v>
      </c>
      <c r="Z12" s="35">
        <f t="shared" si="12"/>
        <v>347.7950036</v>
      </c>
      <c r="AC12" s="5">
        <f t="shared" si="13"/>
        <v>1637.9330275</v>
      </c>
      <c r="AD12" s="5">
        <f t="shared" si="14"/>
        <v>1637.9330275</v>
      </c>
      <c r="AE12" s="35">
        <f t="shared" si="15"/>
        <v>209.4397228</v>
      </c>
      <c r="AH12" s="5">
        <f t="shared" si="16"/>
        <v>12173.204225000001</v>
      </c>
      <c r="AI12" s="5">
        <f t="shared" si="17"/>
        <v>12173.204225000001</v>
      </c>
      <c r="AJ12" s="35">
        <f t="shared" si="18"/>
        <v>1556.5670120000002</v>
      </c>
      <c r="AM12" s="5">
        <f t="shared" si="19"/>
        <v>3772.355595</v>
      </c>
      <c r="AN12" s="5">
        <f t="shared" si="20"/>
        <v>3772.355595</v>
      </c>
      <c r="AO12" s="35">
        <f t="shared" si="21"/>
        <v>482.3647224</v>
      </c>
      <c r="AR12" s="5">
        <f t="shared" si="22"/>
        <v>7102.1688349999995</v>
      </c>
      <c r="AS12" s="5">
        <f t="shared" si="23"/>
        <v>7102.1688349999995</v>
      </c>
      <c r="AT12" s="35">
        <f t="shared" si="24"/>
        <v>908.1423032</v>
      </c>
      <c r="AW12" s="5">
        <f t="shared" si="25"/>
        <v>1503.942255</v>
      </c>
      <c r="AX12" s="5">
        <f t="shared" si="26"/>
        <v>1503.942255</v>
      </c>
      <c r="AY12" s="35">
        <f t="shared" si="27"/>
        <v>192.30654959999998</v>
      </c>
      <c r="BB12" s="5">
        <f t="shared" si="28"/>
        <v>26816.3561925</v>
      </c>
      <c r="BC12" s="5">
        <f t="shared" si="29"/>
        <v>26816.3561925</v>
      </c>
      <c r="BD12" s="35">
        <f t="shared" si="30"/>
        <v>3428.9620596</v>
      </c>
      <c r="BF12" s="36"/>
      <c r="BG12" s="5">
        <f t="shared" si="31"/>
        <v>12416.185855</v>
      </c>
      <c r="BH12" s="36">
        <f t="shared" si="32"/>
        <v>12416.185855</v>
      </c>
      <c r="BI12" s="35">
        <f t="shared" si="33"/>
        <v>1587.6366616</v>
      </c>
      <c r="BL12" s="5">
        <f t="shared" si="34"/>
        <v>5946.47101</v>
      </c>
      <c r="BM12" s="5">
        <f t="shared" si="35"/>
        <v>5946.47101</v>
      </c>
      <c r="BN12" s="35">
        <f t="shared" si="36"/>
        <v>760.3651792000001</v>
      </c>
      <c r="BP12" s="5">
        <f t="shared" si="37"/>
        <v>0</v>
      </c>
      <c r="BQ12" s="5">
        <f t="shared" si="38"/>
        <v>877.4092975000001</v>
      </c>
      <c r="BR12" s="5">
        <f t="shared" si="39"/>
        <v>877.4092975000001</v>
      </c>
      <c r="BS12" s="35">
        <f t="shared" si="40"/>
        <v>112.1928412</v>
      </c>
      <c r="BV12" s="5">
        <f t="shared" si="41"/>
        <v>3890.1183524999997</v>
      </c>
      <c r="BW12" s="5">
        <f t="shared" si="42"/>
        <v>3890.1183524999997</v>
      </c>
      <c r="BX12" s="35">
        <f t="shared" si="43"/>
        <v>497.4228468</v>
      </c>
      <c r="CA12" s="5">
        <f t="shared" si="44"/>
        <v>535.7437924999999</v>
      </c>
      <c r="CB12" s="5">
        <f t="shared" si="45"/>
        <v>535.7437924999999</v>
      </c>
      <c r="CC12" s="35">
        <f t="shared" si="46"/>
        <v>68.50465159999999</v>
      </c>
      <c r="CF12" s="5">
        <f t="shared" si="47"/>
        <v>11176.27779</v>
      </c>
      <c r="CG12" s="5">
        <f t="shared" si="48"/>
        <v>11176.27779</v>
      </c>
      <c r="CH12" s="35">
        <f t="shared" si="49"/>
        <v>1429.0917168</v>
      </c>
      <c r="CK12" s="5">
        <f t="shared" si="50"/>
        <v>2164.90492</v>
      </c>
      <c r="CL12" s="5">
        <f t="shared" si="51"/>
        <v>2164.90492</v>
      </c>
      <c r="CM12" s="35">
        <f t="shared" si="52"/>
        <v>276.82272639999996</v>
      </c>
      <c r="CP12" s="5">
        <f t="shared" si="53"/>
        <v>2864.2446474999997</v>
      </c>
      <c r="CQ12" s="36">
        <f t="shared" si="54"/>
        <v>2864.2446474999997</v>
      </c>
      <c r="CR12" s="35">
        <f t="shared" si="55"/>
        <v>366.24611319999997</v>
      </c>
      <c r="CU12" s="5">
        <f t="shared" si="56"/>
        <v>9310.933255</v>
      </c>
      <c r="CV12" s="36">
        <f t="shared" si="57"/>
        <v>9310.933255</v>
      </c>
      <c r="CW12" s="35">
        <f t="shared" si="58"/>
        <v>1190.5732696</v>
      </c>
      <c r="CZ12" s="5">
        <f t="shared" si="59"/>
        <v>5473.884897499999</v>
      </c>
      <c r="DA12" s="5">
        <f t="shared" si="60"/>
        <v>5473.884897499999</v>
      </c>
      <c r="DB12" s="35">
        <f t="shared" si="61"/>
        <v>699.9363932</v>
      </c>
      <c r="DE12" s="5">
        <f t="shared" si="62"/>
        <v>6179.145657499999</v>
      </c>
      <c r="DF12" s="5">
        <f t="shared" si="63"/>
        <v>6179.145657499999</v>
      </c>
      <c r="DG12" s="35">
        <f t="shared" si="64"/>
        <v>790.1168924</v>
      </c>
      <c r="DJ12" s="5">
        <f t="shared" si="65"/>
        <v>71542.08131750001</v>
      </c>
      <c r="DK12" s="5">
        <f t="shared" si="66"/>
        <v>71542.08131750001</v>
      </c>
      <c r="DL12" s="35">
        <f t="shared" si="67"/>
        <v>9147.9647996</v>
      </c>
      <c r="DO12" s="5">
        <f t="shared" si="68"/>
        <v>2634.2015699999997</v>
      </c>
      <c r="DP12" s="36">
        <f t="shared" si="69"/>
        <v>2634.2015699999997</v>
      </c>
      <c r="DQ12" s="35">
        <f t="shared" si="70"/>
        <v>336.8308944</v>
      </c>
      <c r="DT12" s="36">
        <f t="shared" si="71"/>
        <v>2331.7903175</v>
      </c>
      <c r="DU12" s="36">
        <f t="shared" si="72"/>
        <v>2331.7903175</v>
      </c>
      <c r="DV12" s="35">
        <f t="shared" si="73"/>
        <v>298.1620796</v>
      </c>
    </row>
    <row r="13" spans="1:126" ht="12">
      <c r="A13" s="37">
        <v>42826</v>
      </c>
      <c r="C13" s="3">
        <v>4470000</v>
      </c>
      <c r="D13" s="3">
        <v>2192975</v>
      </c>
      <c r="E13" s="35">
        <f t="shared" si="0"/>
        <v>6662975</v>
      </c>
      <c r="F13" s="35">
        <f>'2011A'!F13</f>
        <v>280412</v>
      </c>
      <c r="H13" s="47">
        <f t="shared" si="74"/>
        <v>673727.3400000001</v>
      </c>
      <c r="I13" s="36">
        <f t="shared" si="1"/>
        <v>330529.57794999995</v>
      </c>
      <c r="J13" s="36">
        <f t="shared" si="2"/>
        <v>1004256.91795</v>
      </c>
      <c r="K13" s="36">
        <f t="shared" si="3"/>
        <v>42264.25746400001</v>
      </c>
      <c r="M13" s="5">
        <f t="shared" si="75"/>
        <v>280065.168</v>
      </c>
      <c r="N13" s="5">
        <f t="shared" si="4"/>
        <v>137399.53284</v>
      </c>
      <c r="O13" s="5">
        <f t="shared" si="5"/>
        <v>417464.70084</v>
      </c>
      <c r="P13" s="35">
        <f t="shared" si="6"/>
        <v>17569.0456128</v>
      </c>
      <c r="R13" s="5">
        <f t="shared" si="76"/>
        <v>123.819</v>
      </c>
      <c r="S13" s="36">
        <f t="shared" si="7"/>
        <v>60.7454075</v>
      </c>
      <c r="T13" s="36">
        <f t="shared" si="8"/>
        <v>184.56440750000002</v>
      </c>
      <c r="U13" s="35">
        <f t="shared" si="9"/>
        <v>7.7674123999999996</v>
      </c>
      <c r="W13" s="5">
        <f t="shared" si="77"/>
        <v>5544.141</v>
      </c>
      <c r="X13" s="5">
        <f t="shared" si="10"/>
        <v>2719.9468925</v>
      </c>
      <c r="Y13" s="5">
        <f t="shared" si="11"/>
        <v>8264.0878925</v>
      </c>
      <c r="Z13" s="35">
        <f t="shared" si="12"/>
        <v>347.7950036</v>
      </c>
      <c r="AB13" s="5">
        <f t="shared" si="78"/>
        <v>3338.643</v>
      </c>
      <c r="AC13" s="5">
        <f t="shared" si="13"/>
        <v>1637.9330275</v>
      </c>
      <c r="AD13" s="5">
        <f t="shared" si="14"/>
        <v>4976.5760275</v>
      </c>
      <c r="AE13" s="35">
        <f t="shared" si="15"/>
        <v>209.4397228</v>
      </c>
      <c r="AG13" s="5">
        <f t="shared" si="79"/>
        <v>24812.97</v>
      </c>
      <c r="AH13" s="5">
        <f t="shared" si="16"/>
        <v>12173.204225000001</v>
      </c>
      <c r="AI13" s="5">
        <f t="shared" si="17"/>
        <v>36986.174225</v>
      </c>
      <c r="AJ13" s="35">
        <f t="shared" si="18"/>
        <v>1556.5670120000002</v>
      </c>
      <c r="AL13" s="5">
        <f t="shared" si="80"/>
        <v>7689.294</v>
      </c>
      <c r="AM13" s="5">
        <f t="shared" si="19"/>
        <v>3772.355595</v>
      </c>
      <c r="AN13" s="5">
        <f t="shared" si="20"/>
        <v>11461.649594999999</v>
      </c>
      <c r="AO13" s="35">
        <f t="shared" si="21"/>
        <v>482.3647224</v>
      </c>
      <c r="AQ13" s="5">
        <f t="shared" si="81"/>
        <v>14476.542</v>
      </c>
      <c r="AR13" s="5">
        <f t="shared" si="22"/>
        <v>7102.1688349999995</v>
      </c>
      <c r="AS13" s="5">
        <f t="shared" si="23"/>
        <v>21578.710834999998</v>
      </c>
      <c r="AT13" s="35">
        <f t="shared" si="24"/>
        <v>908.1423032</v>
      </c>
      <c r="AV13" s="5">
        <f t="shared" si="82"/>
        <v>3065.526</v>
      </c>
      <c r="AW13" s="5">
        <f t="shared" si="25"/>
        <v>1503.942255</v>
      </c>
      <c r="AX13" s="5">
        <f t="shared" si="26"/>
        <v>4569.468255</v>
      </c>
      <c r="AY13" s="35">
        <f t="shared" si="27"/>
        <v>192.30654959999998</v>
      </c>
      <c r="BA13" s="5">
        <f t="shared" si="83"/>
        <v>54660.501</v>
      </c>
      <c r="BB13" s="5">
        <f t="shared" si="28"/>
        <v>26816.3561925</v>
      </c>
      <c r="BC13" s="5">
        <f t="shared" si="29"/>
        <v>81476.8571925</v>
      </c>
      <c r="BD13" s="35">
        <f t="shared" si="30"/>
        <v>3428.9620596</v>
      </c>
      <c r="BF13" s="36">
        <f t="shared" si="84"/>
        <v>25308.246</v>
      </c>
      <c r="BG13" s="5">
        <f t="shared" si="31"/>
        <v>12416.185855</v>
      </c>
      <c r="BH13" s="36">
        <f t="shared" si="32"/>
        <v>37724.431855</v>
      </c>
      <c r="BI13" s="35">
        <f t="shared" si="33"/>
        <v>1587.6366616</v>
      </c>
      <c r="BK13" s="5">
        <f t="shared" si="85"/>
        <v>12120.852</v>
      </c>
      <c r="BL13" s="5">
        <f t="shared" si="34"/>
        <v>5946.47101</v>
      </c>
      <c r="BM13" s="5">
        <f t="shared" si="35"/>
        <v>18067.32301</v>
      </c>
      <c r="BN13" s="35">
        <f t="shared" si="36"/>
        <v>760.3651792000001</v>
      </c>
      <c r="BP13" s="5">
        <f t="shared" si="37"/>
        <v>1788.4470000000001</v>
      </c>
      <c r="BQ13" s="5">
        <f t="shared" si="38"/>
        <v>877.4092975000001</v>
      </c>
      <c r="BR13" s="5">
        <f t="shared" si="39"/>
        <v>2665.8562975000004</v>
      </c>
      <c r="BS13" s="35">
        <f t="shared" si="40"/>
        <v>112.1928412</v>
      </c>
      <c r="BU13" s="5">
        <f t="shared" si="86"/>
        <v>7929.333</v>
      </c>
      <c r="BV13" s="5">
        <f t="shared" si="41"/>
        <v>3890.1183524999997</v>
      </c>
      <c r="BW13" s="5">
        <f t="shared" si="42"/>
        <v>11819.4513525</v>
      </c>
      <c r="BX13" s="35">
        <f t="shared" si="43"/>
        <v>497.4228468</v>
      </c>
      <c r="BZ13" s="5">
        <f t="shared" si="87"/>
        <v>1092.021</v>
      </c>
      <c r="CA13" s="5">
        <f t="shared" si="44"/>
        <v>535.7437924999999</v>
      </c>
      <c r="CB13" s="5">
        <f t="shared" si="45"/>
        <v>1627.7647924999999</v>
      </c>
      <c r="CC13" s="35">
        <f t="shared" si="46"/>
        <v>68.50465159999999</v>
      </c>
      <c r="CE13" s="5">
        <f t="shared" si="88"/>
        <v>22780.908</v>
      </c>
      <c r="CF13" s="5">
        <f t="shared" si="47"/>
        <v>11176.27779</v>
      </c>
      <c r="CG13" s="5">
        <f t="shared" si="48"/>
        <v>33957.18579</v>
      </c>
      <c r="CH13" s="35">
        <f t="shared" si="49"/>
        <v>1429.0917168</v>
      </c>
      <c r="CJ13" s="5">
        <f t="shared" si="89"/>
        <v>4412.784</v>
      </c>
      <c r="CK13" s="5">
        <f t="shared" si="50"/>
        <v>2164.90492</v>
      </c>
      <c r="CL13" s="5">
        <f t="shared" si="51"/>
        <v>6577.68892</v>
      </c>
      <c r="CM13" s="35">
        <f t="shared" si="52"/>
        <v>276.82272639999996</v>
      </c>
      <c r="CO13" s="5">
        <f t="shared" si="90"/>
        <v>5838.267</v>
      </c>
      <c r="CP13" s="5">
        <f t="shared" si="53"/>
        <v>2864.2446474999997</v>
      </c>
      <c r="CQ13" s="36">
        <f t="shared" si="54"/>
        <v>8702.5116475</v>
      </c>
      <c r="CR13" s="35">
        <f t="shared" si="55"/>
        <v>366.24611319999997</v>
      </c>
      <c r="CT13" s="5">
        <f t="shared" si="91"/>
        <v>18978.726</v>
      </c>
      <c r="CU13" s="5">
        <f t="shared" si="56"/>
        <v>9310.933255</v>
      </c>
      <c r="CV13" s="36">
        <f t="shared" si="57"/>
        <v>28289.659255</v>
      </c>
      <c r="CW13" s="35">
        <f t="shared" si="58"/>
        <v>1190.5732696</v>
      </c>
      <c r="CY13" s="5">
        <f t="shared" si="92"/>
        <v>11157.567</v>
      </c>
      <c r="CZ13" s="5">
        <f t="shared" si="59"/>
        <v>5473.884897499999</v>
      </c>
      <c r="DA13" s="5">
        <f t="shared" si="60"/>
        <v>16631.4518975</v>
      </c>
      <c r="DB13" s="35">
        <f t="shared" si="61"/>
        <v>699.9363932</v>
      </c>
      <c r="DD13" s="5">
        <f t="shared" si="93"/>
        <v>12595.118999999999</v>
      </c>
      <c r="DE13" s="5">
        <f t="shared" si="62"/>
        <v>6179.145657499999</v>
      </c>
      <c r="DF13" s="5">
        <f t="shared" si="63"/>
        <v>18774.264657499996</v>
      </c>
      <c r="DG13" s="35">
        <f t="shared" si="64"/>
        <v>790.1168924</v>
      </c>
      <c r="DI13" s="5">
        <f t="shared" si="94"/>
        <v>145826.151</v>
      </c>
      <c r="DJ13" s="5">
        <f t="shared" si="65"/>
        <v>71542.08131750001</v>
      </c>
      <c r="DK13" s="5">
        <f t="shared" si="66"/>
        <v>217368.23231750002</v>
      </c>
      <c r="DL13" s="35">
        <f t="shared" si="67"/>
        <v>9147.9647996</v>
      </c>
      <c r="DN13" s="5">
        <f t="shared" si="95"/>
        <v>5369.364</v>
      </c>
      <c r="DO13" s="5">
        <f t="shared" si="68"/>
        <v>2634.2015699999997</v>
      </c>
      <c r="DP13" s="36">
        <f t="shared" si="69"/>
        <v>8003.565569999999</v>
      </c>
      <c r="DQ13" s="35">
        <f t="shared" si="70"/>
        <v>336.8308944</v>
      </c>
      <c r="DS13" s="5">
        <f t="shared" si="96"/>
        <v>4752.951</v>
      </c>
      <c r="DT13" s="36">
        <f t="shared" si="71"/>
        <v>2331.7903175</v>
      </c>
      <c r="DU13" s="36">
        <f t="shared" si="72"/>
        <v>7084.7413175</v>
      </c>
      <c r="DV13" s="35">
        <f t="shared" si="73"/>
        <v>298.1620796</v>
      </c>
    </row>
    <row r="14" spans="1:126" ht="12">
      <c r="A14" s="37">
        <v>43009</v>
      </c>
      <c r="B14" s="38"/>
      <c r="D14" s="3">
        <v>2081225</v>
      </c>
      <c r="E14" s="35">
        <f t="shared" si="0"/>
        <v>2081225</v>
      </c>
      <c r="F14" s="35">
        <f>'2011A'!F14</f>
        <v>280412</v>
      </c>
      <c r="H14" s="47"/>
      <c r="I14" s="36">
        <f t="shared" si="1"/>
        <v>313686.39445</v>
      </c>
      <c r="J14" s="36">
        <f t="shared" si="2"/>
        <v>313686.39445</v>
      </c>
      <c r="K14" s="36">
        <f t="shared" si="3"/>
        <v>42264.25746400001</v>
      </c>
      <c r="N14" s="5">
        <f t="shared" si="4"/>
        <v>130397.90364</v>
      </c>
      <c r="O14" s="5">
        <f t="shared" si="5"/>
        <v>130397.90364</v>
      </c>
      <c r="P14" s="35">
        <f t="shared" si="6"/>
        <v>17569.0456128</v>
      </c>
      <c r="S14" s="36">
        <f t="shared" si="7"/>
        <v>57.6499325</v>
      </c>
      <c r="T14" s="36">
        <f t="shared" si="8"/>
        <v>57.6499325</v>
      </c>
      <c r="U14" s="35">
        <f t="shared" si="9"/>
        <v>7.7674123999999996</v>
      </c>
      <c r="X14" s="5">
        <f t="shared" si="10"/>
        <v>2581.3433675</v>
      </c>
      <c r="Y14" s="5">
        <f t="shared" si="11"/>
        <v>2581.3433675</v>
      </c>
      <c r="Z14" s="35">
        <f t="shared" si="12"/>
        <v>347.7950036</v>
      </c>
      <c r="AC14" s="5">
        <f t="shared" si="13"/>
        <v>1554.4669525</v>
      </c>
      <c r="AD14" s="5">
        <f t="shared" si="14"/>
        <v>1554.4669525</v>
      </c>
      <c r="AE14" s="35">
        <f t="shared" si="15"/>
        <v>209.4397228</v>
      </c>
      <c r="AH14" s="5">
        <f t="shared" si="16"/>
        <v>11552.879975000002</v>
      </c>
      <c r="AI14" s="5">
        <f t="shared" si="17"/>
        <v>11552.879975000002</v>
      </c>
      <c r="AJ14" s="35">
        <f t="shared" si="18"/>
        <v>1556.5670120000002</v>
      </c>
      <c r="AM14" s="5">
        <f t="shared" si="19"/>
        <v>3580.123245</v>
      </c>
      <c r="AN14" s="5">
        <f t="shared" si="20"/>
        <v>3580.123245</v>
      </c>
      <c r="AO14" s="35">
        <f t="shared" si="21"/>
        <v>482.3647224</v>
      </c>
      <c r="AR14" s="5">
        <f t="shared" si="22"/>
        <v>6740.255285</v>
      </c>
      <c r="AS14" s="5">
        <f t="shared" si="23"/>
        <v>6740.255285</v>
      </c>
      <c r="AT14" s="35">
        <f t="shared" si="24"/>
        <v>908.1423032</v>
      </c>
      <c r="AW14" s="5">
        <f t="shared" si="25"/>
        <v>1427.304105</v>
      </c>
      <c r="AX14" s="5">
        <f t="shared" si="26"/>
        <v>1427.304105</v>
      </c>
      <c r="AY14" s="35">
        <f t="shared" si="27"/>
        <v>192.30654959999998</v>
      </c>
      <c r="BB14" s="5">
        <f t="shared" si="28"/>
        <v>25449.843667499998</v>
      </c>
      <c r="BC14" s="5">
        <f t="shared" si="29"/>
        <v>25449.843667499998</v>
      </c>
      <c r="BD14" s="35">
        <f t="shared" si="30"/>
        <v>3428.9620596</v>
      </c>
      <c r="BF14" s="36"/>
      <c r="BG14" s="5">
        <f t="shared" si="31"/>
        <v>11783.479705</v>
      </c>
      <c r="BH14" s="36">
        <f t="shared" si="32"/>
        <v>11783.479705</v>
      </c>
      <c r="BI14" s="35">
        <f t="shared" si="33"/>
        <v>1587.6366616</v>
      </c>
      <c r="BL14" s="5">
        <f t="shared" si="34"/>
        <v>5643.449710000001</v>
      </c>
      <c r="BM14" s="5">
        <f t="shared" si="35"/>
        <v>5643.449710000001</v>
      </c>
      <c r="BN14" s="35">
        <f t="shared" si="36"/>
        <v>760.3651792000001</v>
      </c>
      <c r="BP14" s="5">
        <f t="shared" si="37"/>
        <v>0</v>
      </c>
      <c r="BQ14" s="5">
        <f t="shared" si="38"/>
        <v>832.6981225000001</v>
      </c>
      <c r="BR14" s="5">
        <f t="shared" si="39"/>
        <v>832.6981225000001</v>
      </c>
      <c r="BS14" s="35">
        <f t="shared" si="40"/>
        <v>112.1928412</v>
      </c>
      <c r="BV14" s="5">
        <f t="shared" si="41"/>
        <v>3691.8850275</v>
      </c>
      <c r="BW14" s="5">
        <f t="shared" si="42"/>
        <v>3691.8850275</v>
      </c>
      <c r="BX14" s="35">
        <f t="shared" si="43"/>
        <v>497.4228468</v>
      </c>
      <c r="CA14" s="5">
        <f t="shared" si="44"/>
        <v>508.44326749999993</v>
      </c>
      <c r="CB14" s="5">
        <f t="shared" si="45"/>
        <v>508.44326749999993</v>
      </c>
      <c r="CC14" s="35">
        <f t="shared" si="46"/>
        <v>68.50465159999999</v>
      </c>
      <c r="CF14" s="5">
        <f t="shared" si="47"/>
        <v>10606.75509</v>
      </c>
      <c r="CG14" s="5">
        <f t="shared" si="48"/>
        <v>10606.75509</v>
      </c>
      <c r="CH14" s="35">
        <f t="shared" si="49"/>
        <v>1429.0917168</v>
      </c>
      <c r="CK14" s="5">
        <f t="shared" si="50"/>
        <v>2054.5853199999997</v>
      </c>
      <c r="CL14" s="5">
        <f t="shared" si="51"/>
        <v>2054.5853199999997</v>
      </c>
      <c r="CM14" s="35">
        <f t="shared" si="52"/>
        <v>276.82272639999996</v>
      </c>
      <c r="CP14" s="5">
        <f t="shared" si="53"/>
        <v>2718.2879725</v>
      </c>
      <c r="CQ14" s="36">
        <f t="shared" si="54"/>
        <v>2718.2879725</v>
      </c>
      <c r="CR14" s="35">
        <f t="shared" si="55"/>
        <v>366.24611319999997</v>
      </c>
      <c r="CU14" s="5">
        <f t="shared" si="56"/>
        <v>8836.465105</v>
      </c>
      <c r="CV14" s="36">
        <f t="shared" si="57"/>
        <v>8836.465105</v>
      </c>
      <c r="CW14" s="35">
        <f t="shared" si="58"/>
        <v>1190.5732696</v>
      </c>
      <c r="CZ14" s="5">
        <f t="shared" si="59"/>
        <v>5194.9457225</v>
      </c>
      <c r="DA14" s="5">
        <f t="shared" si="60"/>
        <v>5194.9457225</v>
      </c>
      <c r="DB14" s="35">
        <f t="shared" si="61"/>
        <v>699.9363932</v>
      </c>
      <c r="DE14" s="5">
        <f t="shared" si="62"/>
        <v>5864.2676825</v>
      </c>
      <c r="DF14" s="5">
        <f t="shared" si="63"/>
        <v>5864.2676825</v>
      </c>
      <c r="DG14" s="35">
        <f t="shared" si="64"/>
        <v>790.1168924</v>
      </c>
      <c r="DJ14" s="5">
        <f t="shared" si="65"/>
        <v>67896.42754250001</v>
      </c>
      <c r="DK14" s="5">
        <f t="shared" si="66"/>
        <v>67896.42754250001</v>
      </c>
      <c r="DL14" s="35">
        <f t="shared" si="67"/>
        <v>9147.9647996</v>
      </c>
      <c r="DO14" s="5">
        <f t="shared" si="68"/>
        <v>2499.96747</v>
      </c>
      <c r="DP14" s="36">
        <f t="shared" si="69"/>
        <v>2499.96747</v>
      </c>
      <c r="DQ14" s="35">
        <f t="shared" si="70"/>
        <v>336.8308944</v>
      </c>
      <c r="DT14" s="36">
        <f t="shared" si="71"/>
        <v>2212.9665425000003</v>
      </c>
      <c r="DU14" s="36">
        <f t="shared" si="72"/>
        <v>2212.9665425000003</v>
      </c>
      <c r="DV14" s="35">
        <f t="shared" si="73"/>
        <v>298.1620796</v>
      </c>
    </row>
    <row r="15" spans="1:126" ht="12">
      <c r="A15" s="37">
        <v>43191</v>
      </c>
      <c r="C15" s="3">
        <v>4690000</v>
      </c>
      <c r="D15" s="3">
        <v>2081225</v>
      </c>
      <c r="E15" s="35">
        <f t="shared" si="0"/>
        <v>6771225</v>
      </c>
      <c r="F15" s="35">
        <f>'2011A'!F15</f>
        <v>280412</v>
      </c>
      <c r="H15" s="47">
        <f t="shared" si="74"/>
        <v>706886.18</v>
      </c>
      <c r="I15" s="36">
        <f t="shared" si="1"/>
        <v>313686.39445</v>
      </c>
      <c r="J15" s="36">
        <f t="shared" si="2"/>
        <v>1020572.5744500001</v>
      </c>
      <c r="K15" s="36">
        <f t="shared" si="3"/>
        <v>42264.25746400001</v>
      </c>
      <c r="M15" s="5">
        <f t="shared" si="75"/>
        <v>293849.136</v>
      </c>
      <c r="N15" s="5">
        <f t="shared" si="4"/>
        <v>130397.90364</v>
      </c>
      <c r="O15" s="5">
        <f t="shared" si="5"/>
        <v>424247.03964</v>
      </c>
      <c r="P15" s="35">
        <f t="shared" si="6"/>
        <v>17569.0456128</v>
      </c>
      <c r="R15" s="5">
        <f t="shared" si="76"/>
        <v>129.91299999999998</v>
      </c>
      <c r="S15" s="36">
        <f t="shared" si="7"/>
        <v>57.6499325</v>
      </c>
      <c r="T15" s="36">
        <f t="shared" si="8"/>
        <v>187.5629325</v>
      </c>
      <c r="U15" s="35">
        <f t="shared" si="9"/>
        <v>7.7674123999999996</v>
      </c>
      <c r="W15" s="5">
        <f t="shared" si="77"/>
        <v>5817.007</v>
      </c>
      <c r="X15" s="5">
        <f t="shared" si="10"/>
        <v>2581.3433675</v>
      </c>
      <c r="Y15" s="5">
        <f t="shared" si="11"/>
        <v>8398.3503675</v>
      </c>
      <c r="Z15" s="35">
        <f t="shared" si="12"/>
        <v>347.7950036</v>
      </c>
      <c r="AB15" s="5">
        <f t="shared" si="78"/>
        <v>3502.961</v>
      </c>
      <c r="AC15" s="5">
        <f t="shared" si="13"/>
        <v>1554.4669525</v>
      </c>
      <c r="AD15" s="5">
        <f t="shared" si="14"/>
        <v>5057.4279525</v>
      </c>
      <c r="AE15" s="35">
        <f t="shared" si="15"/>
        <v>209.4397228</v>
      </c>
      <c r="AG15" s="5">
        <f t="shared" si="79"/>
        <v>26034.190000000002</v>
      </c>
      <c r="AH15" s="5">
        <f t="shared" si="16"/>
        <v>11552.879975000002</v>
      </c>
      <c r="AI15" s="5">
        <f t="shared" si="17"/>
        <v>37587.069975000006</v>
      </c>
      <c r="AJ15" s="35">
        <f t="shared" si="18"/>
        <v>1556.5670120000002</v>
      </c>
      <c r="AL15" s="5">
        <f t="shared" si="80"/>
        <v>8067.738</v>
      </c>
      <c r="AM15" s="5">
        <f t="shared" si="19"/>
        <v>3580.123245</v>
      </c>
      <c r="AN15" s="5">
        <f t="shared" si="20"/>
        <v>11647.861245</v>
      </c>
      <c r="AO15" s="35">
        <f t="shared" si="21"/>
        <v>482.3647224</v>
      </c>
      <c r="AQ15" s="5">
        <f t="shared" si="81"/>
        <v>15189.034</v>
      </c>
      <c r="AR15" s="5">
        <f t="shared" si="22"/>
        <v>6740.255285</v>
      </c>
      <c r="AS15" s="5">
        <f t="shared" si="23"/>
        <v>21929.289285</v>
      </c>
      <c r="AT15" s="35">
        <f t="shared" si="24"/>
        <v>908.1423032</v>
      </c>
      <c r="AV15" s="5">
        <f t="shared" si="82"/>
        <v>3216.402</v>
      </c>
      <c r="AW15" s="5">
        <f t="shared" si="25"/>
        <v>1427.304105</v>
      </c>
      <c r="AX15" s="5">
        <f t="shared" si="26"/>
        <v>4643.706105</v>
      </c>
      <c r="AY15" s="35">
        <f t="shared" si="27"/>
        <v>192.30654959999998</v>
      </c>
      <c r="BA15" s="5">
        <f t="shared" si="83"/>
        <v>57350.727</v>
      </c>
      <c r="BB15" s="5">
        <f t="shared" si="28"/>
        <v>25449.843667499998</v>
      </c>
      <c r="BC15" s="5">
        <f t="shared" si="29"/>
        <v>82800.5706675</v>
      </c>
      <c r="BD15" s="35">
        <f t="shared" si="30"/>
        <v>3428.9620596</v>
      </c>
      <c r="BF15" s="36">
        <f t="shared" si="84"/>
        <v>26553.842</v>
      </c>
      <c r="BG15" s="5">
        <f t="shared" si="31"/>
        <v>11783.479705</v>
      </c>
      <c r="BH15" s="36">
        <f t="shared" si="32"/>
        <v>38337.321705</v>
      </c>
      <c r="BI15" s="35">
        <f t="shared" si="33"/>
        <v>1587.6366616</v>
      </c>
      <c r="BK15" s="5">
        <f t="shared" si="85"/>
        <v>12717.404</v>
      </c>
      <c r="BL15" s="5">
        <f t="shared" si="34"/>
        <v>5643.449710000001</v>
      </c>
      <c r="BM15" s="5">
        <f t="shared" si="35"/>
        <v>18360.853710000003</v>
      </c>
      <c r="BN15" s="35">
        <f t="shared" si="36"/>
        <v>760.3651792000001</v>
      </c>
      <c r="BP15" s="5">
        <f t="shared" si="37"/>
        <v>1876.469</v>
      </c>
      <c r="BQ15" s="5">
        <f t="shared" si="38"/>
        <v>832.6981225000001</v>
      </c>
      <c r="BR15" s="5">
        <f t="shared" si="39"/>
        <v>2709.1671225</v>
      </c>
      <c r="BS15" s="35">
        <f t="shared" si="40"/>
        <v>112.1928412</v>
      </c>
      <c r="BU15" s="5">
        <f t="shared" si="86"/>
        <v>8319.591</v>
      </c>
      <c r="BV15" s="5">
        <f t="shared" si="41"/>
        <v>3691.8850275</v>
      </c>
      <c r="BW15" s="5">
        <f t="shared" si="42"/>
        <v>12011.4760275</v>
      </c>
      <c r="BX15" s="35">
        <f t="shared" si="43"/>
        <v>497.4228468</v>
      </c>
      <c r="BZ15" s="5">
        <f t="shared" si="87"/>
        <v>1145.7669999999998</v>
      </c>
      <c r="CA15" s="5">
        <f t="shared" si="44"/>
        <v>508.44326749999993</v>
      </c>
      <c r="CB15" s="5">
        <f t="shared" si="45"/>
        <v>1654.2102674999996</v>
      </c>
      <c r="CC15" s="35">
        <f t="shared" si="46"/>
        <v>68.50465159999999</v>
      </c>
      <c r="CE15" s="5">
        <f t="shared" si="88"/>
        <v>23902.116</v>
      </c>
      <c r="CF15" s="5">
        <f t="shared" si="47"/>
        <v>10606.75509</v>
      </c>
      <c r="CG15" s="5">
        <f t="shared" si="48"/>
        <v>34508.87109</v>
      </c>
      <c r="CH15" s="35">
        <f t="shared" si="49"/>
        <v>1429.0917168</v>
      </c>
      <c r="CJ15" s="5">
        <f t="shared" si="89"/>
        <v>4629.968</v>
      </c>
      <c r="CK15" s="5">
        <f t="shared" si="50"/>
        <v>2054.5853199999997</v>
      </c>
      <c r="CL15" s="5">
        <f t="shared" si="51"/>
        <v>6684.553319999999</v>
      </c>
      <c r="CM15" s="35">
        <f t="shared" si="52"/>
        <v>276.82272639999996</v>
      </c>
      <c r="CO15" s="5">
        <f t="shared" si="90"/>
        <v>6125.6089999999995</v>
      </c>
      <c r="CP15" s="5">
        <f t="shared" si="53"/>
        <v>2718.2879725</v>
      </c>
      <c r="CQ15" s="36">
        <f t="shared" si="54"/>
        <v>8843.896972499999</v>
      </c>
      <c r="CR15" s="35">
        <f t="shared" si="55"/>
        <v>366.24611319999997</v>
      </c>
      <c r="CT15" s="5">
        <f t="shared" si="91"/>
        <v>19912.802</v>
      </c>
      <c r="CU15" s="5">
        <f t="shared" si="56"/>
        <v>8836.465105</v>
      </c>
      <c r="CV15" s="36">
        <f t="shared" si="57"/>
        <v>28749.267105</v>
      </c>
      <c r="CW15" s="35">
        <f t="shared" si="58"/>
        <v>1190.5732696</v>
      </c>
      <c r="CY15" s="5">
        <f t="shared" si="92"/>
        <v>11706.708999999999</v>
      </c>
      <c r="CZ15" s="5">
        <f t="shared" si="59"/>
        <v>5194.9457225</v>
      </c>
      <c r="DA15" s="5">
        <f t="shared" si="60"/>
        <v>16901.6547225</v>
      </c>
      <c r="DB15" s="35">
        <f t="shared" si="61"/>
        <v>699.9363932</v>
      </c>
      <c r="DD15" s="5">
        <f t="shared" si="93"/>
        <v>13215.012999999999</v>
      </c>
      <c r="DE15" s="5">
        <f t="shared" si="62"/>
        <v>5864.2676825</v>
      </c>
      <c r="DF15" s="5">
        <f t="shared" si="63"/>
        <v>19079.2806825</v>
      </c>
      <c r="DG15" s="35">
        <f t="shared" si="64"/>
        <v>790.1168924</v>
      </c>
      <c r="DI15" s="5">
        <f t="shared" si="94"/>
        <v>153003.277</v>
      </c>
      <c r="DJ15" s="5">
        <f t="shared" si="65"/>
        <v>67896.42754250001</v>
      </c>
      <c r="DK15" s="5">
        <f t="shared" si="66"/>
        <v>220899.70454250003</v>
      </c>
      <c r="DL15" s="35">
        <f t="shared" si="67"/>
        <v>9147.9647996</v>
      </c>
      <c r="DN15" s="5">
        <f t="shared" si="95"/>
        <v>5633.628</v>
      </c>
      <c r="DO15" s="5">
        <f t="shared" si="68"/>
        <v>2499.96747</v>
      </c>
      <c r="DP15" s="36">
        <f t="shared" si="69"/>
        <v>8133.59547</v>
      </c>
      <c r="DQ15" s="35">
        <f t="shared" si="70"/>
        <v>336.8308944</v>
      </c>
      <c r="DS15" s="5">
        <f t="shared" si="96"/>
        <v>4986.877</v>
      </c>
      <c r="DT15" s="36">
        <f t="shared" si="71"/>
        <v>2212.9665425000003</v>
      </c>
      <c r="DU15" s="36">
        <f t="shared" si="72"/>
        <v>7199.843542500001</v>
      </c>
      <c r="DV15" s="35">
        <f t="shared" si="73"/>
        <v>298.1620796</v>
      </c>
    </row>
    <row r="16" spans="1:126" ht="12">
      <c r="A16" s="37">
        <v>43374</v>
      </c>
      <c r="D16" s="3">
        <v>1963975</v>
      </c>
      <c r="E16" s="35">
        <f t="shared" si="0"/>
        <v>1963975</v>
      </c>
      <c r="F16" s="35">
        <f>'2011A'!F16</f>
        <v>280412</v>
      </c>
      <c r="H16" s="47"/>
      <c r="I16" s="36">
        <f t="shared" si="1"/>
        <v>296014.2399500001</v>
      </c>
      <c r="J16" s="36">
        <f t="shared" si="2"/>
        <v>296014.2399500001</v>
      </c>
      <c r="K16" s="36">
        <f t="shared" si="3"/>
        <v>42264.25746400001</v>
      </c>
      <c r="N16" s="5">
        <f t="shared" si="4"/>
        <v>123051.67524</v>
      </c>
      <c r="O16" s="5">
        <f t="shared" si="5"/>
        <v>123051.67524</v>
      </c>
      <c r="P16" s="35">
        <f t="shared" si="6"/>
        <v>17569.0456128</v>
      </c>
      <c r="S16" s="36">
        <f t="shared" si="7"/>
        <v>54.4021075</v>
      </c>
      <c r="T16" s="36">
        <f t="shared" si="8"/>
        <v>54.4021075</v>
      </c>
      <c r="U16" s="35">
        <f t="shared" si="9"/>
        <v>7.7674123999999996</v>
      </c>
      <c r="X16" s="5">
        <f t="shared" si="10"/>
        <v>2435.9181925</v>
      </c>
      <c r="Y16" s="5">
        <f aca="true" t="shared" si="97" ref="Y16:Y41">W16+X16</f>
        <v>2435.9181925</v>
      </c>
      <c r="Z16" s="35">
        <f t="shared" si="12"/>
        <v>347.7950036</v>
      </c>
      <c r="AC16" s="5">
        <f t="shared" si="13"/>
        <v>1466.8929275</v>
      </c>
      <c r="AD16" s="5">
        <f t="shared" si="14"/>
        <v>1466.8929275</v>
      </c>
      <c r="AE16" s="35">
        <f t="shared" si="15"/>
        <v>209.4397228</v>
      </c>
      <c r="AH16" s="5">
        <f t="shared" si="16"/>
        <v>10902.025225000001</v>
      </c>
      <c r="AI16" s="5">
        <f t="shared" si="17"/>
        <v>10902.025225000001</v>
      </c>
      <c r="AJ16" s="35">
        <f t="shared" si="18"/>
        <v>1556.5670120000002</v>
      </c>
      <c r="AM16" s="5">
        <f t="shared" si="19"/>
        <v>3378.429795</v>
      </c>
      <c r="AN16" s="5">
        <f t="shared" si="20"/>
        <v>3378.429795</v>
      </c>
      <c r="AO16" s="35">
        <f t="shared" si="21"/>
        <v>482.3647224</v>
      </c>
      <c r="AR16" s="5">
        <f t="shared" si="22"/>
        <v>6360.5294349999995</v>
      </c>
      <c r="AS16" s="5">
        <f t="shared" si="23"/>
        <v>6360.5294349999995</v>
      </c>
      <c r="AT16" s="35">
        <f t="shared" si="24"/>
        <v>908.1423032</v>
      </c>
      <c r="AW16" s="5">
        <f t="shared" si="25"/>
        <v>1346.894055</v>
      </c>
      <c r="AX16" s="5">
        <f t="shared" si="26"/>
        <v>1346.894055</v>
      </c>
      <c r="AY16" s="35">
        <f t="shared" si="27"/>
        <v>192.30654959999998</v>
      </c>
      <c r="BB16" s="5">
        <f t="shared" si="28"/>
        <v>24016.0754925</v>
      </c>
      <c r="BC16" s="5">
        <f t="shared" si="29"/>
        <v>24016.0754925</v>
      </c>
      <c r="BD16" s="35">
        <f t="shared" si="30"/>
        <v>3428.9620596</v>
      </c>
      <c r="BF16" s="36"/>
      <c r="BG16" s="5">
        <f t="shared" si="31"/>
        <v>11119.633655</v>
      </c>
      <c r="BH16" s="36">
        <f t="shared" si="32"/>
        <v>11119.633655</v>
      </c>
      <c r="BI16" s="35">
        <f t="shared" si="33"/>
        <v>1587.6366616</v>
      </c>
      <c r="BL16" s="5">
        <f t="shared" si="34"/>
        <v>5325.51461</v>
      </c>
      <c r="BM16" s="5">
        <f t="shared" si="35"/>
        <v>5325.51461</v>
      </c>
      <c r="BN16" s="35">
        <f t="shared" si="36"/>
        <v>760.3651792000001</v>
      </c>
      <c r="BP16" s="5">
        <f t="shared" si="37"/>
        <v>0</v>
      </c>
      <c r="BQ16" s="5">
        <f t="shared" si="38"/>
        <v>785.7863975</v>
      </c>
      <c r="BR16" s="5">
        <f t="shared" si="39"/>
        <v>785.7863975</v>
      </c>
      <c r="BS16" s="35">
        <f t="shared" si="40"/>
        <v>112.1928412</v>
      </c>
      <c r="BV16" s="5">
        <f t="shared" si="41"/>
        <v>3483.8952525</v>
      </c>
      <c r="BW16" s="5">
        <f t="shared" si="42"/>
        <v>3483.8952525</v>
      </c>
      <c r="BX16" s="35">
        <f t="shared" si="43"/>
        <v>497.4228468</v>
      </c>
      <c r="CA16" s="5">
        <f t="shared" si="44"/>
        <v>479.7990925</v>
      </c>
      <c r="CB16" s="5">
        <f t="shared" si="45"/>
        <v>479.7990925</v>
      </c>
      <c r="CC16" s="35">
        <f t="shared" si="46"/>
        <v>68.50465159999999</v>
      </c>
      <c r="CF16" s="5">
        <f t="shared" si="47"/>
        <v>10009.20219</v>
      </c>
      <c r="CG16" s="5">
        <f t="shared" si="48"/>
        <v>10009.20219</v>
      </c>
      <c r="CH16" s="35">
        <f t="shared" si="49"/>
        <v>1429.0917168</v>
      </c>
      <c r="CK16" s="5">
        <f t="shared" si="50"/>
        <v>1938.83612</v>
      </c>
      <c r="CL16" s="5">
        <f t="shared" si="51"/>
        <v>1938.83612</v>
      </c>
      <c r="CM16" s="35">
        <f t="shared" si="52"/>
        <v>276.82272639999996</v>
      </c>
      <c r="CP16" s="5">
        <f t="shared" si="53"/>
        <v>2565.1477474999997</v>
      </c>
      <c r="CQ16" s="36">
        <f t="shared" si="54"/>
        <v>2565.1477474999997</v>
      </c>
      <c r="CR16" s="35">
        <f t="shared" si="55"/>
        <v>366.24611319999997</v>
      </c>
      <c r="CU16" s="5">
        <f t="shared" si="56"/>
        <v>8338.645055</v>
      </c>
      <c r="CV16" s="36">
        <f t="shared" si="57"/>
        <v>8338.645055</v>
      </c>
      <c r="CW16" s="35">
        <f t="shared" si="58"/>
        <v>1190.5732696</v>
      </c>
      <c r="CZ16" s="5">
        <f t="shared" si="59"/>
        <v>4902.277997499999</v>
      </c>
      <c r="DA16" s="5">
        <f t="shared" si="60"/>
        <v>4902.277997499999</v>
      </c>
      <c r="DB16" s="35">
        <f t="shared" si="61"/>
        <v>699.9363932</v>
      </c>
      <c r="DE16" s="5">
        <f t="shared" si="62"/>
        <v>5533.8923575</v>
      </c>
      <c r="DF16" s="5">
        <f t="shared" si="63"/>
        <v>5533.8923575</v>
      </c>
      <c r="DG16" s="35">
        <f t="shared" si="64"/>
        <v>790.1168924</v>
      </c>
      <c r="DJ16" s="5">
        <f t="shared" si="65"/>
        <v>64071.3456175</v>
      </c>
      <c r="DK16" s="5">
        <f t="shared" si="66"/>
        <v>64071.3456175</v>
      </c>
      <c r="DL16" s="35">
        <f t="shared" si="67"/>
        <v>9147.9647996</v>
      </c>
      <c r="DO16" s="5">
        <f t="shared" si="68"/>
        <v>2359.12677</v>
      </c>
      <c r="DP16" s="36">
        <f t="shared" si="69"/>
        <v>2359.12677</v>
      </c>
      <c r="DQ16" s="35">
        <f t="shared" si="70"/>
        <v>336.8308944</v>
      </c>
      <c r="DT16" s="36">
        <f t="shared" si="71"/>
        <v>2088.2946175</v>
      </c>
      <c r="DU16" s="36">
        <f t="shared" si="72"/>
        <v>2088.2946175</v>
      </c>
      <c r="DV16" s="35">
        <f t="shared" si="73"/>
        <v>298.1620796</v>
      </c>
    </row>
    <row r="17" spans="1:126" ht="12">
      <c r="A17" s="37">
        <v>43556</v>
      </c>
      <c r="C17" s="3">
        <v>4925000</v>
      </c>
      <c r="D17" s="3">
        <v>1963975</v>
      </c>
      <c r="E17" s="35">
        <f t="shared" si="0"/>
        <v>6888975</v>
      </c>
      <c r="F17" s="35">
        <f>'2011A'!F17</f>
        <v>280412</v>
      </c>
      <c r="H17" s="47">
        <f t="shared" si="74"/>
        <v>742305.8499999999</v>
      </c>
      <c r="I17" s="36">
        <f t="shared" si="1"/>
        <v>296014.2399500001</v>
      </c>
      <c r="J17" s="36">
        <f t="shared" si="2"/>
        <v>1038320.0899499999</v>
      </c>
      <c r="K17" s="36">
        <f t="shared" si="3"/>
        <v>42264.25746400001</v>
      </c>
      <c r="M17" s="5">
        <f t="shared" si="75"/>
        <v>308572.92</v>
      </c>
      <c r="N17" s="5">
        <f t="shared" si="4"/>
        <v>123051.67524</v>
      </c>
      <c r="O17" s="5">
        <f t="shared" si="5"/>
        <v>431624.59524</v>
      </c>
      <c r="P17" s="35">
        <f t="shared" si="6"/>
        <v>17569.0456128</v>
      </c>
      <c r="R17" s="5">
        <f t="shared" si="76"/>
        <v>136.42249999999999</v>
      </c>
      <c r="S17" s="36">
        <f t="shared" si="7"/>
        <v>54.4021075</v>
      </c>
      <c r="T17" s="36">
        <f t="shared" si="8"/>
        <v>190.82460749999998</v>
      </c>
      <c r="U17" s="35">
        <f t="shared" si="9"/>
        <v>7.7674123999999996</v>
      </c>
      <c r="W17" s="5">
        <f t="shared" si="77"/>
        <v>6108.4775</v>
      </c>
      <c r="X17" s="5">
        <f t="shared" si="10"/>
        <v>2435.9181925</v>
      </c>
      <c r="Y17" s="5">
        <f t="shared" si="97"/>
        <v>8544.3956925</v>
      </c>
      <c r="Z17" s="35">
        <f t="shared" si="12"/>
        <v>347.7950036</v>
      </c>
      <c r="AB17" s="5">
        <f t="shared" si="78"/>
        <v>3678.4825</v>
      </c>
      <c r="AC17" s="5">
        <f t="shared" si="13"/>
        <v>1466.8929275</v>
      </c>
      <c r="AD17" s="5">
        <f t="shared" si="14"/>
        <v>5145.3754275</v>
      </c>
      <c r="AE17" s="35">
        <f t="shared" si="15"/>
        <v>209.4397228</v>
      </c>
      <c r="AG17" s="5">
        <f t="shared" si="79"/>
        <v>27338.675000000003</v>
      </c>
      <c r="AH17" s="5">
        <f t="shared" si="16"/>
        <v>10902.025225000001</v>
      </c>
      <c r="AI17" s="5">
        <f t="shared" si="17"/>
        <v>38240.70022500001</v>
      </c>
      <c r="AJ17" s="35">
        <f t="shared" si="18"/>
        <v>1556.5670120000002</v>
      </c>
      <c r="AL17" s="5">
        <f t="shared" si="80"/>
        <v>8471.985</v>
      </c>
      <c r="AM17" s="5">
        <f t="shared" si="19"/>
        <v>3378.429795</v>
      </c>
      <c r="AN17" s="5">
        <f t="shared" si="20"/>
        <v>11850.414795</v>
      </c>
      <c r="AO17" s="35">
        <f t="shared" si="21"/>
        <v>482.3647224</v>
      </c>
      <c r="AQ17" s="5">
        <f t="shared" si="81"/>
        <v>15950.105</v>
      </c>
      <c r="AR17" s="5">
        <f t="shared" si="22"/>
        <v>6360.5294349999995</v>
      </c>
      <c r="AS17" s="5">
        <f t="shared" si="23"/>
        <v>22310.634435</v>
      </c>
      <c r="AT17" s="35">
        <f t="shared" si="24"/>
        <v>908.1423032</v>
      </c>
      <c r="AV17" s="5">
        <f t="shared" si="82"/>
        <v>3377.565</v>
      </c>
      <c r="AW17" s="5">
        <f t="shared" si="25"/>
        <v>1346.894055</v>
      </c>
      <c r="AX17" s="5">
        <f t="shared" si="26"/>
        <v>4724.459055</v>
      </c>
      <c r="AY17" s="35">
        <f t="shared" si="27"/>
        <v>192.30654959999998</v>
      </c>
      <c r="BA17" s="5">
        <f t="shared" si="83"/>
        <v>60224.377499999995</v>
      </c>
      <c r="BB17" s="5">
        <f t="shared" si="28"/>
        <v>24016.0754925</v>
      </c>
      <c r="BC17" s="5">
        <f t="shared" si="29"/>
        <v>84240.4529925</v>
      </c>
      <c r="BD17" s="35">
        <f t="shared" si="30"/>
        <v>3428.9620596</v>
      </c>
      <c r="BF17" s="36">
        <f t="shared" si="84"/>
        <v>27884.364999999998</v>
      </c>
      <c r="BG17" s="5">
        <f t="shared" si="31"/>
        <v>11119.633655</v>
      </c>
      <c r="BH17" s="36">
        <f t="shared" si="32"/>
        <v>39003.998654999996</v>
      </c>
      <c r="BI17" s="35">
        <f t="shared" si="33"/>
        <v>1587.6366616</v>
      </c>
      <c r="BK17" s="5">
        <f t="shared" si="85"/>
        <v>13354.630000000001</v>
      </c>
      <c r="BL17" s="5">
        <f t="shared" si="34"/>
        <v>5325.51461</v>
      </c>
      <c r="BM17" s="5">
        <f t="shared" si="35"/>
        <v>18680.144610000003</v>
      </c>
      <c r="BN17" s="35">
        <f t="shared" si="36"/>
        <v>760.3651792000001</v>
      </c>
      <c r="BP17" s="5">
        <f t="shared" si="37"/>
        <v>1970.4925</v>
      </c>
      <c r="BQ17" s="5">
        <f t="shared" si="38"/>
        <v>785.7863975</v>
      </c>
      <c r="BR17" s="5">
        <f t="shared" si="39"/>
        <v>2756.2788975000003</v>
      </c>
      <c r="BS17" s="35">
        <f t="shared" si="40"/>
        <v>112.1928412</v>
      </c>
      <c r="BU17" s="5">
        <f t="shared" si="86"/>
        <v>8736.4575</v>
      </c>
      <c r="BV17" s="5">
        <f t="shared" si="41"/>
        <v>3483.8952525</v>
      </c>
      <c r="BW17" s="5">
        <f t="shared" si="42"/>
        <v>12220.3527525</v>
      </c>
      <c r="BX17" s="35">
        <f t="shared" si="43"/>
        <v>497.4228468</v>
      </c>
      <c r="BZ17" s="5">
        <f t="shared" si="87"/>
        <v>1203.1774999999998</v>
      </c>
      <c r="CA17" s="5">
        <f t="shared" si="44"/>
        <v>479.7990925</v>
      </c>
      <c r="CB17" s="5">
        <f t="shared" si="45"/>
        <v>1682.9765924999997</v>
      </c>
      <c r="CC17" s="35">
        <f t="shared" si="46"/>
        <v>68.50465159999999</v>
      </c>
      <c r="CE17" s="5">
        <f t="shared" si="88"/>
        <v>25099.77</v>
      </c>
      <c r="CF17" s="5">
        <f t="shared" si="47"/>
        <v>10009.20219</v>
      </c>
      <c r="CG17" s="5">
        <f t="shared" si="48"/>
        <v>35108.97219</v>
      </c>
      <c r="CH17" s="35">
        <f t="shared" si="49"/>
        <v>1429.0917168</v>
      </c>
      <c r="CJ17" s="5">
        <f t="shared" si="89"/>
        <v>4861.96</v>
      </c>
      <c r="CK17" s="5">
        <f t="shared" si="50"/>
        <v>1938.83612</v>
      </c>
      <c r="CL17" s="5">
        <f t="shared" si="51"/>
        <v>6800.79612</v>
      </c>
      <c r="CM17" s="35">
        <f t="shared" si="52"/>
        <v>276.82272639999996</v>
      </c>
      <c r="CO17" s="5">
        <f t="shared" si="90"/>
        <v>6432.5425</v>
      </c>
      <c r="CP17" s="5">
        <f t="shared" si="53"/>
        <v>2565.1477474999997</v>
      </c>
      <c r="CQ17" s="36">
        <f t="shared" si="54"/>
        <v>8997.690247499999</v>
      </c>
      <c r="CR17" s="35">
        <f t="shared" si="55"/>
        <v>366.24611319999997</v>
      </c>
      <c r="CT17" s="5">
        <f t="shared" si="91"/>
        <v>20910.565</v>
      </c>
      <c r="CU17" s="5">
        <f t="shared" si="56"/>
        <v>8338.645055</v>
      </c>
      <c r="CV17" s="36">
        <f t="shared" si="57"/>
        <v>29249.210055</v>
      </c>
      <c r="CW17" s="35">
        <f t="shared" si="58"/>
        <v>1190.5732696</v>
      </c>
      <c r="CY17" s="5">
        <f t="shared" si="92"/>
        <v>12293.2925</v>
      </c>
      <c r="CZ17" s="5">
        <f t="shared" si="59"/>
        <v>4902.277997499999</v>
      </c>
      <c r="DA17" s="5">
        <f t="shared" si="60"/>
        <v>17195.570497499997</v>
      </c>
      <c r="DB17" s="35">
        <f t="shared" si="61"/>
        <v>699.9363932</v>
      </c>
      <c r="DD17" s="5">
        <f t="shared" si="93"/>
        <v>13877.172499999999</v>
      </c>
      <c r="DE17" s="5">
        <f t="shared" si="62"/>
        <v>5533.8923575</v>
      </c>
      <c r="DF17" s="5">
        <f t="shared" si="63"/>
        <v>19411.064857499998</v>
      </c>
      <c r="DG17" s="35">
        <f t="shared" si="64"/>
        <v>790.1168924</v>
      </c>
      <c r="DI17" s="5">
        <f t="shared" si="94"/>
        <v>160669.7525</v>
      </c>
      <c r="DJ17" s="5">
        <f t="shared" si="65"/>
        <v>64071.3456175</v>
      </c>
      <c r="DK17" s="5">
        <f t="shared" si="66"/>
        <v>224741.09811750002</v>
      </c>
      <c r="DL17" s="35">
        <f t="shared" si="67"/>
        <v>9147.9647996</v>
      </c>
      <c r="DN17" s="5">
        <f t="shared" si="95"/>
        <v>5915.91</v>
      </c>
      <c r="DO17" s="5">
        <f t="shared" si="68"/>
        <v>2359.12677</v>
      </c>
      <c r="DP17" s="36">
        <f t="shared" si="69"/>
        <v>8275.036769999999</v>
      </c>
      <c r="DQ17" s="35">
        <f t="shared" si="70"/>
        <v>336.8308944</v>
      </c>
      <c r="DS17" s="5">
        <f t="shared" si="96"/>
        <v>5236.7525000000005</v>
      </c>
      <c r="DT17" s="36">
        <f t="shared" si="71"/>
        <v>2088.2946175</v>
      </c>
      <c r="DU17" s="36">
        <f t="shared" si="72"/>
        <v>7325.0471175</v>
      </c>
      <c r="DV17" s="35">
        <f t="shared" si="73"/>
        <v>298.1620796</v>
      </c>
    </row>
    <row r="18" spans="1:126" ht="12">
      <c r="A18" s="37">
        <v>43739</v>
      </c>
      <c r="D18" s="3">
        <v>1840850</v>
      </c>
      <c r="E18" s="35">
        <f t="shared" si="0"/>
        <v>1840850</v>
      </c>
      <c r="F18" s="35">
        <f>'2011A'!F18</f>
        <v>280412</v>
      </c>
      <c r="H18" s="47"/>
      <c r="I18" s="36">
        <f t="shared" si="1"/>
        <v>277456.5937</v>
      </c>
      <c r="J18" s="36">
        <f t="shared" si="2"/>
        <v>277456.5937</v>
      </c>
      <c r="K18" s="36">
        <f t="shared" si="3"/>
        <v>42264.25746400001</v>
      </c>
      <c r="N18" s="5">
        <f t="shared" si="4"/>
        <v>115337.35224</v>
      </c>
      <c r="O18" s="5">
        <f t="shared" si="5"/>
        <v>115337.35224</v>
      </c>
      <c r="P18" s="35">
        <f t="shared" si="6"/>
        <v>17569.0456128</v>
      </c>
      <c r="S18" s="36">
        <f t="shared" si="7"/>
        <v>50.991544999999995</v>
      </c>
      <c r="T18" s="36">
        <f t="shared" si="8"/>
        <v>50.991544999999995</v>
      </c>
      <c r="U18" s="35">
        <f t="shared" si="9"/>
        <v>7.7674123999999996</v>
      </c>
      <c r="X18" s="5">
        <f t="shared" si="10"/>
        <v>2283.206255</v>
      </c>
      <c r="Y18" s="5">
        <f t="shared" si="97"/>
        <v>2283.206255</v>
      </c>
      <c r="Z18" s="35">
        <f t="shared" si="12"/>
        <v>347.7950036</v>
      </c>
      <c r="AC18" s="5">
        <f t="shared" si="13"/>
        <v>1374.930865</v>
      </c>
      <c r="AD18" s="5">
        <f t="shared" si="14"/>
        <v>1374.930865</v>
      </c>
      <c r="AE18" s="35">
        <f t="shared" si="15"/>
        <v>209.4397228</v>
      </c>
      <c r="AH18" s="5">
        <f t="shared" si="16"/>
        <v>10218.558350000001</v>
      </c>
      <c r="AI18" s="5">
        <f t="shared" si="17"/>
        <v>10218.558350000001</v>
      </c>
      <c r="AJ18" s="35">
        <f t="shared" si="18"/>
        <v>1556.5670120000002</v>
      </c>
      <c r="AM18" s="5">
        <f t="shared" si="19"/>
        <v>3166.63017</v>
      </c>
      <c r="AN18" s="5">
        <f t="shared" si="20"/>
        <v>3166.63017</v>
      </c>
      <c r="AO18" s="35">
        <f t="shared" si="21"/>
        <v>482.3647224</v>
      </c>
      <c r="AR18" s="5">
        <f t="shared" si="22"/>
        <v>5961.776809999999</v>
      </c>
      <c r="AS18" s="5">
        <f t="shared" si="23"/>
        <v>5961.776809999999</v>
      </c>
      <c r="AT18" s="35">
        <f t="shared" si="24"/>
        <v>908.1423032</v>
      </c>
      <c r="AW18" s="5">
        <f t="shared" si="25"/>
        <v>1262.4549299999999</v>
      </c>
      <c r="AX18" s="5">
        <f t="shared" si="26"/>
        <v>1262.4549299999999</v>
      </c>
      <c r="AY18" s="35">
        <f t="shared" si="27"/>
        <v>192.30654959999998</v>
      </c>
      <c r="BB18" s="5">
        <f t="shared" si="28"/>
        <v>22510.466054999997</v>
      </c>
      <c r="BC18" s="5">
        <f t="shared" si="29"/>
        <v>22510.466054999997</v>
      </c>
      <c r="BD18" s="35">
        <f t="shared" si="30"/>
        <v>3428.9620596</v>
      </c>
      <c r="BF18" s="36"/>
      <c r="BG18" s="5">
        <f t="shared" si="31"/>
        <v>10422.524529999999</v>
      </c>
      <c r="BH18" s="36">
        <f t="shared" si="32"/>
        <v>10422.524529999999</v>
      </c>
      <c r="BI18" s="35">
        <f t="shared" si="33"/>
        <v>1587.6366616</v>
      </c>
      <c r="BL18" s="5">
        <f t="shared" si="34"/>
        <v>4991.64886</v>
      </c>
      <c r="BM18" s="5">
        <f t="shared" si="35"/>
        <v>4991.64886</v>
      </c>
      <c r="BN18" s="35">
        <f t="shared" si="36"/>
        <v>760.3651792000001</v>
      </c>
      <c r="BP18" s="5">
        <f t="shared" si="37"/>
        <v>0</v>
      </c>
      <c r="BQ18" s="5">
        <f t="shared" si="38"/>
        <v>736.524085</v>
      </c>
      <c r="BR18" s="5">
        <f t="shared" si="39"/>
        <v>736.524085</v>
      </c>
      <c r="BS18" s="35">
        <f t="shared" si="40"/>
        <v>112.1928412</v>
      </c>
      <c r="BV18" s="5">
        <f t="shared" si="41"/>
        <v>3265.483815</v>
      </c>
      <c r="BW18" s="5">
        <f t="shared" si="42"/>
        <v>3265.483815</v>
      </c>
      <c r="BX18" s="35">
        <f t="shared" si="43"/>
        <v>497.4228468</v>
      </c>
      <c r="CA18" s="5">
        <f t="shared" si="44"/>
        <v>449.71965499999993</v>
      </c>
      <c r="CB18" s="5">
        <f t="shared" si="45"/>
        <v>449.71965499999993</v>
      </c>
      <c r="CC18" s="35">
        <f t="shared" si="46"/>
        <v>68.50465159999999</v>
      </c>
      <c r="CF18" s="5">
        <f t="shared" si="47"/>
        <v>9381.70794</v>
      </c>
      <c r="CG18" s="5">
        <f t="shared" si="48"/>
        <v>9381.70794</v>
      </c>
      <c r="CH18" s="35">
        <f t="shared" si="49"/>
        <v>1429.0917168</v>
      </c>
      <c r="CK18" s="5">
        <f t="shared" si="50"/>
        <v>1817.28712</v>
      </c>
      <c r="CL18" s="5">
        <f t="shared" si="51"/>
        <v>1817.28712</v>
      </c>
      <c r="CM18" s="35">
        <f t="shared" si="52"/>
        <v>276.82272639999996</v>
      </c>
      <c r="CP18" s="5">
        <f t="shared" si="53"/>
        <v>2404.3341849999997</v>
      </c>
      <c r="CQ18" s="36">
        <f t="shared" si="54"/>
        <v>2404.3341849999997</v>
      </c>
      <c r="CR18" s="35">
        <f t="shared" si="55"/>
        <v>366.24611319999997</v>
      </c>
      <c r="CU18" s="5">
        <f t="shared" si="56"/>
        <v>7815.88093</v>
      </c>
      <c r="CV18" s="36">
        <f t="shared" si="57"/>
        <v>7815.88093</v>
      </c>
      <c r="CW18" s="35">
        <f t="shared" si="58"/>
        <v>1190.5732696</v>
      </c>
      <c r="CZ18" s="5">
        <f t="shared" si="59"/>
        <v>4594.945685</v>
      </c>
      <c r="DA18" s="5">
        <f t="shared" si="60"/>
        <v>4594.945685</v>
      </c>
      <c r="DB18" s="35">
        <f t="shared" si="61"/>
        <v>699.9363932</v>
      </c>
      <c r="DE18" s="5">
        <f t="shared" si="62"/>
        <v>5186.9630449999995</v>
      </c>
      <c r="DF18" s="5">
        <f t="shared" si="63"/>
        <v>5186.9630449999995</v>
      </c>
      <c r="DG18" s="35">
        <f t="shared" si="64"/>
        <v>790.1168924</v>
      </c>
      <c r="DJ18" s="5">
        <f t="shared" si="65"/>
        <v>60054.601805</v>
      </c>
      <c r="DK18" s="5">
        <f t="shared" si="66"/>
        <v>60054.601805</v>
      </c>
      <c r="DL18" s="35">
        <f t="shared" si="67"/>
        <v>9147.9647996</v>
      </c>
      <c r="DO18" s="5">
        <f t="shared" si="68"/>
        <v>2211.2290199999998</v>
      </c>
      <c r="DP18" s="36">
        <f t="shared" si="69"/>
        <v>2211.2290199999998</v>
      </c>
      <c r="DQ18" s="35">
        <f t="shared" si="70"/>
        <v>336.8308944</v>
      </c>
      <c r="DT18" s="36">
        <f t="shared" si="71"/>
        <v>1957.3758050000001</v>
      </c>
      <c r="DU18" s="36">
        <f t="shared" si="72"/>
        <v>1957.3758050000001</v>
      </c>
      <c r="DV18" s="35">
        <f t="shared" si="73"/>
        <v>298.1620796</v>
      </c>
    </row>
    <row r="19" spans="1:126" ht="12">
      <c r="A19" s="37">
        <v>43922</v>
      </c>
      <c r="C19" s="3">
        <v>5170000</v>
      </c>
      <c r="D19" s="3">
        <v>1840850</v>
      </c>
      <c r="E19" s="35">
        <f t="shared" si="0"/>
        <v>7010850</v>
      </c>
      <c r="F19" s="35">
        <f>'2011A'!F19</f>
        <v>280412</v>
      </c>
      <c r="H19" s="47">
        <f t="shared" si="74"/>
        <v>779232.7400000001</v>
      </c>
      <c r="I19" s="36">
        <f t="shared" si="1"/>
        <v>277456.5937</v>
      </c>
      <c r="J19" s="36">
        <f t="shared" si="2"/>
        <v>1056689.3337</v>
      </c>
      <c r="K19" s="36">
        <f t="shared" si="3"/>
        <v>42264.25746400001</v>
      </c>
      <c r="M19" s="5">
        <f t="shared" si="75"/>
        <v>323923.248</v>
      </c>
      <c r="N19" s="5">
        <f t="shared" si="4"/>
        <v>115337.35224</v>
      </c>
      <c r="O19" s="5">
        <f t="shared" si="5"/>
        <v>439260.60024</v>
      </c>
      <c r="P19" s="35">
        <f t="shared" si="6"/>
        <v>17569.0456128</v>
      </c>
      <c r="R19" s="5">
        <f t="shared" si="76"/>
        <v>143.209</v>
      </c>
      <c r="S19" s="36">
        <f t="shared" si="7"/>
        <v>50.991544999999995</v>
      </c>
      <c r="T19" s="36">
        <f t="shared" si="8"/>
        <v>194.200545</v>
      </c>
      <c r="U19" s="35">
        <f t="shared" si="9"/>
        <v>7.7674123999999996</v>
      </c>
      <c r="W19" s="5">
        <f t="shared" si="77"/>
        <v>6412.351</v>
      </c>
      <c r="X19" s="5">
        <f t="shared" si="10"/>
        <v>2283.206255</v>
      </c>
      <c r="Y19" s="5">
        <f t="shared" si="97"/>
        <v>8695.557255</v>
      </c>
      <c r="Z19" s="35">
        <f t="shared" si="12"/>
        <v>347.7950036</v>
      </c>
      <c r="AB19" s="5">
        <f t="shared" si="78"/>
        <v>3861.473</v>
      </c>
      <c r="AC19" s="5">
        <f t="shared" si="13"/>
        <v>1374.930865</v>
      </c>
      <c r="AD19" s="5">
        <f t="shared" si="14"/>
        <v>5236.403865</v>
      </c>
      <c r="AE19" s="35">
        <f t="shared" si="15"/>
        <v>209.4397228</v>
      </c>
      <c r="AG19" s="5">
        <f t="shared" si="79"/>
        <v>28698.670000000002</v>
      </c>
      <c r="AH19" s="5">
        <f t="shared" si="16"/>
        <v>10218.558350000001</v>
      </c>
      <c r="AI19" s="5">
        <f t="shared" si="17"/>
        <v>38917.228350000005</v>
      </c>
      <c r="AJ19" s="35">
        <f t="shared" si="18"/>
        <v>1556.5670120000002</v>
      </c>
      <c r="AL19" s="5">
        <f t="shared" si="80"/>
        <v>8893.434000000001</v>
      </c>
      <c r="AM19" s="5">
        <f t="shared" si="19"/>
        <v>3166.63017</v>
      </c>
      <c r="AN19" s="5">
        <f t="shared" si="20"/>
        <v>12060.064170000001</v>
      </c>
      <c r="AO19" s="35">
        <f t="shared" si="21"/>
        <v>482.3647224</v>
      </c>
      <c r="AQ19" s="5">
        <f t="shared" si="81"/>
        <v>16743.561999999998</v>
      </c>
      <c r="AR19" s="5">
        <f t="shared" si="22"/>
        <v>5961.776809999999</v>
      </c>
      <c r="AS19" s="5">
        <f t="shared" si="23"/>
        <v>22705.338809999997</v>
      </c>
      <c r="AT19" s="35">
        <f t="shared" si="24"/>
        <v>908.1423032</v>
      </c>
      <c r="AV19" s="5">
        <f t="shared" si="82"/>
        <v>3545.586</v>
      </c>
      <c r="AW19" s="5">
        <f t="shared" si="25"/>
        <v>1262.4549299999999</v>
      </c>
      <c r="AX19" s="5">
        <f t="shared" si="26"/>
        <v>4808.040929999999</v>
      </c>
      <c r="AY19" s="35">
        <f t="shared" si="27"/>
        <v>192.30654959999998</v>
      </c>
      <c r="BA19" s="5">
        <f t="shared" si="83"/>
        <v>63220.310999999994</v>
      </c>
      <c r="BB19" s="5">
        <f t="shared" si="28"/>
        <v>22510.466054999997</v>
      </c>
      <c r="BC19" s="5">
        <f t="shared" si="29"/>
        <v>85730.77705499998</v>
      </c>
      <c r="BD19" s="35">
        <f t="shared" si="30"/>
        <v>3428.9620596</v>
      </c>
      <c r="BF19" s="36">
        <f t="shared" si="84"/>
        <v>29271.505999999998</v>
      </c>
      <c r="BG19" s="5">
        <f t="shared" si="31"/>
        <v>10422.524529999999</v>
      </c>
      <c r="BH19" s="36">
        <f t="shared" si="32"/>
        <v>39694.030529999996</v>
      </c>
      <c r="BI19" s="35">
        <f t="shared" si="33"/>
        <v>1587.6366616</v>
      </c>
      <c r="BK19" s="5">
        <f t="shared" si="85"/>
        <v>14018.972000000002</v>
      </c>
      <c r="BL19" s="5">
        <f t="shared" si="34"/>
        <v>4991.64886</v>
      </c>
      <c r="BM19" s="5">
        <f t="shared" si="35"/>
        <v>19010.620860000003</v>
      </c>
      <c r="BN19" s="35">
        <f t="shared" si="36"/>
        <v>760.3651792000001</v>
      </c>
      <c r="BP19" s="5">
        <f t="shared" si="37"/>
        <v>2068.5170000000003</v>
      </c>
      <c r="BQ19" s="5">
        <f t="shared" si="38"/>
        <v>736.524085</v>
      </c>
      <c r="BR19" s="5">
        <f t="shared" si="39"/>
        <v>2805.0410850000003</v>
      </c>
      <c r="BS19" s="35">
        <f t="shared" si="40"/>
        <v>112.1928412</v>
      </c>
      <c r="BU19" s="5">
        <f t="shared" si="86"/>
        <v>9171.063</v>
      </c>
      <c r="BV19" s="5">
        <f t="shared" si="41"/>
        <v>3265.483815</v>
      </c>
      <c r="BW19" s="5">
        <f t="shared" si="42"/>
        <v>12436.546815</v>
      </c>
      <c r="BX19" s="35">
        <f t="shared" si="43"/>
        <v>497.4228468</v>
      </c>
      <c r="BZ19" s="5">
        <f t="shared" si="87"/>
        <v>1263.031</v>
      </c>
      <c r="CA19" s="5">
        <f t="shared" si="44"/>
        <v>449.71965499999993</v>
      </c>
      <c r="CB19" s="5">
        <f t="shared" si="45"/>
        <v>1712.7506549999998</v>
      </c>
      <c r="CC19" s="35">
        <f t="shared" si="46"/>
        <v>68.50465159999999</v>
      </c>
      <c r="CE19" s="5">
        <f t="shared" si="88"/>
        <v>26348.388</v>
      </c>
      <c r="CF19" s="5">
        <f t="shared" si="47"/>
        <v>9381.70794</v>
      </c>
      <c r="CG19" s="5">
        <f t="shared" si="48"/>
        <v>35730.09594</v>
      </c>
      <c r="CH19" s="35">
        <f t="shared" si="49"/>
        <v>1429.0917168</v>
      </c>
      <c r="CJ19" s="5">
        <f t="shared" si="89"/>
        <v>5103.824</v>
      </c>
      <c r="CK19" s="5">
        <f t="shared" si="50"/>
        <v>1817.28712</v>
      </c>
      <c r="CL19" s="5">
        <f t="shared" si="51"/>
        <v>6921.11112</v>
      </c>
      <c r="CM19" s="35">
        <f t="shared" si="52"/>
        <v>276.82272639999996</v>
      </c>
      <c r="CO19" s="5">
        <f t="shared" si="90"/>
        <v>6752.536999999999</v>
      </c>
      <c r="CP19" s="5">
        <f t="shared" si="53"/>
        <v>2404.3341849999997</v>
      </c>
      <c r="CQ19" s="36">
        <f t="shared" si="54"/>
        <v>9156.871185</v>
      </c>
      <c r="CR19" s="35">
        <f t="shared" si="55"/>
        <v>366.24611319999997</v>
      </c>
      <c r="CT19" s="5">
        <f t="shared" si="91"/>
        <v>21950.786</v>
      </c>
      <c r="CU19" s="5">
        <f t="shared" si="56"/>
        <v>7815.88093</v>
      </c>
      <c r="CV19" s="36">
        <f t="shared" si="57"/>
        <v>29766.66693</v>
      </c>
      <c r="CW19" s="35">
        <f t="shared" si="58"/>
        <v>1190.5732696</v>
      </c>
      <c r="CY19" s="5">
        <f t="shared" si="92"/>
        <v>12904.837</v>
      </c>
      <c r="CZ19" s="5">
        <f t="shared" si="59"/>
        <v>4594.945685</v>
      </c>
      <c r="DA19" s="5">
        <f t="shared" si="60"/>
        <v>17499.782685</v>
      </c>
      <c r="DB19" s="35">
        <f t="shared" si="61"/>
        <v>699.9363932</v>
      </c>
      <c r="DD19" s="5">
        <f t="shared" si="93"/>
        <v>14567.508999999998</v>
      </c>
      <c r="DE19" s="5">
        <f t="shared" si="62"/>
        <v>5186.9630449999995</v>
      </c>
      <c r="DF19" s="5">
        <f t="shared" si="63"/>
        <v>19754.472045</v>
      </c>
      <c r="DG19" s="35">
        <f t="shared" si="64"/>
        <v>790.1168924</v>
      </c>
      <c r="DI19" s="5">
        <f t="shared" si="94"/>
        <v>168662.461</v>
      </c>
      <c r="DJ19" s="5">
        <f t="shared" si="65"/>
        <v>60054.601805</v>
      </c>
      <c r="DK19" s="5">
        <f t="shared" si="66"/>
        <v>228717.062805</v>
      </c>
      <c r="DL19" s="35">
        <f t="shared" si="67"/>
        <v>9147.9647996</v>
      </c>
      <c r="DN19" s="5">
        <f t="shared" si="95"/>
        <v>6210.204</v>
      </c>
      <c r="DO19" s="5">
        <f t="shared" si="68"/>
        <v>2211.2290199999998</v>
      </c>
      <c r="DP19" s="36">
        <f t="shared" si="69"/>
        <v>8421.43302</v>
      </c>
      <c r="DQ19" s="35">
        <f t="shared" si="70"/>
        <v>336.8308944</v>
      </c>
      <c r="DS19" s="5">
        <f t="shared" si="96"/>
        <v>5497.261</v>
      </c>
      <c r="DT19" s="36">
        <f t="shared" si="71"/>
        <v>1957.3758050000001</v>
      </c>
      <c r="DU19" s="36">
        <f t="shared" si="72"/>
        <v>7454.636805</v>
      </c>
      <c r="DV19" s="35">
        <f t="shared" si="73"/>
        <v>298.1620796</v>
      </c>
    </row>
    <row r="20" spans="1:126" ht="12">
      <c r="A20" s="37">
        <v>44105</v>
      </c>
      <c r="D20" s="3">
        <v>1711600</v>
      </c>
      <c r="E20" s="35">
        <f t="shared" si="0"/>
        <v>1711600</v>
      </c>
      <c r="F20" s="35">
        <f>'2011A'!F20</f>
        <v>280412</v>
      </c>
      <c r="H20" s="47"/>
      <c r="I20" s="36">
        <f t="shared" si="1"/>
        <v>257975.77520000006</v>
      </c>
      <c r="J20" s="36">
        <f t="shared" si="2"/>
        <v>257975.77520000006</v>
      </c>
      <c r="K20" s="36">
        <f t="shared" si="3"/>
        <v>42264.25746400001</v>
      </c>
      <c r="N20" s="5">
        <f t="shared" si="4"/>
        <v>107239.27103999999</v>
      </c>
      <c r="O20" s="5">
        <f t="shared" si="5"/>
        <v>107239.27103999999</v>
      </c>
      <c r="P20" s="35">
        <f t="shared" si="6"/>
        <v>17569.0456128</v>
      </c>
      <c r="S20" s="36">
        <f t="shared" si="7"/>
        <v>47.411319999999996</v>
      </c>
      <c r="T20" s="36">
        <f t="shared" si="8"/>
        <v>47.411319999999996</v>
      </c>
      <c r="U20" s="35">
        <f t="shared" si="9"/>
        <v>7.7674123999999996</v>
      </c>
      <c r="X20" s="5">
        <f t="shared" si="10"/>
        <v>2122.89748</v>
      </c>
      <c r="Y20" s="5">
        <f t="shared" si="97"/>
        <v>2122.89748</v>
      </c>
      <c r="Z20" s="35">
        <f t="shared" si="12"/>
        <v>347.7950036</v>
      </c>
      <c r="AC20" s="5">
        <f t="shared" si="13"/>
        <v>1278.39404</v>
      </c>
      <c r="AD20" s="5">
        <f t="shared" si="14"/>
        <v>1278.39404</v>
      </c>
      <c r="AE20" s="35">
        <f t="shared" si="15"/>
        <v>209.4397228</v>
      </c>
      <c r="AH20" s="5">
        <f t="shared" si="16"/>
        <v>9501.0916</v>
      </c>
      <c r="AI20" s="5">
        <f t="shared" si="17"/>
        <v>9501.0916</v>
      </c>
      <c r="AJ20" s="35">
        <f t="shared" si="18"/>
        <v>1556.5670120000002</v>
      </c>
      <c r="AM20" s="5">
        <f t="shared" si="19"/>
        <v>2944.29432</v>
      </c>
      <c r="AN20" s="5">
        <f t="shared" si="20"/>
        <v>2944.29432</v>
      </c>
      <c r="AO20" s="35">
        <f t="shared" si="21"/>
        <v>482.3647224</v>
      </c>
      <c r="AR20" s="5">
        <f t="shared" si="22"/>
        <v>5543.18776</v>
      </c>
      <c r="AS20" s="5">
        <f t="shared" si="23"/>
        <v>5543.18776</v>
      </c>
      <c r="AT20" s="35">
        <f t="shared" si="24"/>
        <v>908.1423032</v>
      </c>
      <c r="AW20" s="5">
        <f t="shared" si="25"/>
        <v>1173.81528</v>
      </c>
      <c r="AX20" s="5">
        <f t="shared" si="26"/>
        <v>1173.81528</v>
      </c>
      <c r="AY20" s="35">
        <f t="shared" si="27"/>
        <v>192.30654959999998</v>
      </c>
      <c r="BB20" s="5">
        <f t="shared" si="28"/>
        <v>20929.95828</v>
      </c>
      <c r="BC20" s="5">
        <f t="shared" si="29"/>
        <v>20929.95828</v>
      </c>
      <c r="BD20" s="35">
        <f t="shared" si="30"/>
        <v>3428.9620596</v>
      </c>
      <c r="BF20" s="36"/>
      <c r="BG20" s="5">
        <f t="shared" si="31"/>
        <v>9690.73688</v>
      </c>
      <c r="BH20" s="36">
        <f t="shared" si="32"/>
        <v>9690.73688</v>
      </c>
      <c r="BI20" s="35">
        <f t="shared" si="33"/>
        <v>1587.6366616</v>
      </c>
      <c r="BL20" s="5">
        <f t="shared" si="34"/>
        <v>4641.17456</v>
      </c>
      <c r="BM20" s="5">
        <f t="shared" si="35"/>
        <v>4641.17456</v>
      </c>
      <c r="BN20" s="35">
        <f t="shared" si="36"/>
        <v>760.3651792000001</v>
      </c>
      <c r="BP20" s="5">
        <f t="shared" si="37"/>
        <v>0</v>
      </c>
      <c r="BQ20" s="5">
        <f t="shared" si="38"/>
        <v>684.8111600000001</v>
      </c>
      <c r="BR20" s="5">
        <f t="shared" si="39"/>
        <v>684.8111600000001</v>
      </c>
      <c r="BS20" s="35">
        <f t="shared" si="40"/>
        <v>112.1928412</v>
      </c>
      <c r="BV20" s="5">
        <f t="shared" si="41"/>
        <v>3036.2072399999997</v>
      </c>
      <c r="BW20" s="5">
        <f t="shared" si="42"/>
        <v>3036.2072399999997</v>
      </c>
      <c r="BX20" s="35">
        <f t="shared" si="43"/>
        <v>497.4228468</v>
      </c>
      <c r="CA20" s="5">
        <f t="shared" si="44"/>
        <v>418.14387999999997</v>
      </c>
      <c r="CB20" s="5">
        <f t="shared" si="45"/>
        <v>418.14387999999997</v>
      </c>
      <c r="CC20" s="35">
        <f t="shared" si="46"/>
        <v>68.50465159999999</v>
      </c>
      <c r="CF20" s="5">
        <f t="shared" si="47"/>
        <v>8722.99824</v>
      </c>
      <c r="CG20" s="5">
        <f t="shared" si="48"/>
        <v>8722.99824</v>
      </c>
      <c r="CH20" s="35">
        <f t="shared" si="49"/>
        <v>1429.0917168</v>
      </c>
      <c r="CK20" s="5">
        <f t="shared" si="50"/>
        <v>1689.6915199999999</v>
      </c>
      <c r="CL20" s="5">
        <f t="shared" si="51"/>
        <v>1689.6915199999999</v>
      </c>
      <c r="CM20" s="35">
        <f t="shared" si="52"/>
        <v>276.82272639999996</v>
      </c>
      <c r="CP20" s="5">
        <f t="shared" si="53"/>
        <v>2235.52076</v>
      </c>
      <c r="CQ20" s="36">
        <f t="shared" si="54"/>
        <v>2235.52076</v>
      </c>
      <c r="CR20" s="35">
        <f t="shared" si="55"/>
        <v>366.24611319999997</v>
      </c>
      <c r="CU20" s="5">
        <f t="shared" si="56"/>
        <v>7267.11128</v>
      </c>
      <c r="CV20" s="36">
        <f t="shared" si="57"/>
        <v>7267.11128</v>
      </c>
      <c r="CW20" s="35">
        <f t="shared" si="58"/>
        <v>1190.5732696</v>
      </c>
      <c r="CZ20" s="5">
        <f t="shared" si="59"/>
        <v>4272.3247599999995</v>
      </c>
      <c r="DA20" s="5">
        <f t="shared" si="60"/>
        <v>4272.3247599999995</v>
      </c>
      <c r="DB20" s="35">
        <f t="shared" si="61"/>
        <v>699.9363932</v>
      </c>
      <c r="DE20" s="5">
        <f t="shared" si="62"/>
        <v>4822.77532</v>
      </c>
      <c r="DF20" s="5">
        <f t="shared" si="63"/>
        <v>4822.77532</v>
      </c>
      <c r="DG20" s="35">
        <f t="shared" si="64"/>
        <v>790.1168924</v>
      </c>
      <c r="DJ20" s="5">
        <f t="shared" si="65"/>
        <v>55838.04028</v>
      </c>
      <c r="DK20" s="5">
        <f t="shared" si="66"/>
        <v>55838.04028</v>
      </c>
      <c r="DL20" s="35">
        <f t="shared" si="67"/>
        <v>9147.9647996</v>
      </c>
      <c r="DO20" s="5">
        <f t="shared" si="68"/>
        <v>2055.97392</v>
      </c>
      <c r="DP20" s="36">
        <f t="shared" si="69"/>
        <v>2055.97392</v>
      </c>
      <c r="DQ20" s="35">
        <f t="shared" si="70"/>
        <v>336.8308944</v>
      </c>
      <c r="DT20" s="36">
        <f t="shared" si="71"/>
        <v>1819.9442800000002</v>
      </c>
      <c r="DU20" s="36">
        <f t="shared" si="72"/>
        <v>1819.9442800000002</v>
      </c>
      <c r="DV20" s="35">
        <f t="shared" si="73"/>
        <v>298.1620796</v>
      </c>
    </row>
    <row r="21" spans="1:126" ht="12">
      <c r="A21" s="37">
        <v>44287</v>
      </c>
      <c r="C21" s="3">
        <v>5430000</v>
      </c>
      <c r="D21" s="3">
        <v>1711600</v>
      </c>
      <c r="E21" s="35">
        <f t="shared" si="0"/>
        <v>7141600</v>
      </c>
      <c r="F21" s="35">
        <f>'2011A'!F21</f>
        <v>280412</v>
      </c>
      <c r="H21" s="47">
        <f t="shared" si="74"/>
        <v>818420.4600000001</v>
      </c>
      <c r="I21" s="36">
        <f t="shared" si="1"/>
        <v>257975.77520000006</v>
      </c>
      <c r="J21" s="36">
        <f t="shared" si="2"/>
        <v>1076396.2352000002</v>
      </c>
      <c r="K21" s="36">
        <f t="shared" si="3"/>
        <v>42264.25746400001</v>
      </c>
      <c r="M21" s="5">
        <f t="shared" si="75"/>
        <v>340213.392</v>
      </c>
      <c r="N21" s="5">
        <f t="shared" si="4"/>
        <v>107239.27103999999</v>
      </c>
      <c r="O21" s="5">
        <f t="shared" si="5"/>
        <v>447452.66304</v>
      </c>
      <c r="P21" s="35">
        <f t="shared" si="6"/>
        <v>17569.0456128</v>
      </c>
      <c r="R21" s="5">
        <f t="shared" si="76"/>
        <v>150.411</v>
      </c>
      <c r="S21" s="36">
        <f t="shared" si="7"/>
        <v>47.411319999999996</v>
      </c>
      <c r="T21" s="36">
        <f t="shared" si="8"/>
        <v>197.82232</v>
      </c>
      <c r="U21" s="35">
        <f t="shared" si="9"/>
        <v>7.7674123999999996</v>
      </c>
      <c r="W21" s="5">
        <f t="shared" si="77"/>
        <v>6734.829</v>
      </c>
      <c r="X21" s="5">
        <f t="shared" si="10"/>
        <v>2122.89748</v>
      </c>
      <c r="Y21" s="5">
        <f t="shared" si="97"/>
        <v>8857.72648</v>
      </c>
      <c r="Z21" s="35">
        <f t="shared" si="12"/>
        <v>347.7950036</v>
      </c>
      <c r="AB21" s="5">
        <f t="shared" si="78"/>
        <v>4055.667</v>
      </c>
      <c r="AC21" s="5">
        <f t="shared" si="13"/>
        <v>1278.39404</v>
      </c>
      <c r="AD21" s="5">
        <f t="shared" si="14"/>
        <v>5334.06104</v>
      </c>
      <c r="AE21" s="35">
        <f t="shared" si="15"/>
        <v>209.4397228</v>
      </c>
      <c r="AG21" s="5">
        <f t="shared" si="79"/>
        <v>30141.93</v>
      </c>
      <c r="AH21" s="5">
        <f t="shared" si="16"/>
        <v>9501.0916</v>
      </c>
      <c r="AI21" s="5">
        <f t="shared" si="17"/>
        <v>39643.0216</v>
      </c>
      <c r="AJ21" s="35">
        <f t="shared" si="18"/>
        <v>1556.5670120000002</v>
      </c>
      <c r="AL21" s="5">
        <f t="shared" si="80"/>
        <v>9340.686</v>
      </c>
      <c r="AM21" s="5">
        <f t="shared" si="19"/>
        <v>2944.29432</v>
      </c>
      <c r="AN21" s="5">
        <f t="shared" si="20"/>
        <v>12284.980319999999</v>
      </c>
      <c r="AO21" s="35">
        <f t="shared" si="21"/>
        <v>482.3647224</v>
      </c>
      <c r="AQ21" s="5">
        <f t="shared" si="81"/>
        <v>17585.597999999998</v>
      </c>
      <c r="AR21" s="5">
        <f t="shared" si="22"/>
        <v>5543.18776</v>
      </c>
      <c r="AS21" s="5">
        <f t="shared" si="23"/>
        <v>23128.78576</v>
      </c>
      <c r="AT21" s="35">
        <f t="shared" si="24"/>
        <v>908.1423032</v>
      </c>
      <c r="AV21" s="5">
        <f t="shared" si="82"/>
        <v>3723.894</v>
      </c>
      <c r="AW21" s="5">
        <f t="shared" si="25"/>
        <v>1173.81528</v>
      </c>
      <c r="AX21" s="5">
        <f t="shared" si="26"/>
        <v>4897.70928</v>
      </c>
      <c r="AY21" s="35">
        <f t="shared" si="27"/>
        <v>192.30654959999998</v>
      </c>
      <c r="BA21" s="5">
        <f t="shared" si="83"/>
        <v>66399.669</v>
      </c>
      <c r="BB21" s="5">
        <f t="shared" si="28"/>
        <v>20929.95828</v>
      </c>
      <c r="BC21" s="5">
        <f t="shared" si="29"/>
        <v>87329.62727999999</v>
      </c>
      <c r="BD21" s="35">
        <f t="shared" si="30"/>
        <v>3428.9620596</v>
      </c>
      <c r="BF21" s="36">
        <f t="shared" si="84"/>
        <v>30743.574</v>
      </c>
      <c r="BG21" s="5">
        <f t="shared" si="31"/>
        <v>9690.73688</v>
      </c>
      <c r="BH21" s="36">
        <f t="shared" si="32"/>
        <v>40434.310880000005</v>
      </c>
      <c r="BI21" s="35">
        <f t="shared" si="33"/>
        <v>1587.6366616</v>
      </c>
      <c r="BK21" s="5">
        <f t="shared" si="85"/>
        <v>14723.988000000001</v>
      </c>
      <c r="BL21" s="5">
        <f t="shared" si="34"/>
        <v>4641.17456</v>
      </c>
      <c r="BM21" s="5">
        <f t="shared" si="35"/>
        <v>19365.16256</v>
      </c>
      <c r="BN21" s="35">
        <f t="shared" si="36"/>
        <v>760.3651792000001</v>
      </c>
      <c r="BP21" s="5">
        <f t="shared" si="37"/>
        <v>2172.543</v>
      </c>
      <c r="BQ21" s="5">
        <f t="shared" si="38"/>
        <v>684.8111600000001</v>
      </c>
      <c r="BR21" s="5">
        <f t="shared" si="39"/>
        <v>2857.3541600000003</v>
      </c>
      <c r="BS21" s="35">
        <f t="shared" si="40"/>
        <v>112.1928412</v>
      </c>
      <c r="BU21" s="5">
        <f t="shared" si="86"/>
        <v>9632.277</v>
      </c>
      <c r="BV21" s="5">
        <f t="shared" si="41"/>
        <v>3036.2072399999997</v>
      </c>
      <c r="BW21" s="5">
        <f t="shared" si="42"/>
        <v>12668.48424</v>
      </c>
      <c r="BX21" s="35">
        <f t="shared" si="43"/>
        <v>497.4228468</v>
      </c>
      <c r="BZ21" s="5">
        <f t="shared" si="87"/>
        <v>1326.549</v>
      </c>
      <c r="CA21" s="5">
        <f t="shared" si="44"/>
        <v>418.14387999999997</v>
      </c>
      <c r="CB21" s="5">
        <f t="shared" si="45"/>
        <v>1744.69288</v>
      </c>
      <c r="CC21" s="35">
        <f t="shared" si="46"/>
        <v>68.50465159999999</v>
      </c>
      <c r="CE21" s="5">
        <f t="shared" si="88"/>
        <v>27673.452</v>
      </c>
      <c r="CF21" s="5">
        <f t="shared" si="47"/>
        <v>8722.99824</v>
      </c>
      <c r="CG21" s="5">
        <f t="shared" si="48"/>
        <v>36396.450240000006</v>
      </c>
      <c r="CH21" s="35">
        <f t="shared" si="49"/>
        <v>1429.0917168</v>
      </c>
      <c r="CJ21" s="5">
        <f t="shared" si="89"/>
        <v>5360.495999999999</v>
      </c>
      <c r="CK21" s="5">
        <f t="shared" si="50"/>
        <v>1689.6915199999999</v>
      </c>
      <c r="CL21" s="5">
        <f t="shared" si="51"/>
        <v>7050.1875199999995</v>
      </c>
      <c r="CM21" s="35">
        <f t="shared" si="52"/>
        <v>276.82272639999996</v>
      </c>
      <c r="CO21" s="5">
        <f t="shared" si="90"/>
        <v>7092.123</v>
      </c>
      <c r="CP21" s="5">
        <f t="shared" si="53"/>
        <v>2235.52076</v>
      </c>
      <c r="CQ21" s="36">
        <f t="shared" si="54"/>
        <v>9327.643759999999</v>
      </c>
      <c r="CR21" s="35">
        <f t="shared" si="55"/>
        <v>366.24611319999997</v>
      </c>
      <c r="CT21" s="5">
        <f t="shared" si="91"/>
        <v>23054.694</v>
      </c>
      <c r="CU21" s="5">
        <f t="shared" si="56"/>
        <v>7267.11128</v>
      </c>
      <c r="CV21" s="36">
        <f t="shared" si="57"/>
        <v>30321.80528</v>
      </c>
      <c r="CW21" s="35">
        <f t="shared" si="58"/>
        <v>1190.5732696</v>
      </c>
      <c r="CY21" s="5">
        <f t="shared" si="92"/>
        <v>13553.822999999999</v>
      </c>
      <c r="CZ21" s="5">
        <f t="shared" si="59"/>
        <v>4272.3247599999995</v>
      </c>
      <c r="DA21" s="5">
        <f t="shared" si="60"/>
        <v>17826.14776</v>
      </c>
      <c r="DB21" s="35">
        <f t="shared" si="61"/>
        <v>699.9363932</v>
      </c>
      <c r="DD21" s="5">
        <f t="shared" si="93"/>
        <v>15300.110999999999</v>
      </c>
      <c r="DE21" s="5">
        <f t="shared" si="62"/>
        <v>4822.77532</v>
      </c>
      <c r="DF21" s="5">
        <f t="shared" si="63"/>
        <v>20122.886319999998</v>
      </c>
      <c r="DG21" s="35">
        <f t="shared" si="64"/>
        <v>790.1168924</v>
      </c>
      <c r="DI21" s="5">
        <f t="shared" si="94"/>
        <v>177144.519</v>
      </c>
      <c r="DJ21" s="5">
        <f t="shared" si="65"/>
        <v>55838.04028</v>
      </c>
      <c r="DK21" s="5">
        <f t="shared" si="66"/>
        <v>232982.55928</v>
      </c>
      <c r="DL21" s="35">
        <f t="shared" si="67"/>
        <v>9147.9647996</v>
      </c>
      <c r="DN21" s="5">
        <f t="shared" si="95"/>
        <v>6522.516</v>
      </c>
      <c r="DO21" s="5">
        <f t="shared" si="68"/>
        <v>2055.97392</v>
      </c>
      <c r="DP21" s="36">
        <f t="shared" si="69"/>
        <v>8578.48992</v>
      </c>
      <c r="DQ21" s="35">
        <f t="shared" si="70"/>
        <v>336.8308944</v>
      </c>
      <c r="DS21" s="5">
        <f t="shared" si="96"/>
        <v>5773.719000000001</v>
      </c>
      <c r="DT21" s="36">
        <f t="shared" si="71"/>
        <v>1819.9442800000002</v>
      </c>
      <c r="DU21" s="36">
        <f t="shared" si="72"/>
        <v>7593.663280000001</v>
      </c>
      <c r="DV21" s="35">
        <f t="shared" si="73"/>
        <v>298.1620796</v>
      </c>
    </row>
    <row r="22" spans="1:126" ht="12">
      <c r="A22" s="37">
        <v>44470</v>
      </c>
      <c r="D22" s="3">
        <v>1575850</v>
      </c>
      <c r="E22" s="35">
        <f t="shared" si="0"/>
        <v>1575850</v>
      </c>
      <c r="F22" s="35">
        <f>'2011A'!F22</f>
        <v>280412</v>
      </c>
      <c r="H22" s="47"/>
      <c r="I22" s="36">
        <f t="shared" si="1"/>
        <v>237515.26369999998</v>
      </c>
      <c r="J22" s="36">
        <f t="shared" si="2"/>
        <v>237515.26369999998</v>
      </c>
      <c r="K22" s="36">
        <f t="shared" si="3"/>
        <v>42264.25746400001</v>
      </c>
      <c r="N22" s="5">
        <f t="shared" si="4"/>
        <v>98733.93624</v>
      </c>
      <c r="O22" s="5">
        <f t="shared" si="5"/>
        <v>98733.93624</v>
      </c>
      <c r="P22" s="35">
        <f t="shared" si="6"/>
        <v>17569.0456128</v>
      </c>
      <c r="S22" s="36">
        <f t="shared" si="7"/>
        <v>43.651044999999996</v>
      </c>
      <c r="T22" s="36">
        <f t="shared" si="8"/>
        <v>43.651044999999996</v>
      </c>
      <c r="U22" s="35">
        <f t="shared" si="9"/>
        <v>7.7674123999999996</v>
      </c>
      <c r="X22" s="5">
        <f t="shared" si="10"/>
        <v>1954.5267549999999</v>
      </c>
      <c r="Y22" s="5">
        <f t="shared" si="97"/>
        <v>1954.5267549999999</v>
      </c>
      <c r="Z22" s="35">
        <f t="shared" si="12"/>
        <v>347.7950036</v>
      </c>
      <c r="AC22" s="5">
        <f t="shared" si="13"/>
        <v>1177.002365</v>
      </c>
      <c r="AD22" s="5">
        <f t="shared" si="14"/>
        <v>1177.002365</v>
      </c>
      <c r="AE22" s="35">
        <f t="shared" si="15"/>
        <v>209.4397228</v>
      </c>
      <c r="AH22" s="5">
        <f t="shared" si="16"/>
        <v>8747.54335</v>
      </c>
      <c r="AI22" s="5">
        <f t="shared" si="17"/>
        <v>8747.54335</v>
      </c>
      <c r="AJ22" s="35">
        <f t="shared" si="18"/>
        <v>1556.5670120000002</v>
      </c>
      <c r="AM22" s="5">
        <f t="shared" si="19"/>
        <v>2710.7771700000003</v>
      </c>
      <c r="AN22" s="5">
        <f t="shared" si="20"/>
        <v>2710.7771700000003</v>
      </c>
      <c r="AO22" s="35">
        <f t="shared" si="21"/>
        <v>482.3647224</v>
      </c>
      <c r="AR22" s="5">
        <f t="shared" si="22"/>
        <v>5103.54781</v>
      </c>
      <c r="AS22" s="5">
        <f t="shared" si="23"/>
        <v>5103.54781</v>
      </c>
      <c r="AT22" s="35">
        <f t="shared" si="24"/>
        <v>908.1423032</v>
      </c>
      <c r="AW22" s="5">
        <f t="shared" si="25"/>
        <v>1080.71793</v>
      </c>
      <c r="AX22" s="5">
        <f t="shared" si="26"/>
        <v>1080.71793</v>
      </c>
      <c r="AY22" s="35">
        <f t="shared" si="27"/>
        <v>192.30654959999998</v>
      </c>
      <c r="BB22" s="5">
        <f t="shared" si="28"/>
        <v>19269.966555</v>
      </c>
      <c r="BC22" s="5">
        <f t="shared" si="29"/>
        <v>19269.966555</v>
      </c>
      <c r="BD22" s="35">
        <f t="shared" si="30"/>
        <v>3428.9620596</v>
      </c>
      <c r="BF22" s="36"/>
      <c r="BG22" s="5">
        <f t="shared" si="31"/>
        <v>8922.14753</v>
      </c>
      <c r="BH22" s="36">
        <f t="shared" si="32"/>
        <v>8922.14753</v>
      </c>
      <c r="BI22" s="35">
        <f t="shared" si="33"/>
        <v>1587.6366616</v>
      </c>
      <c r="BL22" s="5">
        <f t="shared" si="34"/>
        <v>4273.074860000001</v>
      </c>
      <c r="BM22" s="5">
        <f t="shared" si="35"/>
        <v>4273.074860000001</v>
      </c>
      <c r="BN22" s="35">
        <f t="shared" si="36"/>
        <v>760.3651792000001</v>
      </c>
      <c r="BP22" s="5">
        <f t="shared" si="37"/>
        <v>0</v>
      </c>
      <c r="BQ22" s="5">
        <f t="shared" si="38"/>
        <v>630.4975850000001</v>
      </c>
      <c r="BR22" s="5">
        <f t="shared" si="39"/>
        <v>630.4975850000001</v>
      </c>
      <c r="BS22" s="35">
        <f t="shared" si="40"/>
        <v>112.1928412</v>
      </c>
      <c r="BV22" s="5">
        <f t="shared" si="41"/>
        <v>2795.400315</v>
      </c>
      <c r="BW22" s="5">
        <f t="shared" si="42"/>
        <v>2795.400315</v>
      </c>
      <c r="BX22" s="35">
        <f t="shared" si="43"/>
        <v>497.4228468</v>
      </c>
      <c r="CA22" s="5">
        <f t="shared" si="44"/>
        <v>384.98015499999997</v>
      </c>
      <c r="CB22" s="5">
        <f t="shared" si="45"/>
        <v>384.98015499999997</v>
      </c>
      <c r="CC22" s="35">
        <f t="shared" si="46"/>
        <v>68.50465159999999</v>
      </c>
      <c r="CF22" s="5">
        <f t="shared" si="47"/>
        <v>8031.16194</v>
      </c>
      <c r="CG22" s="5">
        <f t="shared" si="48"/>
        <v>8031.16194</v>
      </c>
      <c r="CH22" s="35">
        <f t="shared" si="49"/>
        <v>1429.0917168</v>
      </c>
      <c r="CK22" s="5">
        <f t="shared" si="50"/>
        <v>1555.6791199999998</v>
      </c>
      <c r="CL22" s="5">
        <f t="shared" si="51"/>
        <v>1555.6791199999998</v>
      </c>
      <c r="CM22" s="35">
        <f t="shared" si="52"/>
        <v>276.82272639999996</v>
      </c>
      <c r="CP22" s="5">
        <f t="shared" si="53"/>
        <v>2058.217685</v>
      </c>
      <c r="CQ22" s="36">
        <f t="shared" si="54"/>
        <v>2058.217685</v>
      </c>
      <c r="CR22" s="35">
        <f t="shared" si="55"/>
        <v>366.24611319999997</v>
      </c>
      <c r="CU22" s="5">
        <f t="shared" si="56"/>
        <v>6690.743930000001</v>
      </c>
      <c r="CV22" s="36">
        <f t="shared" si="57"/>
        <v>6690.743930000001</v>
      </c>
      <c r="CW22" s="35">
        <f t="shared" si="58"/>
        <v>1190.5732696</v>
      </c>
      <c r="CZ22" s="5">
        <f t="shared" si="59"/>
        <v>3933.4791849999997</v>
      </c>
      <c r="DA22" s="5">
        <f t="shared" si="60"/>
        <v>3933.4791849999997</v>
      </c>
      <c r="DB22" s="35">
        <f t="shared" si="61"/>
        <v>699.9363932</v>
      </c>
      <c r="DE22" s="5">
        <f t="shared" si="62"/>
        <v>4440.272545</v>
      </c>
      <c r="DF22" s="5">
        <f t="shared" si="63"/>
        <v>4440.272545</v>
      </c>
      <c r="DG22" s="35">
        <f t="shared" si="64"/>
        <v>790.1168924</v>
      </c>
      <c r="DJ22" s="5">
        <f t="shared" si="65"/>
        <v>51409.427305000005</v>
      </c>
      <c r="DK22" s="5">
        <f t="shared" si="66"/>
        <v>51409.427305000005</v>
      </c>
      <c r="DL22" s="35">
        <f t="shared" si="67"/>
        <v>9147.9647996</v>
      </c>
      <c r="DO22" s="5">
        <f t="shared" si="68"/>
        <v>1892.9110199999998</v>
      </c>
      <c r="DP22" s="36">
        <f t="shared" si="69"/>
        <v>1892.9110199999998</v>
      </c>
      <c r="DQ22" s="35">
        <f t="shared" si="70"/>
        <v>336.8308944</v>
      </c>
      <c r="DT22" s="36">
        <f t="shared" si="71"/>
        <v>1675.6013050000001</v>
      </c>
      <c r="DU22" s="36">
        <f t="shared" si="72"/>
        <v>1675.6013050000001</v>
      </c>
      <c r="DV22" s="35">
        <f t="shared" si="73"/>
        <v>298.1620796</v>
      </c>
    </row>
    <row r="23" spans="1:126" ht="12">
      <c r="A23" s="37">
        <v>44652</v>
      </c>
      <c r="C23" s="3">
        <v>5705000</v>
      </c>
      <c r="D23" s="3">
        <v>1575850</v>
      </c>
      <c r="E23" s="35">
        <f t="shared" si="0"/>
        <v>7280850</v>
      </c>
      <c r="F23" s="35">
        <f>'2011A'!F23</f>
        <v>280412</v>
      </c>
      <c r="H23" s="47">
        <f t="shared" si="74"/>
        <v>859869.0099999999</v>
      </c>
      <c r="I23" s="36">
        <f t="shared" si="1"/>
        <v>237515.26369999998</v>
      </c>
      <c r="J23" s="36">
        <f t="shared" si="2"/>
        <v>1097384.2736999998</v>
      </c>
      <c r="K23" s="36">
        <f t="shared" si="3"/>
        <v>42264.25746400001</v>
      </c>
      <c r="M23" s="5">
        <f t="shared" si="75"/>
        <v>357443.352</v>
      </c>
      <c r="N23" s="5">
        <f t="shared" si="4"/>
        <v>98733.93624</v>
      </c>
      <c r="O23" s="5">
        <f t="shared" si="5"/>
        <v>456177.28824</v>
      </c>
      <c r="P23" s="35">
        <f t="shared" si="6"/>
        <v>17569.0456128</v>
      </c>
      <c r="R23" s="5">
        <f t="shared" si="76"/>
        <v>158.0285</v>
      </c>
      <c r="S23" s="36">
        <f t="shared" si="7"/>
        <v>43.651044999999996</v>
      </c>
      <c r="T23" s="36">
        <f t="shared" si="8"/>
        <v>201.67954500000002</v>
      </c>
      <c r="U23" s="35">
        <f t="shared" si="9"/>
        <v>7.7674123999999996</v>
      </c>
      <c r="W23" s="5">
        <f t="shared" si="77"/>
        <v>7075.9115</v>
      </c>
      <c r="X23" s="5">
        <f t="shared" si="10"/>
        <v>1954.5267549999999</v>
      </c>
      <c r="Y23" s="5">
        <f t="shared" si="97"/>
        <v>9030.438255000001</v>
      </c>
      <c r="Z23" s="35">
        <f t="shared" si="12"/>
        <v>347.7950036</v>
      </c>
      <c r="AB23" s="5">
        <f t="shared" si="78"/>
        <v>4261.0645</v>
      </c>
      <c r="AC23" s="5">
        <f t="shared" si="13"/>
        <v>1177.002365</v>
      </c>
      <c r="AD23" s="5">
        <f t="shared" si="14"/>
        <v>5438.066865000001</v>
      </c>
      <c r="AE23" s="35">
        <f t="shared" si="15"/>
        <v>209.4397228</v>
      </c>
      <c r="AG23" s="5">
        <f t="shared" si="79"/>
        <v>31668.455</v>
      </c>
      <c r="AH23" s="5">
        <f t="shared" si="16"/>
        <v>8747.54335</v>
      </c>
      <c r="AI23" s="5">
        <f t="shared" si="17"/>
        <v>40415.99835</v>
      </c>
      <c r="AJ23" s="35">
        <f t="shared" si="18"/>
        <v>1556.5670120000002</v>
      </c>
      <c r="AL23" s="5">
        <f t="shared" si="80"/>
        <v>9813.741</v>
      </c>
      <c r="AM23" s="5">
        <f t="shared" si="19"/>
        <v>2710.7771700000003</v>
      </c>
      <c r="AN23" s="5">
        <f t="shared" si="20"/>
        <v>12524.51817</v>
      </c>
      <c r="AO23" s="35">
        <f t="shared" si="21"/>
        <v>482.3647224</v>
      </c>
      <c r="AQ23" s="5">
        <f t="shared" si="81"/>
        <v>18476.213</v>
      </c>
      <c r="AR23" s="5">
        <f t="shared" si="22"/>
        <v>5103.54781</v>
      </c>
      <c r="AS23" s="5">
        <f t="shared" si="23"/>
        <v>23579.76081</v>
      </c>
      <c r="AT23" s="35">
        <f t="shared" si="24"/>
        <v>908.1423032</v>
      </c>
      <c r="AV23" s="5">
        <f t="shared" si="82"/>
        <v>3912.489</v>
      </c>
      <c r="AW23" s="5">
        <f t="shared" si="25"/>
        <v>1080.71793</v>
      </c>
      <c r="AX23" s="5">
        <f t="shared" si="26"/>
        <v>4993.20693</v>
      </c>
      <c r="AY23" s="35">
        <f t="shared" si="27"/>
        <v>192.30654959999998</v>
      </c>
      <c r="BA23" s="5">
        <f t="shared" si="83"/>
        <v>69762.4515</v>
      </c>
      <c r="BB23" s="5">
        <f t="shared" si="28"/>
        <v>19269.966555</v>
      </c>
      <c r="BC23" s="5">
        <f t="shared" si="29"/>
        <v>89032.41805499999</v>
      </c>
      <c r="BD23" s="35">
        <f t="shared" si="30"/>
        <v>3428.9620596</v>
      </c>
      <c r="BF23" s="36">
        <f t="shared" si="84"/>
        <v>32300.569</v>
      </c>
      <c r="BG23" s="5">
        <f t="shared" si="31"/>
        <v>8922.14753</v>
      </c>
      <c r="BH23" s="36">
        <f t="shared" si="32"/>
        <v>41222.71653</v>
      </c>
      <c r="BI23" s="35">
        <f t="shared" si="33"/>
        <v>1587.6366616</v>
      </c>
      <c r="BK23" s="5">
        <f t="shared" si="85"/>
        <v>15469.678000000002</v>
      </c>
      <c r="BL23" s="5">
        <f t="shared" si="34"/>
        <v>4273.074860000001</v>
      </c>
      <c r="BM23" s="5">
        <f t="shared" si="35"/>
        <v>19742.75286</v>
      </c>
      <c r="BN23" s="35">
        <f t="shared" si="36"/>
        <v>760.3651792000001</v>
      </c>
      <c r="BP23" s="5">
        <f t="shared" si="37"/>
        <v>2282.5705000000003</v>
      </c>
      <c r="BQ23" s="5">
        <f t="shared" si="38"/>
        <v>630.4975850000001</v>
      </c>
      <c r="BR23" s="5">
        <f t="shared" si="39"/>
        <v>2913.0680850000003</v>
      </c>
      <c r="BS23" s="35">
        <f t="shared" si="40"/>
        <v>112.1928412</v>
      </c>
      <c r="BU23" s="5">
        <f t="shared" si="86"/>
        <v>10120.0995</v>
      </c>
      <c r="BV23" s="5">
        <f t="shared" si="41"/>
        <v>2795.400315</v>
      </c>
      <c r="BW23" s="5">
        <f t="shared" si="42"/>
        <v>12915.499815</v>
      </c>
      <c r="BX23" s="35">
        <f t="shared" si="43"/>
        <v>497.4228468</v>
      </c>
      <c r="BZ23" s="5">
        <f t="shared" si="87"/>
        <v>1393.7314999999999</v>
      </c>
      <c r="CA23" s="5">
        <f t="shared" si="44"/>
        <v>384.98015499999997</v>
      </c>
      <c r="CB23" s="5">
        <f t="shared" si="45"/>
        <v>1778.7116549999998</v>
      </c>
      <c r="CC23" s="35">
        <f t="shared" si="46"/>
        <v>68.50465159999999</v>
      </c>
      <c r="CE23" s="5">
        <f t="shared" si="88"/>
        <v>29074.962</v>
      </c>
      <c r="CF23" s="5">
        <f t="shared" si="47"/>
        <v>8031.16194</v>
      </c>
      <c r="CG23" s="5">
        <f t="shared" si="48"/>
        <v>37106.12394</v>
      </c>
      <c r="CH23" s="35">
        <f t="shared" si="49"/>
        <v>1429.0917168</v>
      </c>
      <c r="CJ23" s="5">
        <f t="shared" si="89"/>
        <v>5631.976</v>
      </c>
      <c r="CK23" s="5">
        <f t="shared" si="50"/>
        <v>1555.6791199999998</v>
      </c>
      <c r="CL23" s="5">
        <f t="shared" si="51"/>
        <v>7187.655119999999</v>
      </c>
      <c r="CM23" s="35">
        <f t="shared" si="52"/>
        <v>276.82272639999996</v>
      </c>
      <c r="CO23" s="5">
        <f t="shared" si="90"/>
        <v>7451.300499999999</v>
      </c>
      <c r="CP23" s="5">
        <f t="shared" si="53"/>
        <v>2058.217685</v>
      </c>
      <c r="CQ23" s="36">
        <f t="shared" si="54"/>
        <v>9509.518184999999</v>
      </c>
      <c r="CR23" s="35">
        <f t="shared" si="55"/>
        <v>366.24611319999997</v>
      </c>
      <c r="CT23" s="5">
        <f t="shared" si="91"/>
        <v>24222.289</v>
      </c>
      <c r="CU23" s="5">
        <f t="shared" si="56"/>
        <v>6690.743930000001</v>
      </c>
      <c r="CV23" s="36">
        <f t="shared" si="57"/>
        <v>30913.03293</v>
      </c>
      <c r="CW23" s="35">
        <f t="shared" si="58"/>
        <v>1190.5732696</v>
      </c>
      <c r="CY23" s="5">
        <f t="shared" si="92"/>
        <v>14240.250499999998</v>
      </c>
      <c r="CZ23" s="5">
        <f t="shared" si="59"/>
        <v>3933.4791849999997</v>
      </c>
      <c r="DA23" s="5">
        <f t="shared" si="60"/>
        <v>18173.729685</v>
      </c>
      <c r="DB23" s="35">
        <f t="shared" si="61"/>
        <v>699.9363932</v>
      </c>
      <c r="DD23" s="5">
        <f t="shared" si="93"/>
        <v>16074.9785</v>
      </c>
      <c r="DE23" s="5">
        <f t="shared" si="62"/>
        <v>4440.272545</v>
      </c>
      <c r="DF23" s="5">
        <f t="shared" si="63"/>
        <v>20515.251044999997</v>
      </c>
      <c r="DG23" s="35">
        <f t="shared" si="64"/>
        <v>790.1168924</v>
      </c>
      <c r="DI23" s="5">
        <f t="shared" si="94"/>
        <v>186115.9265</v>
      </c>
      <c r="DJ23" s="5">
        <f t="shared" si="65"/>
        <v>51409.427305000005</v>
      </c>
      <c r="DK23" s="5">
        <f t="shared" si="66"/>
        <v>237525.35380500002</v>
      </c>
      <c r="DL23" s="35">
        <f t="shared" si="67"/>
        <v>9147.9647996</v>
      </c>
      <c r="DN23" s="5">
        <f t="shared" si="95"/>
        <v>6852.846</v>
      </c>
      <c r="DO23" s="5">
        <f t="shared" si="68"/>
        <v>1892.9110199999998</v>
      </c>
      <c r="DP23" s="36">
        <f t="shared" si="69"/>
        <v>8745.75702</v>
      </c>
      <c r="DQ23" s="35">
        <f t="shared" si="70"/>
        <v>336.8308944</v>
      </c>
      <c r="DS23" s="5">
        <f t="shared" si="96"/>
        <v>6066.1265</v>
      </c>
      <c r="DT23" s="36">
        <f t="shared" si="71"/>
        <v>1675.6013050000001</v>
      </c>
      <c r="DU23" s="36">
        <f t="shared" si="72"/>
        <v>7741.727805</v>
      </c>
      <c r="DV23" s="35">
        <f t="shared" si="73"/>
        <v>298.1620796</v>
      </c>
    </row>
    <row r="24" spans="1:126" ht="12">
      <c r="A24" s="37">
        <v>44835</v>
      </c>
      <c r="D24" s="3">
        <v>1433225</v>
      </c>
      <c r="E24" s="35">
        <f t="shared" si="0"/>
        <v>1433225</v>
      </c>
      <c r="F24" s="35">
        <f>'2011A'!F24</f>
        <v>280412</v>
      </c>
      <c r="H24" s="47"/>
      <c r="I24" s="36">
        <f t="shared" si="1"/>
        <v>216018.53845000002</v>
      </c>
      <c r="J24" s="36">
        <f t="shared" si="2"/>
        <v>216018.53845000002</v>
      </c>
      <c r="K24" s="36">
        <f t="shared" si="3"/>
        <v>42264.25746400001</v>
      </c>
      <c r="N24" s="5">
        <f t="shared" si="4"/>
        <v>89797.85244</v>
      </c>
      <c r="O24" s="5">
        <f t="shared" si="5"/>
        <v>89797.85244</v>
      </c>
      <c r="P24" s="35">
        <f t="shared" si="6"/>
        <v>17569.0456128</v>
      </c>
      <c r="S24" s="36">
        <f t="shared" si="7"/>
        <v>39.7003325</v>
      </c>
      <c r="T24" s="36">
        <f t="shared" si="8"/>
        <v>39.7003325</v>
      </c>
      <c r="U24" s="35">
        <f t="shared" si="9"/>
        <v>7.7674123999999996</v>
      </c>
      <c r="X24" s="5">
        <f t="shared" si="10"/>
        <v>1777.6289675</v>
      </c>
      <c r="Y24" s="5">
        <f t="shared" si="97"/>
        <v>1777.6289675</v>
      </c>
      <c r="Z24" s="35">
        <f t="shared" si="12"/>
        <v>347.7950036</v>
      </c>
      <c r="AC24" s="5">
        <f t="shared" si="13"/>
        <v>1070.4757525</v>
      </c>
      <c r="AD24" s="5">
        <f t="shared" si="14"/>
        <v>1070.4757525</v>
      </c>
      <c r="AE24" s="35">
        <f t="shared" si="15"/>
        <v>209.4397228</v>
      </c>
      <c r="AH24" s="5">
        <f t="shared" si="16"/>
        <v>7955.831975000001</v>
      </c>
      <c r="AI24" s="5">
        <f t="shared" si="17"/>
        <v>7955.831975000001</v>
      </c>
      <c r="AJ24" s="35">
        <f t="shared" si="18"/>
        <v>1556.5670120000002</v>
      </c>
      <c r="AM24" s="5">
        <f t="shared" si="19"/>
        <v>2465.433645</v>
      </c>
      <c r="AN24" s="5">
        <f t="shared" si="20"/>
        <v>2465.433645</v>
      </c>
      <c r="AO24" s="35">
        <f t="shared" si="21"/>
        <v>482.3647224</v>
      </c>
      <c r="AR24" s="5">
        <f t="shared" si="22"/>
        <v>4641.642485</v>
      </c>
      <c r="AS24" s="5">
        <f t="shared" si="23"/>
        <v>4641.642485</v>
      </c>
      <c r="AT24" s="35">
        <f t="shared" si="24"/>
        <v>908.1423032</v>
      </c>
      <c r="AW24" s="5">
        <f t="shared" si="25"/>
        <v>982.905705</v>
      </c>
      <c r="AX24" s="5">
        <f t="shared" si="26"/>
        <v>982.905705</v>
      </c>
      <c r="AY24" s="35">
        <f t="shared" si="27"/>
        <v>192.30654959999998</v>
      </c>
      <c r="BB24" s="5">
        <f t="shared" si="28"/>
        <v>17525.9052675</v>
      </c>
      <c r="BC24" s="5">
        <f t="shared" si="29"/>
        <v>17525.9052675</v>
      </c>
      <c r="BD24" s="35">
        <f t="shared" si="30"/>
        <v>3428.9620596</v>
      </c>
      <c r="BF24" s="36"/>
      <c r="BG24" s="5">
        <f t="shared" si="31"/>
        <v>8114.633304999999</v>
      </c>
      <c r="BH24" s="36">
        <f t="shared" si="32"/>
        <v>8114.633304999999</v>
      </c>
      <c r="BI24" s="35">
        <f t="shared" si="33"/>
        <v>1587.6366616</v>
      </c>
      <c r="BL24" s="5">
        <f t="shared" si="34"/>
        <v>3886.33291</v>
      </c>
      <c r="BM24" s="5">
        <f t="shared" si="35"/>
        <v>3886.33291</v>
      </c>
      <c r="BN24" s="35">
        <f t="shared" si="36"/>
        <v>760.3651792000001</v>
      </c>
      <c r="BP24" s="5">
        <f t="shared" si="37"/>
        <v>0</v>
      </c>
      <c r="BQ24" s="5">
        <f t="shared" si="38"/>
        <v>573.4333225</v>
      </c>
      <c r="BR24" s="5">
        <f t="shared" si="39"/>
        <v>573.4333225</v>
      </c>
      <c r="BS24" s="35">
        <f t="shared" si="40"/>
        <v>112.1928412</v>
      </c>
      <c r="BV24" s="5">
        <f t="shared" si="41"/>
        <v>2542.3978275</v>
      </c>
      <c r="BW24" s="5">
        <f t="shared" si="42"/>
        <v>2542.3978275</v>
      </c>
      <c r="BX24" s="35">
        <f t="shared" si="43"/>
        <v>497.4228468</v>
      </c>
      <c r="CA24" s="5">
        <f t="shared" si="44"/>
        <v>350.13686749999994</v>
      </c>
      <c r="CB24" s="5">
        <f t="shared" si="45"/>
        <v>350.13686749999994</v>
      </c>
      <c r="CC24" s="35">
        <f t="shared" si="46"/>
        <v>68.50465159999999</v>
      </c>
      <c r="CF24" s="5">
        <f t="shared" si="47"/>
        <v>7304.2878900000005</v>
      </c>
      <c r="CG24" s="5">
        <f t="shared" si="48"/>
        <v>7304.2878900000005</v>
      </c>
      <c r="CH24" s="35">
        <f t="shared" si="49"/>
        <v>1429.0917168</v>
      </c>
      <c r="CK24" s="5">
        <f t="shared" si="50"/>
        <v>1414.87972</v>
      </c>
      <c r="CL24" s="5">
        <f t="shared" si="51"/>
        <v>1414.87972</v>
      </c>
      <c r="CM24" s="35">
        <f t="shared" si="52"/>
        <v>276.82272639999996</v>
      </c>
      <c r="CP24" s="5">
        <f t="shared" si="53"/>
        <v>1871.9351725</v>
      </c>
      <c r="CQ24" s="36">
        <f t="shared" si="54"/>
        <v>1871.9351725</v>
      </c>
      <c r="CR24" s="35">
        <f t="shared" si="55"/>
        <v>366.24611319999997</v>
      </c>
      <c r="CU24" s="5">
        <f t="shared" si="56"/>
        <v>6085.186705</v>
      </c>
      <c r="CV24" s="36">
        <f t="shared" si="57"/>
        <v>6085.186705</v>
      </c>
      <c r="CW24" s="35">
        <f t="shared" si="58"/>
        <v>1190.5732696</v>
      </c>
      <c r="CZ24" s="5">
        <f t="shared" si="59"/>
        <v>3577.4729224999996</v>
      </c>
      <c r="DA24" s="5">
        <f t="shared" si="60"/>
        <v>3577.4729224999996</v>
      </c>
      <c r="DB24" s="35">
        <f t="shared" si="61"/>
        <v>699.9363932</v>
      </c>
      <c r="DE24" s="5">
        <f t="shared" si="62"/>
        <v>4038.3980825</v>
      </c>
      <c r="DF24" s="5">
        <f t="shared" si="63"/>
        <v>4038.3980825</v>
      </c>
      <c r="DG24" s="35">
        <f t="shared" si="64"/>
        <v>790.1168924</v>
      </c>
      <c r="DJ24" s="5">
        <f t="shared" si="65"/>
        <v>46756.5291425</v>
      </c>
      <c r="DK24" s="5">
        <f t="shared" si="66"/>
        <v>46756.5291425</v>
      </c>
      <c r="DL24" s="35">
        <f t="shared" si="67"/>
        <v>9147.9647996</v>
      </c>
      <c r="DO24" s="5">
        <f t="shared" si="68"/>
        <v>1721.5898699999998</v>
      </c>
      <c r="DP24" s="36">
        <f t="shared" si="69"/>
        <v>1721.5898699999998</v>
      </c>
      <c r="DQ24" s="35">
        <f t="shared" si="70"/>
        <v>336.8308944</v>
      </c>
      <c r="DT24" s="36">
        <f t="shared" si="71"/>
        <v>1523.9481425000001</v>
      </c>
      <c r="DU24" s="36">
        <f t="shared" si="72"/>
        <v>1523.9481425000001</v>
      </c>
      <c r="DV24" s="35">
        <f t="shared" si="73"/>
        <v>298.1620796</v>
      </c>
    </row>
    <row r="25" spans="1:126" ht="12">
      <c r="A25" s="37">
        <v>45017</v>
      </c>
      <c r="C25" s="3">
        <v>5990000</v>
      </c>
      <c r="D25" s="3">
        <v>1433225</v>
      </c>
      <c r="E25" s="35">
        <f t="shared" si="0"/>
        <v>7423225</v>
      </c>
      <c r="F25" s="35">
        <f>'2011A'!F25</f>
        <v>280412</v>
      </c>
      <c r="H25" s="47">
        <f t="shared" si="74"/>
        <v>902824.78</v>
      </c>
      <c r="I25" s="36">
        <f t="shared" si="1"/>
        <v>216018.53845000002</v>
      </c>
      <c r="J25" s="36">
        <f t="shared" si="2"/>
        <v>1118843.3184500001</v>
      </c>
      <c r="K25" s="36">
        <f t="shared" si="3"/>
        <v>42264.25746400001</v>
      </c>
      <c r="M25" s="5">
        <f t="shared" si="75"/>
        <v>375299.85599999997</v>
      </c>
      <c r="N25" s="5">
        <f t="shared" si="4"/>
        <v>89797.85244</v>
      </c>
      <c r="O25" s="5">
        <f t="shared" si="5"/>
        <v>465097.70843999996</v>
      </c>
      <c r="P25" s="35">
        <f t="shared" si="6"/>
        <v>17569.0456128</v>
      </c>
      <c r="R25" s="5">
        <f t="shared" si="76"/>
        <v>165.923</v>
      </c>
      <c r="S25" s="36">
        <f t="shared" si="7"/>
        <v>39.7003325</v>
      </c>
      <c r="T25" s="36">
        <f t="shared" si="8"/>
        <v>205.6233325</v>
      </c>
      <c r="U25" s="35">
        <f t="shared" si="9"/>
        <v>7.7674123999999996</v>
      </c>
      <c r="W25" s="5">
        <f t="shared" si="77"/>
        <v>7429.397</v>
      </c>
      <c r="X25" s="5">
        <f t="shared" si="10"/>
        <v>1777.6289675</v>
      </c>
      <c r="Y25" s="5">
        <f t="shared" si="97"/>
        <v>9207.0259675</v>
      </c>
      <c r="Z25" s="35">
        <f t="shared" si="12"/>
        <v>347.7950036</v>
      </c>
      <c r="AB25" s="5">
        <f t="shared" si="78"/>
        <v>4473.931</v>
      </c>
      <c r="AC25" s="5">
        <f t="shared" si="13"/>
        <v>1070.4757525</v>
      </c>
      <c r="AD25" s="5">
        <f t="shared" si="14"/>
        <v>5544.406752499999</v>
      </c>
      <c r="AE25" s="35">
        <f t="shared" si="15"/>
        <v>209.4397228</v>
      </c>
      <c r="AG25" s="5">
        <f t="shared" si="79"/>
        <v>33250.490000000005</v>
      </c>
      <c r="AH25" s="5">
        <f t="shared" si="16"/>
        <v>7955.831975000001</v>
      </c>
      <c r="AI25" s="5">
        <f t="shared" si="17"/>
        <v>41206.321975000006</v>
      </c>
      <c r="AJ25" s="35">
        <f t="shared" si="18"/>
        <v>1556.5670120000002</v>
      </c>
      <c r="AL25" s="5">
        <f t="shared" si="80"/>
        <v>10303.998</v>
      </c>
      <c r="AM25" s="5">
        <f t="shared" si="19"/>
        <v>2465.433645</v>
      </c>
      <c r="AN25" s="5">
        <f t="shared" si="20"/>
        <v>12769.431645</v>
      </c>
      <c r="AO25" s="35">
        <f t="shared" si="21"/>
        <v>482.3647224</v>
      </c>
      <c r="AQ25" s="5">
        <f t="shared" si="81"/>
        <v>19399.214</v>
      </c>
      <c r="AR25" s="5">
        <f t="shared" si="22"/>
        <v>4641.642485</v>
      </c>
      <c r="AS25" s="5">
        <f t="shared" si="23"/>
        <v>24040.856485</v>
      </c>
      <c r="AT25" s="35">
        <f t="shared" si="24"/>
        <v>908.1423032</v>
      </c>
      <c r="AV25" s="5">
        <f t="shared" si="82"/>
        <v>4107.942</v>
      </c>
      <c r="AW25" s="5">
        <f t="shared" si="25"/>
        <v>982.905705</v>
      </c>
      <c r="AX25" s="5">
        <f t="shared" si="26"/>
        <v>5090.847705</v>
      </c>
      <c r="AY25" s="35">
        <f t="shared" si="27"/>
        <v>192.30654959999998</v>
      </c>
      <c r="BA25" s="5">
        <f t="shared" si="83"/>
        <v>73247.51699999999</v>
      </c>
      <c r="BB25" s="5">
        <f t="shared" si="28"/>
        <v>17525.9052675</v>
      </c>
      <c r="BC25" s="5">
        <f t="shared" si="29"/>
        <v>90773.42226749999</v>
      </c>
      <c r="BD25" s="35">
        <f t="shared" si="30"/>
        <v>3428.9620596</v>
      </c>
      <c r="BF25" s="36">
        <f t="shared" si="84"/>
        <v>33914.182</v>
      </c>
      <c r="BG25" s="5">
        <f t="shared" si="31"/>
        <v>8114.633304999999</v>
      </c>
      <c r="BH25" s="36">
        <f t="shared" si="32"/>
        <v>42028.815305</v>
      </c>
      <c r="BI25" s="35">
        <f t="shared" si="33"/>
        <v>1587.6366616</v>
      </c>
      <c r="BK25" s="5">
        <f t="shared" si="85"/>
        <v>16242.484</v>
      </c>
      <c r="BL25" s="5">
        <f t="shared" si="34"/>
        <v>3886.33291</v>
      </c>
      <c r="BM25" s="5">
        <f t="shared" si="35"/>
        <v>20128.81691</v>
      </c>
      <c r="BN25" s="35">
        <f t="shared" si="36"/>
        <v>760.3651792000001</v>
      </c>
      <c r="BP25" s="5">
        <f t="shared" si="37"/>
        <v>2396.599</v>
      </c>
      <c r="BQ25" s="5">
        <f t="shared" si="38"/>
        <v>573.4333225</v>
      </c>
      <c r="BR25" s="5">
        <f t="shared" si="39"/>
        <v>2970.0323225</v>
      </c>
      <c r="BS25" s="35">
        <f t="shared" si="40"/>
        <v>112.1928412</v>
      </c>
      <c r="BU25" s="5">
        <f t="shared" si="86"/>
        <v>10625.661</v>
      </c>
      <c r="BV25" s="5">
        <f t="shared" si="41"/>
        <v>2542.3978275</v>
      </c>
      <c r="BW25" s="5">
        <f t="shared" si="42"/>
        <v>13168.058827500001</v>
      </c>
      <c r="BX25" s="35">
        <f t="shared" si="43"/>
        <v>497.4228468</v>
      </c>
      <c r="BZ25" s="5">
        <f t="shared" si="87"/>
        <v>1463.3569999999997</v>
      </c>
      <c r="CA25" s="5">
        <f t="shared" si="44"/>
        <v>350.13686749999994</v>
      </c>
      <c r="CB25" s="5">
        <f t="shared" si="45"/>
        <v>1813.4938674999996</v>
      </c>
      <c r="CC25" s="35">
        <f t="shared" si="46"/>
        <v>68.50465159999999</v>
      </c>
      <c r="CE25" s="5">
        <f t="shared" si="88"/>
        <v>30527.436</v>
      </c>
      <c r="CF25" s="5">
        <f t="shared" si="47"/>
        <v>7304.2878900000005</v>
      </c>
      <c r="CG25" s="5">
        <f t="shared" si="48"/>
        <v>37831.72389</v>
      </c>
      <c r="CH25" s="35">
        <f t="shared" si="49"/>
        <v>1429.0917168</v>
      </c>
      <c r="CJ25" s="5">
        <f t="shared" si="89"/>
        <v>5913.3279999999995</v>
      </c>
      <c r="CK25" s="5">
        <f t="shared" si="50"/>
        <v>1414.87972</v>
      </c>
      <c r="CL25" s="5">
        <f t="shared" si="51"/>
        <v>7328.207719999999</v>
      </c>
      <c r="CM25" s="35">
        <f t="shared" si="52"/>
        <v>276.82272639999996</v>
      </c>
      <c r="CO25" s="5">
        <f t="shared" si="90"/>
        <v>7823.539</v>
      </c>
      <c r="CP25" s="5">
        <f t="shared" si="53"/>
        <v>1871.9351725</v>
      </c>
      <c r="CQ25" s="36">
        <f t="shared" si="54"/>
        <v>9695.4741725</v>
      </c>
      <c r="CR25" s="35">
        <f t="shared" si="55"/>
        <v>366.24611319999997</v>
      </c>
      <c r="CT25" s="5">
        <f t="shared" si="91"/>
        <v>25432.342</v>
      </c>
      <c r="CU25" s="5">
        <f t="shared" si="56"/>
        <v>6085.186705</v>
      </c>
      <c r="CV25" s="36">
        <f t="shared" si="57"/>
        <v>31517.528705</v>
      </c>
      <c r="CW25" s="35">
        <f t="shared" si="58"/>
        <v>1190.5732696</v>
      </c>
      <c r="CY25" s="5">
        <f t="shared" si="92"/>
        <v>14951.639</v>
      </c>
      <c r="CZ25" s="5">
        <f t="shared" si="59"/>
        <v>3577.4729224999996</v>
      </c>
      <c r="DA25" s="5">
        <f t="shared" si="60"/>
        <v>18529.1119225</v>
      </c>
      <c r="DB25" s="35">
        <f t="shared" si="61"/>
        <v>699.9363932</v>
      </c>
      <c r="DD25" s="5">
        <f t="shared" si="93"/>
        <v>16878.022999999997</v>
      </c>
      <c r="DE25" s="5">
        <f t="shared" si="62"/>
        <v>4038.3980825</v>
      </c>
      <c r="DF25" s="5">
        <f t="shared" si="63"/>
        <v>20916.421082499997</v>
      </c>
      <c r="DG25" s="35">
        <f t="shared" si="64"/>
        <v>790.1168924</v>
      </c>
      <c r="DI25" s="5">
        <f t="shared" si="94"/>
        <v>195413.567</v>
      </c>
      <c r="DJ25" s="5">
        <f t="shared" si="65"/>
        <v>46756.5291425</v>
      </c>
      <c r="DK25" s="5">
        <f t="shared" si="66"/>
        <v>242170.0961425</v>
      </c>
      <c r="DL25" s="35">
        <f t="shared" si="67"/>
        <v>9147.9647996</v>
      </c>
      <c r="DN25" s="5">
        <f t="shared" si="95"/>
        <v>7195.187999999999</v>
      </c>
      <c r="DO25" s="5">
        <f t="shared" si="68"/>
        <v>1721.5898699999998</v>
      </c>
      <c r="DP25" s="36">
        <f t="shared" si="69"/>
        <v>8916.777869999998</v>
      </c>
      <c r="DQ25" s="35">
        <f t="shared" si="70"/>
        <v>336.8308944</v>
      </c>
      <c r="DS25" s="5">
        <f t="shared" si="96"/>
        <v>6369.167</v>
      </c>
      <c r="DT25" s="36">
        <f t="shared" si="71"/>
        <v>1523.9481425000001</v>
      </c>
      <c r="DU25" s="36">
        <f t="shared" si="72"/>
        <v>7893.115142500001</v>
      </c>
      <c r="DV25" s="35">
        <f t="shared" si="73"/>
        <v>298.1620796</v>
      </c>
    </row>
    <row r="26" spans="1:126" ht="12">
      <c r="A26" s="37">
        <v>45200</v>
      </c>
      <c r="D26" s="3">
        <v>1283475</v>
      </c>
      <c r="E26" s="35">
        <f t="shared" si="0"/>
        <v>1283475</v>
      </c>
      <c r="F26" s="35">
        <f>'2011A'!F26</f>
        <v>280412</v>
      </c>
      <c r="H26" s="47"/>
      <c r="I26" s="36">
        <f t="shared" si="1"/>
        <v>193447.91895</v>
      </c>
      <c r="J26" s="36">
        <f t="shared" si="2"/>
        <v>193447.91895</v>
      </c>
      <c r="K26" s="36">
        <f t="shared" si="3"/>
        <v>42264.25746400001</v>
      </c>
      <c r="N26" s="5">
        <f t="shared" si="4"/>
        <v>80415.35604</v>
      </c>
      <c r="O26" s="5">
        <f t="shared" si="5"/>
        <v>80415.35604</v>
      </c>
      <c r="P26" s="35">
        <f t="shared" si="6"/>
        <v>17569.0456128</v>
      </c>
      <c r="S26" s="36">
        <f t="shared" si="7"/>
        <v>35.552257499999996</v>
      </c>
      <c r="T26" s="36">
        <f t="shared" si="8"/>
        <v>35.552257499999996</v>
      </c>
      <c r="U26" s="35">
        <f t="shared" si="9"/>
        <v>7.7674123999999996</v>
      </c>
      <c r="X26" s="5">
        <f t="shared" si="10"/>
        <v>1591.8940424999998</v>
      </c>
      <c r="Y26" s="5">
        <f t="shared" si="97"/>
        <v>1591.8940424999998</v>
      </c>
      <c r="Z26" s="35">
        <f t="shared" si="12"/>
        <v>347.7950036</v>
      </c>
      <c r="AC26" s="5">
        <f t="shared" si="13"/>
        <v>958.6274774999999</v>
      </c>
      <c r="AD26" s="5">
        <f t="shared" si="14"/>
        <v>958.6274774999999</v>
      </c>
      <c r="AE26" s="35">
        <f t="shared" si="15"/>
        <v>209.4397228</v>
      </c>
      <c r="AH26" s="5">
        <f t="shared" si="16"/>
        <v>7124.569725</v>
      </c>
      <c r="AI26" s="5">
        <f t="shared" si="17"/>
        <v>7124.569725</v>
      </c>
      <c r="AJ26" s="35">
        <f t="shared" si="18"/>
        <v>1556.5670120000002</v>
      </c>
      <c r="AM26" s="5">
        <f t="shared" si="19"/>
        <v>2207.8336950000003</v>
      </c>
      <c r="AN26" s="5">
        <f t="shared" si="20"/>
        <v>2207.8336950000003</v>
      </c>
      <c r="AO26" s="35">
        <f t="shared" si="21"/>
        <v>482.3647224</v>
      </c>
      <c r="AR26" s="5">
        <f t="shared" si="22"/>
        <v>4156.662135</v>
      </c>
      <c r="AS26" s="5">
        <f t="shared" si="23"/>
        <v>4156.662135</v>
      </c>
      <c r="AT26" s="35">
        <f t="shared" si="24"/>
        <v>908.1423032</v>
      </c>
      <c r="AW26" s="5">
        <f t="shared" si="25"/>
        <v>880.207155</v>
      </c>
      <c r="AX26" s="5">
        <f t="shared" si="26"/>
        <v>880.207155</v>
      </c>
      <c r="AY26" s="35">
        <f t="shared" si="27"/>
        <v>192.30654959999998</v>
      </c>
      <c r="BB26" s="5">
        <f t="shared" si="28"/>
        <v>15694.717342499998</v>
      </c>
      <c r="BC26" s="5">
        <f t="shared" si="29"/>
        <v>15694.717342499998</v>
      </c>
      <c r="BD26" s="35">
        <f t="shared" si="30"/>
        <v>3428.9620596</v>
      </c>
      <c r="BF26" s="36"/>
      <c r="BG26" s="5">
        <f t="shared" si="31"/>
        <v>7266.778754999999</v>
      </c>
      <c r="BH26" s="36">
        <f t="shared" si="32"/>
        <v>7266.778754999999</v>
      </c>
      <c r="BI26" s="35">
        <f t="shared" si="33"/>
        <v>1587.6366616</v>
      </c>
      <c r="BL26" s="5">
        <f t="shared" si="34"/>
        <v>3480.2708100000004</v>
      </c>
      <c r="BM26" s="5">
        <f t="shared" si="35"/>
        <v>3480.2708100000004</v>
      </c>
      <c r="BN26" s="35">
        <f t="shared" si="36"/>
        <v>760.3651792000001</v>
      </c>
      <c r="BP26" s="5">
        <f t="shared" si="37"/>
        <v>0</v>
      </c>
      <c r="BQ26" s="5">
        <f t="shared" si="38"/>
        <v>513.5183475</v>
      </c>
      <c r="BR26" s="5">
        <f t="shared" si="39"/>
        <v>513.5183475</v>
      </c>
      <c r="BS26" s="35">
        <f t="shared" si="40"/>
        <v>112.1928412</v>
      </c>
      <c r="BV26" s="5">
        <f t="shared" si="41"/>
        <v>2276.7563025</v>
      </c>
      <c r="BW26" s="5">
        <f t="shared" si="42"/>
        <v>2276.7563025</v>
      </c>
      <c r="BX26" s="35">
        <f t="shared" si="43"/>
        <v>497.4228468</v>
      </c>
      <c r="CA26" s="5">
        <f t="shared" si="44"/>
        <v>313.5529425</v>
      </c>
      <c r="CB26" s="5">
        <f t="shared" si="45"/>
        <v>313.5529425</v>
      </c>
      <c r="CC26" s="35">
        <f t="shared" si="46"/>
        <v>68.50465159999999</v>
      </c>
      <c r="CF26" s="5">
        <f t="shared" si="47"/>
        <v>6541.10199</v>
      </c>
      <c r="CG26" s="5">
        <f t="shared" si="48"/>
        <v>6541.10199</v>
      </c>
      <c r="CH26" s="35">
        <f t="shared" si="49"/>
        <v>1429.0917168</v>
      </c>
      <c r="CK26" s="5">
        <f t="shared" si="50"/>
        <v>1267.0465199999999</v>
      </c>
      <c r="CL26" s="5">
        <f t="shared" si="51"/>
        <v>1267.0465199999999</v>
      </c>
      <c r="CM26" s="35">
        <f t="shared" si="52"/>
        <v>276.82272639999996</v>
      </c>
      <c r="CP26" s="5">
        <f t="shared" si="53"/>
        <v>1676.3466975</v>
      </c>
      <c r="CQ26" s="36">
        <f t="shared" si="54"/>
        <v>1676.3466975</v>
      </c>
      <c r="CR26" s="35">
        <f t="shared" si="55"/>
        <v>366.24611319999997</v>
      </c>
      <c r="CU26" s="5">
        <f t="shared" si="56"/>
        <v>5449.378155</v>
      </c>
      <c r="CV26" s="36">
        <f t="shared" si="57"/>
        <v>5449.378155</v>
      </c>
      <c r="CW26" s="35">
        <f t="shared" si="58"/>
        <v>1190.5732696</v>
      </c>
      <c r="CZ26" s="5">
        <f t="shared" si="59"/>
        <v>3203.6819474999998</v>
      </c>
      <c r="DA26" s="5">
        <f t="shared" si="60"/>
        <v>3203.6819474999998</v>
      </c>
      <c r="DB26" s="35">
        <f t="shared" si="61"/>
        <v>699.9363932</v>
      </c>
      <c r="DE26" s="5">
        <f t="shared" si="62"/>
        <v>3616.4475074999996</v>
      </c>
      <c r="DF26" s="5">
        <f t="shared" si="63"/>
        <v>3616.4475074999996</v>
      </c>
      <c r="DG26" s="35">
        <f t="shared" si="64"/>
        <v>790.1168924</v>
      </c>
      <c r="DJ26" s="5">
        <f t="shared" si="65"/>
        <v>41871.1899675</v>
      </c>
      <c r="DK26" s="5">
        <f t="shared" si="66"/>
        <v>41871.1899675</v>
      </c>
      <c r="DL26" s="35">
        <f t="shared" si="67"/>
        <v>9147.9647996</v>
      </c>
      <c r="DO26" s="5">
        <f t="shared" si="68"/>
        <v>1541.7101699999998</v>
      </c>
      <c r="DP26" s="36">
        <f t="shared" si="69"/>
        <v>1541.7101699999998</v>
      </c>
      <c r="DQ26" s="35">
        <f t="shared" si="70"/>
        <v>336.8308944</v>
      </c>
      <c r="DT26" s="36">
        <f t="shared" si="71"/>
        <v>1364.7189675000002</v>
      </c>
      <c r="DU26" s="36">
        <f t="shared" si="72"/>
        <v>1364.7189675000002</v>
      </c>
      <c r="DV26" s="35">
        <f t="shared" si="73"/>
        <v>298.1620796</v>
      </c>
    </row>
    <row r="27" spans="1:126" ht="12">
      <c r="A27" s="37">
        <v>45383</v>
      </c>
      <c r="C27" s="3">
        <v>6285000</v>
      </c>
      <c r="D27" s="3">
        <v>1283475</v>
      </c>
      <c r="E27" s="35">
        <f t="shared" si="0"/>
        <v>7568475</v>
      </c>
      <c r="F27" s="35">
        <f>'2011A'!F27</f>
        <v>280412</v>
      </c>
      <c r="H27" s="47">
        <f t="shared" si="74"/>
        <v>947287.7700000001</v>
      </c>
      <c r="I27" s="36">
        <f t="shared" si="1"/>
        <v>193447.91895</v>
      </c>
      <c r="J27" s="36">
        <f t="shared" si="2"/>
        <v>1140735.68895</v>
      </c>
      <c r="K27" s="36">
        <f t="shared" si="3"/>
        <v>42264.25746400001</v>
      </c>
      <c r="M27" s="5">
        <f t="shared" si="75"/>
        <v>393782.904</v>
      </c>
      <c r="N27" s="5">
        <f t="shared" si="4"/>
        <v>80415.35604</v>
      </c>
      <c r="O27" s="5">
        <f t="shared" si="5"/>
        <v>474198.26003999996</v>
      </c>
      <c r="P27" s="35">
        <f t="shared" si="6"/>
        <v>17569.0456128</v>
      </c>
      <c r="R27" s="5">
        <f t="shared" si="76"/>
        <v>174.09449999999998</v>
      </c>
      <c r="S27" s="36">
        <f t="shared" si="7"/>
        <v>35.552257499999996</v>
      </c>
      <c r="T27" s="36">
        <f t="shared" si="8"/>
        <v>209.64675749999998</v>
      </c>
      <c r="U27" s="35">
        <f t="shared" si="9"/>
        <v>7.7674123999999996</v>
      </c>
      <c r="W27" s="5">
        <f t="shared" si="77"/>
        <v>7795.2855</v>
      </c>
      <c r="X27" s="5">
        <f t="shared" si="10"/>
        <v>1591.8940424999998</v>
      </c>
      <c r="Y27" s="5">
        <f t="shared" si="97"/>
        <v>9387.1795425</v>
      </c>
      <c r="Z27" s="35">
        <f t="shared" si="12"/>
        <v>347.7950036</v>
      </c>
      <c r="AB27" s="5">
        <f t="shared" si="78"/>
        <v>4694.2665</v>
      </c>
      <c r="AC27" s="5">
        <f t="shared" si="13"/>
        <v>958.6274774999999</v>
      </c>
      <c r="AD27" s="5">
        <f t="shared" si="14"/>
        <v>5652.8939775</v>
      </c>
      <c r="AE27" s="35">
        <f t="shared" si="15"/>
        <v>209.4397228</v>
      </c>
      <c r="AG27" s="5">
        <f t="shared" si="79"/>
        <v>34888.035</v>
      </c>
      <c r="AH27" s="5">
        <f t="shared" si="16"/>
        <v>7124.569725</v>
      </c>
      <c r="AI27" s="5">
        <f t="shared" si="17"/>
        <v>42012.604725000005</v>
      </c>
      <c r="AJ27" s="35">
        <f t="shared" si="18"/>
        <v>1556.5670120000002</v>
      </c>
      <c r="AL27" s="5">
        <f t="shared" si="80"/>
        <v>10811.457</v>
      </c>
      <c r="AM27" s="5">
        <f t="shared" si="19"/>
        <v>2207.8336950000003</v>
      </c>
      <c r="AN27" s="5">
        <f t="shared" si="20"/>
        <v>13019.290695</v>
      </c>
      <c r="AO27" s="35">
        <f t="shared" si="21"/>
        <v>482.3647224</v>
      </c>
      <c r="AQ27" s="5">
        <f t="shared" si="81"/>
        <v>20354.601</v>
      </c>
      <c r="AR27" s="5">
        <f t="shared" si="22"/>
        <v>4156.662135</v>
      </c>
      <c r="AS27" s="5">
        <f t="shared" si="23"/>
        <v>24511.263134999997</v>
      </c>
      <c r="AT27" s="35">
        <f t="shared" si="24"/>
        <v>908.1423032</v>
      </c>
      <c r="AV27" s="5">
        <f t="shared" si="82"/>
        <v>4310.253</v>
      </c>
      <c r="AW27" s="5">
        <f t="shared" si="25"/>
        <v>880.207155</v>
      </c>
      <c r="AX27" s="5">
        <f t="shared" si="26"/>
        <v>5190.460155</v>
      </c>
      <c r="AY27" s="35">
        <f t="shared" si="27"/>
        <v>192.30654959999998</v>
      </c>
      <c r="BA27" s="5">
        <f t="shared" si="83"/>
        <v>76854.8655</v>
      </c>
      <c r="BB27" s="5">
        <f t="shared" si="28"/>
        <v>15694.717342499998</v>
      </c>
      <c r="BC27" s="5">
        <f t="shared" si="29"/>
        <v>92549.58284249999</v>
      </c>
      <c r="BD27" s="35">
        <f t="shared" si="30"/>
        <v>3428.9620596</v>
      </c>
      <c r="BF27" s="36">
        <f t="shared" si="84"/>
        <v>35584.413</v>
      </c>
      <c r="BG27" s="5">
        <f t="shared" si="31"/>
        <v>7266.778754999999</v>
      </c>
      <c r="BH27" s="36">
        <f t="shared" si="32"/>
        <v>42851.191755</v>
      </c>
      <c r="BI27" s="35">
        <f t="shared" si="33"/>
        <v>1587.6366616</v>
      </c>
      <c r="BK27" s="5">
        <f t="shared" si="85"/>
        <v>17042.406000000003</v>
      </c>
      <c r="BL27" s="5">
        <f t="shared" si="34"/>
        <v>3480.2708100000004</v>
      </c>
      <c r="BM27" s="5">
        <f t="shared" si="35"/>
        <v>20522.676810000004</v>
      </c>
      <c r="BN27" s="35">
        <f t="shared" si="36"/>
        <v>760.3651792000001</v>
      </c>
      <c r="BP27" s="5">
        <f t="shared" si="37"/>
        <v>2514.6285000000003</v>
      </c>
      <c r="BQ27" s="5">
        <f t="shared" si="38"/>
        <v>513.5183475</v>
      </c>
      <c r="BR27" s="5">
        <f t="shared" si="39"/>
        <v>3028.1468475</v>
      </c>
      <c r="BS27" s="35">
        <f t="shared" si="40"/>
        <v>112.1928412</v>
      </c>
      <c r="BU27" s="5">
        <f t="shared" si="86"/>
        <v>11148.9615</v>
      </c>
      <c r="BV27" s="5">
        <f t="shared" si="41"/>
        <v>2276.7563025</v>
      </c>
      <c r="BW27" s="5">
        <f t="shared" si="42"/>
        <v>13425.7178025</v>
      </c>
      <c r="BX27" s="35">
        <f t="shared" si="43"/>
        <v>497.4228468</v>
      </c>
      <c r="BZ27" s="5">
        <f t="shared" si="87"/>
        <v>1535.4254999999998</v>
      </c>
      <c r="CA27" s="5">
        <f t="shared" si="44"/>
        <v>313.5529425</v>
      </c>
      <c r="CB27" s="5">
        <f t="shared" si="45"/>
        <v>1848.9784424999998</v>
      </c>
      <c r="CC27" s="35">
        <f t="shared" si="46"/>
        <v>68.50465159999999</v>
      </c>
      <c r="CE27" s="5">
        <f t="shared" si="88"/>
        <v>32030.874</v>
      </c>
      <c r="CF27" s="5">
        <f t="shared" si="47"/>
        <v>6541.10199</v>
      </c>
      <c r="CG27" s="5">
        <f t="shared" si="48"/>
        <v>38571.97599</v>
      </c>
      <c r="CH27" s="35">
        <f t="shared" si="49"/>
        <v>1429.0917168</v>
      </c>
      <c r="CJ27" s="5">
        <f t="shared" si="89"/>
        <v>6204.552</v>
      </c>
      <c r="CK27" s="5">
        <f t="shared" si="50"/>
        <v>1267.0465199999999</v>
      </c>
      <c r="CL27" s="5">
        <f t="shared" si="51"/>
        <v>7471.59852</v>
      </c>
      <c r="CM27" s="35">
        <f t="shared" si="52"/>
        <v>276.82272639999996</v>
      </c>
      <c r="CO27" s="5">
        <f t="shared" si="90"/>
        <v>8208.8385</v>
      </c>
      <c r="CP27" s="5">
        <f t="shared" si="53"/>
        <v>1676.3466975</v>
      </c>
      <c r="CQ27" s="36">
        <f t="shared" si="54"/>
        <v>9885.185197499999</v>
      </c>
      <c r="CR27" s="35">
        <f t="shared" si="55"/>
        <v>366.24611319999997</v>
      </c>
      <c r="CT27" s="5">
        <f t="shared" si="91"/>
        <v>26684.853</v>
      </c>
      <c r="CU27" s="5">
        <f t="shared" si="56"/>
        <v>5449.378155</v>
      </c>
      <c r="CV27" s="36">
        <f t="shared" si="57"/>
        <v>32134.231155</v>
      </c>
      <c r="CW27" s="35">
        <f t="shared" si="58"/>
        <v>1190.5732696</v>
      </c>
      <c r="CY27" s="5">
        <f t="shared" si="92"/>
        <v>15687.9885</v>
      </c>
      <c r="CZ27" s="5">
        <f t="shared" si="59"/>
        <v>3203.6819474999998</v>
      </c>
      <c r="DA27" s="5">
        <f t="shared" si="60"/>
        <v>18891.6704475</v>
      </c>
      <c r="DB27" s="35">
        <f t="shared" si="61"/>
        <v>699.9363932</v>
      </c>
      <c r="DD27" s="5">
        <f t="shared" si="93"/>
        <v>17709.244499999997</v>
      </c>
      <c r="DE27" s="5">
        <f t="shared" si="62"/>
        <v>3616.4475074999996</v>
      </c>
      <c r="DF27" s="5">
        <f t="shared" si="63"/>
        <v>21325.692007499998</v>
      </c>
      <c r="DG27" s="35">
        <f t="shared" si="64"/>
        <v>790.1168924</v>
      </c>
      <c r="DI27" s="5">
        <f t="shared" si="94"/>
        <v>205037.4405</v>
      </c>
      <c r="DJ27" s="5">
        <f t="shared" si="65"/>
        <v>41871.1899675</v>
      </c>
      <c r="DK27" s="5">
        <f t="shared" si="66"/>
        <v>246908.6304675</v>
      </c>
      <c r="DL27" s="35">
        <f t="shared" si="67"/>
        <v>9147.9647996</v>
      </c>
      <c r="DN27" s="5">
        <f t="shared" si="95"/>
        <v>7549.5419999999995</v>
      </c>
      <c r="DO27" s="5">
        <f t="shared" si="68"/>
        <v>1541.7101699999998</v>
      </c>
      <c r="DP27" s="36">
        <f t="shared" si="69"/>
        <v>9091.25217</v>
      </c>
      <c r="DQ27" s="35">
        <f t="shared" si="70"/>
        <v>336.8308944</v>
      </c>
      <c r="DS27" s="5">
        <f t="shared" si="96"/>
        <v>6682.8405</v>
      </c>
      <c r="DT27" s="36">
        <f t="shared" si="71"/>
        <v>1364.7189675000002</v>
      </c>
      <c r="DU27" s="36">
        <f t="shared" si="72"/>
        <v>8047.5594675</v>
      </c>
      <c r="DV27" s="35">
        <f t="shared" si="73"/>
        <v>298.1620796</v>
      </c>
    </row>
    <row r="28" spans="1:126" ht="12">
      <c r="A28" s="37">
        <v>45566</v>
      </c>
      <c r="D28" s="3">
        <v>1189200</v>
      </c>
      <c r="E28" s="35">
        <f t="shared" si="0"/>
        <v>1189200</v>
      </c>
      <c r="F28" s="35">
        <f>'2011A'!F28</f>
        <v>280412</v>
      </c>
      <c r="H28" s="47"/>
      <c r="I28" s="36">
        <f t="shared" si="1"/>
        <v>179238.6024</v>
      </c>
      <c r="J28" s="36">
        <f t="shared" si="2"/>
        <v>179238.6024</v>
      </c>
      <c r="K28" s="36">
        <f t="shared" si="3"/>
        <v>42264.25746400001</v>
      </c>
      <c r="L28"/>
      <c r="N28" s="5">
        <f t="shared" si="4"/>
        <v>74508.61248</v>
      </c>
      <c r="O28" s="5">
        <f t="shared" si="5"/>
        <v>74508.61248</v>
      </c>
      <c r="P28" s="35">
        <f t="shared" si="6"/>
        <v>17569.0456128</v>
      </c>
      <c r="Q28"/>
      <c r="S28" s="36">
        <f t="shared" si="7"/>
        <v>32.94084</v>
      </c>
      <c r="T28" s="36">
        <f t="shared" si="8"/>
        <v>32.94084</v>
      </c>
      <c r="U28" s="35">
        <f t="shared" si="9"/>
        <v>7.7674123999999996</v>
      </c>
      <c r="V28"/>
      <c r="X28" s="5">
        <f t="shared" si="10"/>
        <v>1474.9647599999998</v>
      </c>
      <c r="Y28" s="5">
        <f t="shared" si="97"/>
        <v>1474.9647599999998</v>
      </c>
      <c r="Z28" s="35">
        <f t="shared" si="12"/>
        <v>347.7950036</v>
      </c>
      <c r="AA28"/>
      <c r="AC28" s="5">
        <f t="shared" si="13"/>
        <v>888.21348</v>
      </c>
      <c r="AD28" s="5">
        <f t="shared" si="14"/>
        <v>888.21348</v>
      </c>
      <c r="AE28" s="35">
        <f t="shared" si="15"/>
        <v>209.4397228</v>
      </c>
      <c r="AF28"/>
      <c r="AH28" s="5">
        <f t="shared" si="16"/>
        <v>6601.2492</v>
      </c>
      <c r="AI28" s="5">
        <f t="shared" si="17"/>
        <v>6601.2492</v>
      </c>
      <c r="AJ28" s="35">
        <f t="shared" si="18"/>
        <v>1556.5670120000002</v>
      </c>
      <c r="AK28"/>
      <c r="AM28" s="5">
        <f t="shared" si="19"/>
        <v>2045.66184</v>
      </c>
      <c r="AN28" s="5">
        <f t="shared" si="20"/>
        <v>2045.66184</v>
      </c>
      <c r="AO28" s="35">
        <f t="shared" si="21"/>
        <v>482.3647224</v>
      </c>
      <c r="AP28"/>
      <c r="AR28" s="5">
        <f t="shared" si="22"/>
        <v>3851.34312</v>
      </c>
      <c r="AS28" s="5">
        <f t="shared" si="23"/>
        <v>3851.34312</v>
      </c>
      <c r="AT28" s="35">
        <f t="shared" si="24"/>
        <v>908.1423032</v>
      </c>
      <c r="AU28"/>
      <c r="AW28" s="5">
        <f t="shared" si="25"/>
        <v>815.55336</v>
      </c>
      <c r="AX28" s="5">
        <f t="shared" si="26"/>
        <v>815.55336</v>
      </c>
      <c r="AY28" s="35">
        <f t="shared" si="27"/>
        <v>192.30654959999998</v>
      </c>
      <c r="AZ28"/>
      <c r="BB28" s="5">
        <f t="shared" si="28"/>
        <v>14541.894359999998</v>
      </c>
      <c r="BC28" s="5">
        <f t="shared" si="29"/>
        <v>14541.894359999998</v>
      </c>
      <c r="BD28" s="35">
        <f t="shared" si="30"/>
        <v>3428.9620596</v>
      </c>
      <c r="BE28"/>
      <c r="BF28" s="36"/>
      <c r="BG28" s="5">
        <f t="shared" si="31"/>
        <v>6733.01256</v>
      </c>
      <c r="BH28" s="36">
        <f t="shared" si="32"/>
        <v>6733.01256</v>
      </c>
      <c r="BI28" s="35">
        <f t="shared" si="33"/>
        <v>1587.6366616</v>
      </c>
      <c r="BJ28"/>
      <c r="BL28" s="5">
        <f t="shared" si="34"/>
        <v>3224.6347200000005</v>
      </c>
      <c r="BM28" s="5">
        <f t="shared" si="35"/>
        <v>3224.6347200000005</v>
      </c>
      <c r="BN28" s="35">
        <f t="shared" si="36"/>
        <v>760.3651792000001</v>
      </c>
      <c r="BO28"/>
      <c r="BP28" s="5">
        <f t="shared" si="37"/>
        <v>0</v>
      </c>
      <c r="BQ28" s="5">
        <f t="shared" si="38"/>
        <v>475.79892</v>
      </c>
      <c r="BR28" s="5">
        <f t="shared" si="39"/>
        <v>475.79892</v>
      </c>
      <c r="BS28" s="35">
        <f t="shared" si="40"/>
        <v>112.1928412</v>
      </c>
      <c r="BT28"/>
      <c r="BV28" s="5">
        <f t="shared" si="41"/>
        <v>2109.52188</v>
      </c>
      <c r="BW28" s="5">
        <f t="shared" si="42"/>
        <v>2109.52188</v>
      </c>
      <c r="BX28" s="35">
        <f t="shared" si="43"/>
        <v>497.4228468</v>
      </c>
      <c r="BY28"/>
      <c r="CA28" s="5">
        <f t="shared" si="44"/>
        <v>290.52155999999997</v>
      </c>
      <c r="CB28" s="5">
        <f t="shared" si="45"/>
        <v>290.52155999999997</v>
      </c>
      <c r="CC28" s="35">
        <f t="shared" si="46"/>
        <v>68.50465159999999</v>
      </c>
      <c r="CD28"/>
      <c r="CF28" s="5">
        <f t="shared" si="47"/>
        <v>6060.63888</v>
      </c>
      <c r="CG28" s="5">
        <f t="shared" si="48"/>
        <v>6060.63888</v>
      </c>
      <c r="CH28" s="35">
        <f t="shared" si="49"/>
        <v>1429.0917168</v>
      </c>
      <c r="CI28"/>
      <c r="CK28" s="5">
        <f t="shared" si="50"/>
        <v>1173.97824</v>
      </c>
      <c r="CL28" s="5">
        <f t="shared" si="51"/>
        <v>1173.97824</v>
      </c>
      <c r="CM28" s="35">
        <f t="shared" si="52"/>
        <v>276.82272639999996</v>
      </c>
      <c r="CN28"/>
      <c r="CP28" s="5">
        <f t="shared" si="53"/>
        <v>1553.2141199999999</v>
      </c>
      <c r="CQ28" s="36">
        <f t="shared" si="54"/>
        <v>1553.2141199999999</v>
      </c>
      <c r="CR28" s="35">
        <f t="shared" si="55"/>
        <v>366.24611319999997</v>
      </c>
      <c r="CS28"/>
      <c r="CU28" s="5">
        <f t="shared" si="56"/>
        <v>5049.1053600000005</v>
      </c>
      <c r="CV28" s="36">
        <f t="shared" si="57"/>
        <v>5049.1053600000005</v>
      </c>
      <c r="CW28" s="35">
        <f t="shared" si="58"/>
        <v>1190.5732696</v>
      </c>
      <c r="CZ28" s="5">
        <f t="shared" si="59"/>
        <v>2968.36212</v>
      </c>
      <c r="DA28" s="5">
        <f t="shared" si="60"/>
        <v>2968.36212</v>
      </c>
      <c r="DB28" s="35">
        <f t="shared" si="61"/>
        <v>699.9363932</v>
      </c>
      <c r="DE28" s="5">
        <f t="shared" si="62"/>
        <v>3350.8088399999997</v>
      </c>
      <c r="DF28" s="5">
        <f t="shared" si="63"/>
        <v>3350.8088399999997</v>
      </c>
      <c r="DG28" s="35">
        <f t="shared" si="64"/>
        <v>790.1168924</v>
      </c>
      <c r="DJ28" s="5">
        <f t="shared" si="65"/>
        <v>38795.62836</v>
      </c>
      <c r="DK28" s="5">
        <f t="shared" si="66"/>
        <v>38795.62836</v>
      </c>
      <c r="DL28" s="35">
        <f t="shared" si="67"/>
        <v>9147.9647996</v>
      </c>
      <c r="DO28" s="5">
        <f t="shared" si="68"/>
        <v>1428.46704</v>
      </c>
      <c r="DP28" s="36">
        <f t="shared" si="69"/>
        <v>1428.46704</v>
      </c>
      <c r="DQ28" s="35">
        <f t="shared" si="70"/>
        <v>336.8308944</v>
      </c>
      <c r="DT28" s="36">
        <f t="shared" si="71"/>
        <v>1264.47636</v>
      </c>
      <c r="DU28" s="36">
        <f t="shared" si="72"/>
        <v>1264.47636</v>
      </c>
      <c r="DV28" s="35">
        <f t="shared" si="73"/>
        <v>298.1620796</v>
      </c>
    </row>
    <row r="29" spans="1:126" ht="12">
      <c r="A29" s="37">
        <v>45748</v>
      </c>
      <c r="C29" s="3">
        <v>6475000</v>
      </c>
      <c r="D29" s="3">
        <v>1189200</v>
      </c>
      <c r="E29" s="35">
        <f t="shared" si="0"/>
        <v>7664200</v>
      </c>
      <c r="F29" s="35">
        <f>'2011A'!F29</f>
        <v>280412</v>
      </c>
      <c r="H29" s="47">
        <f t="shared" si="74"/>
        <v>975924.9500000004</v>
      </c>
      <c r="I29" s="36">
        <f t="shared" si="1"/>
        <v>179238.6024</v>
      </c>
      <c r="J29" s="36">
        <f t="shared" si="2"/>
        <v>1155163.5524000004</v>
      </c>
      <c r="K29" s="36">
        <f t="shared" si="3"/>
        <v>42264.25746400001</v>
      </c>
      <c r="L29"/>
      <c r="M29" s="5">
        <f t="shared" si="75"/>
        <v>405687.24</v>
      </c>
      <c r="N29" s="5">
        <f t="shared" si="4"/>
        <v>74508.61248</v>
      </c>
      <c r="O29" s="5">
        <f t="shared" si="5"/>
        <v>480195.85248</v>
      </c>
      <c r="P29" s="35">
        <f t="shared" si="6"/>
        <v>17569.0456128</v>
      </c>
      <c r="Q29"/>
      <c r="R29" s="5">
        <f t="shared" si="76"/>
        <v>179.3575</v>
      </c>
      <c r="S29" s="36">
        <f t="shared" si="7"/>
        <v>32.94084</v>
      </c>
      <c r="T29" s="36">
        <f t="shared" si="8"/>
        <v>212.29834</v>
      </c>
      <c r="U29" s="35">
        <f t="shared" si="9"/>
        <v>7.7674123999999996</v>
      </c>
      <c r="V29"/>
      <c r="W29" s="5">
        <f t="shared" si="77"/>
        <v>8030.9425</v>
      </c>
      <c r="X29" s="5">
        <f t="shared" si="10"/>
        <v>1474.9647599999998</v>
      </c>
      <c r="Y29" s="5">
        <f t="shared" si="97"/>
        <v>9505.90726</v>
      </c>
      <c r="Z29" s="35">
        <f t="shared" si="12"/>
        <v>347.7950036</v>
      </c>
      <c r="AA29"/>
      <c r="AB29" s="5">
        <f t="shared" si="78"/>
        <v>4836.1775</v>
      </c>
      <c r="AC29" s="5">
        <f t="shared" si="13"/>
        <v>888.21348</v>
      </c>
      <c r="AD29" s="5">
        <f t="shared" si="14"/>
        <v>5724.39098</v>
      </c>
      <c r="AE29" s="35">
        <f t="shared" si="15"/>
        <v>209.4397228</v>
      </c>
      <c r="AF29"/>
      <c r="AG29" s="5">
        <f t="shared" si="79"/>
        <v>35942.725000000006</v>
      </c>
      <c r="AH29" s="5">
        <f t="shared" si="16"/>
        <v>6601.2492</v>
      </c>
      <c r="AI29" s="5">
        <f t="shared" si="17"/>
        <v>42543.974200000004</v>
      </c>
      <c r="AJ29" s="35">
        <f t="shared" si="18"/>
        <v>1556.5670120000002</v>
      </c>
      <c r="AK29"/>
      <c r="AL29" s="5">
        <f t="shared" si="80"/>
        <v>11138.295</v>
      </c>
      <c r="AM29" s="5">
        <f t="shared" si="19"/>
        <v>2045.66184</v>
      </c>
      <c r="AN29" s="5">
        <f t="shared" si="20"/>
        <v>13183.95684</v>
      </c>
      <c r="AO29" s="35">
        <f t="shared" si="21"/>
        <v>482.3647224</v>
      </c>
      <c r="AP29"/>
      <c r="AQ29" s="5">
        <f t="shared" si="81"/>
        <v>20969.934999999998</v>
      </c>
      <c r="AR29" s="5">
        <f t="shared" si="22"/>
        <v>3851.34312</v>
      </c>
      <c r="AS29" s="5">
        <f t="shared" si="23"/>
        <v>24821.27812</v>
      </c>
      <c r="AT29" s="35">
        <f t="shared" si="24"/>
        <v>908.1423032</v>
      </c>
      <c r="AU29"/>
      <c r="AV29" s="5">
        <f t="shared" si="82"/>
        <v>4440.554999999999</v>
      </c>
      <c r="AW29" s="5">
        <f t="shared" si="25"/>
        <v>815.55336</v>
      </c>
      <c r="AX29" s="5">
        <f t="shared" si="26"/>
        <v>5256.108359999999</v>
      </c>
      <c r="AY29" s="35">
        <f t="shared" si="27"/>
        <v>192.30654959999998</v>
      </c>
      <c r="AZ29"/>
      <c r="BA29" s="5">
        <f t="shared" si="83"/>
        <v>79178.2425</v>
      </c>
      <c r="BB29" s="5">
        <f t="shared" si="28"/>
        <v>14541.894359999998</v>
      </c>
      <c r="BC29" s="5">
        <f t="shared" si="29"/>
        <v>93720.13686</v>
      </c>
      <c r="BD29" s="35">
        <f t="shared" si="30"/>
        <v>3428.9620596</v>
      </c>
      <c r="BE29"/>
      <c r="BF29" s="36">
        <f t="shared" si="84"/>
        <v>36660.155</v>
      </c>
      <c r="BG29" s="5">
        <f t="shared" si="31"/>
        <v>6733.01256</v>
      </c>
      <c r="BH29" s="36">
        <f t="shared" si="32"/>
        <v>43393.16756</v>
      </c>
      <c r="BI29" s="35">
        <f t="shared" si="33"/>
        <v>1587.6366616</v>
      </c>
      <c r="BJ29"/>
      <c r="BK29" s="5">
        <f t="shared" si="85"/>
        <v>17557.61</v>
      </c>
      <c r="BL29" s="5">
        <f t="shared" si="34"/>
        <v>3224.6347200000005</v>
      </c>
      <c r="BM29" s="5">
        <f t="shared" si="35"/>
        <v>20782.244720000002</v>
      </c>
      <c r="BN29" s="35">
        <f t="shared" si="36"/>
        <v>760.3651792000001</v>
      </c>
      <c r="BO29"/>
      <c r="BP29" s="5">
        <f t="shared" si="37"/>
        <v>2590.6475</v>
      </c>
      <c r="BQ29" s="5">
        <f t="shared" si="38"/>
        <v>475.79892</v>
      </c>
      <c r="BR29" s="5">
        <f t="shared" si="39"/>
        <v>3066.44642</v>
      </c>
      <c r="BS29" s="35">
        <f t="shared" si="40"/>
        <v>112.1928412</v>
      </c>
      <c r="BT29"/>
      <c r="BU29" s="5">
        <f t="shared" si="86"/>
        <v>11486.002499999999</v>
      </c>
      <c r="BV29" s="5">
        <f t="shared" si="41"/>
        <v>2109.52188</v>
      </c>
      <c r="BW29" s="5">
        <f t="shared" si="42"/>
        <v>13595.524379999999</v>
      </c>
      <c r="BX29" s="35">
        <f t="shared" si="43"/>
        <v>497.4228468</v>
      </c>
      <c r="BY29"/>
      <c r="BZ29" s="5">
        <f t="shared" si="87"/>
        <v>1581.8424999999997</v>
      </c>
      <c r="CA29" s="5">
        <f t="shared" si="44"/>
        <v>290.52155999999997</v>
      </c>
      <c r="CB29" s="5">
        <f t="shared" si="45"/>
        <v>1872.3640599999997</v>
      </c>
      <c r="CC29" s="35">
        <f t="shared" si="46"/>
        <v>68.50465159999999</v>
      </c>
      <c r="CD29"/>
      <c r="CE29" s="5">
        <f t="shared" si="88"/>
        <v>32999.19</v>
      </c>
      <c r="CF29" s="5">
        <f t="shared" si="47"/>
        <v>6060.63888</v>
      </c>
      <c r="CG29" s="5">
        <f t="shared" si="48"/>
        <v>39059.82888</v>
      </c>
      <c r="CH29" s="35">
        <f t="shared" si="49"/>
        <v>1429.0917168</v>
      </c>
      <c r="CI29"/>
      <c r="CJ29" s="5">
        <f t="shared" si="89"/>
        <v>6392.12</v>
      </c>
      <c r="CK29" s="5">
        <f t="shared" si="50"/>
        <v>1173.97824</v>
      </c>
      <c r="CL29" s="5">
        <f t="shared" si="51"/>
        <v>7566.098239999999</v>
      </c>
      <c r="CM29" s="35">
        <f t="shared" si="52"/>
        <v>276.82272639999996</v>
      </c>
      <c r="CN29"/>
      <c r="CO29" s="5">
        <f t="shared" si="90"/>
        <v>8456.9975</v>
      </c>
      <c r="CP29" s="5">
        <f t="shared" si="53"/>
        <v>1553.2141199999999</v>
      </c>
      <c r="CQ29" s="36">
        <f t="shared" si="54"/>
        <v>10010.21162</v>
      </c>
      <c r="CR29" s="35">
        <f t="shared" si="55"/>
        <v>366.24611319999997</v>
      </c>
      <c r="CS29"/>
      <c r="CT29" s="5">
        <f t="shared" si="91"/>
        <v>27491.555</v>
      </c>
      <c r="CU29" s="5">
        <f t="shared" si="56"/>
        <v>5049.1053600000005</v>
      </c>
      <c r="CV29" s="36">
        <f t="shared" si="57"/>
        <v>32540.66036</v>
      </c>
      <c r="CW29" s="35">
        <f t="shared" si="58"/>
        <v>1190.5732696</v>
      </c>
      <c r="CY29" s="5">
        <f t="shared" si="92"/>
        <v>16162.2475</v>
      </c>
      <c r="CZ29" s="5">
        <f t="shared" si="59"/>
        <v>2968.36212</v>
      </c>
      <c r="DA29" s="5">
        <f t="shared" si="60"/>
        <v>19130.60962</v>
      </c>
      <c r="DB29" s="35">
        <f t="shared" si="61"/>
        <v>699.9363932</v>
      </c>
      <c r="DD29" s="5">
        <f t="shared" si="93"/>
        <v>18244.6075</v>
      </c>
      <c r="DE29" s="5">
        <f t="shared" si="62"/>
        <v>3350.8088399999997</v>
      </c>
      <c r="DF29" s="5">
        <f t="shared" si="63"/>
        <v>21595.416339999996</v>
      </c>
      <c r="DG29" s="35">
        <f t="shared" si="64"/>
        <v>790.1168924</v>
      </c>
      <c r="DI29" s="5">
        <f t="shared" si="94"/>
        <v>211235.8675</v>
      </c>
      <c r="DJ29" s="5">
        <f t="shared" si="65"/>
        <v>38795.62836</v>
      </c>
      <c r="DK29" s="5">
        <f t="shared" si="66"/>
        <v>250031.49586</v>
      </c>
      <c r="DL29" s="35">
        <f t="shared" si="67"/>
        <v>9147.9647996</v>
      </c>
      <c r="DN29" s="5">
        <f t="shared" si="95"/>
        <v>7777.7699999999995</v>
      </c>
      <c r="DO29" s="5">
        <f t="shared" si="68"/>
        <v>1428.46704</v>
      </c>
      <c r="DP29" s="36">
        <f t="shared" si="69"/>
        <v>9206.23704</v>
      </c>
      <c r="DQ29" s="35">
        <f t="shared" si="70"/>
        <v>336.8308944</v>
      </c>
      <c r="DS29" s="5">
        <f t="shared" si="96"/>
        <v>6884.8675</v>
      </c>
      <c r="DT29" s="36">
        <f t="shared" si="71"/>
        <v>1264.47636</v>
      </c>
      <c r="DU29" s="36">
        <f t="shared" si="72"/>
        <v>8149.343860000001</v>
      </c>
      <c r="DV29" s="35">
        <f t="shared" si="73"/>
        <v>298.1620796</v>
      </c>
    </row>
    <row r="30" spans="1:126" ht="12">
      <c r="A30" s="37">
        <v>45931</v>
      </c>
      <c r="D30" s="3">
        <v>1059700</v>
      </c>
      <c r="E30" s="35">
        <f t="shared" si="0"/>
        <v>1059700</v>
      </c>
      <c r="F30" s="35">
        <f>'2011A'!F30</f>
        <v>280412</v>
      </c>
      <c r="H30" s="47"/>
      <c r="I30" s="36">
        <f t="shared" si="1"/>
        <v>159720.10340000005</v>
      </c>
      <c r="J30" s="36">
        <f t="shared" si="2"/>
        <v>159720.10340000005</v>
      </c>
      <c r="K30" s="36">
        <f t="shared" si="3"/>
        <v>42264.25746400001</v>
      </c>
      <c r="L30"/>
      <c r="N30" s="5">
        <f t="shared" si="4"/>
        <v>66394.86768</v>
      </c>
      <c r="O30" s="5">
        <f t="shared" si="5"/>
        <v>66394.86768</v>
      </c>
      <c r="P30" s="35">
        <f t="shared" si="6"/>
        <v>17569.0456128</v>
      </c>
      <c r="Q30"/>
      <c r="S30" s="36">
        <f t="shared" si="7"/>
        <v>29.35369</v>
      </c>
      <c r="T30" s="36">
        <f t="shared" si="8"/>
        <v>29.35369</v>
      </c>
      <c r="U30" s="35">
        <f t="shared" si="9"/>
        <v>7.7674123999999996</v>
      </c>
      <c r="V30"/>
      <c r="X30" s="5">
        <f t="shared" si="10"/>
        <v>1314.34591</v>
      </c>
      <c r="Y30" s="5">
        <f t="shared" si="97"/>
        <v>1314.34591</v>
      </c>
      <c r="Z30" s="35">
        <f t="shared" si="12"/>
        <v>347.7950036</v>
      </c>
      <c r="AA30"/>
      <c r="AC30" s="5">
        <f t="shared" si="13"/>
        <v>791.48993</v>
      </c>
      <c r="AD30" s="5">
        <f t="shared" si="14"/>
        <v>791.48993</v>
      </c>
      <c r="AE30" s="35">
        <f t="shared" si="15"/>
        <v>209.4397228</v>
      </c>
      <c r="AF30"/>
      <c r="AH30" s="5">
        <f t="shared" si="16"/>
        <v>5882.394700000001</v>
      </c>
      <c r="AI30" s="5">
        <f t="shared" si="17"/>
        <v>5882.394700000001</v>
      </c>
      <c r="AJ30" s="35">
        <f t="shared" si="18"/>
        <v>1556.5670120000002</v>
      </c>
      <c r="AK30"/>
      <c r="AM30" s="5">
        <f t="shared" si="19"/>
        <v>1822.89594</v>
      </c>
      <c r="AN30" s="5">
        <f t="shared" si="20"/>
        <v>1822.89594</v>
      </c>
      <c r="AO30" s="35">
        <f t="shared" si="21"/>
        <v>482.3647224</v>
      </c>
      <c r="AP30"/>
      <c r="AR30" s="5">
        <f t="shared" si="22"/>
        <v>3431.94442</v>
      </c>
      <c r="AS30" s="5">
        <f t="shared" si="23"/>
        <v>3431.94442</v>
      </c>
      <c r="AT30" s="35">
        <f t="shared" si="24"/>
        <v>908.1423032</v>
      </c>
      <c r="AU30"/>
      <c r="AW30" s="5">
        <f t="shared" si="25"/>
        <v>726.74226</v>
      </c>
      <c r="AX30" s="5">
        <f t="shared" si="26"/>
        <v>726.74226</v>
      </c>
      <c r="AY30" s="35">
        <f t="shared" si="27"/>
        <v>192.30654959999998</v>
      </c>
      <c r="AZ30"/>
      <c r="BB30" s="5">
        <f t="shared" si="28"/>
        <v>12958.32951</v>
      </c>
      <c r="BC30" s="5">
        <f t="shared" si="29"/>
        <v>12958.32951</v>
      </c>
      <c r="BD30" s="35">
        <f t="shared" si="30"/>
        <v>3428.9620596</v>
      </c>
      <c r="BE30"/>
      <c r="BF30" s="36"/>
      <c r="BG30" s="5">
        <f t="shared" si="31"/>
        <v>5999.8094599999995</v>
      </c>
      <c r="BH30" s="36">
        <f t="shared" si="32"/>
        <v>5999.8094599999995</v>
      </c>
      <c r="BI30" s="35">
        <f t="shared" si="33"/>
        <v>1587.6366616</v>
      </c>
      <c r="BJ30"/>
      <c r="BL30" s="5">
        <f t="shared" si="34"/>
        <v>2873.48252</v>
      </c>
      <c r="BM30" s="5">
        <f t="shared" si="35"/>
        <v>2873.48252</v>
      </c>
      <c r="BN30" s="35">
        <f t="shared" si="36"/>
        <v>760.3651792000001</v>
      </c>
      <c r="BO30"/>
      <c r="BP30" s="5">
        <f t="shared" si="37"/>
        <v>0</v>
      </c>
      <c r="BQ30" s="5">
        <f t="shared" si="38"/>
        <v>423.98597</v>
      </c>
      <c r="BR30" s="5">
        <f t="shared" si="39"/>
        <v>423.98597</v>
      </c>
      <c r="BS30" s="35">
        <f t="shared" si="40"/>
        <v>112.1928412</v>
      </c>
      <c r="BT30"/>
      <c r="BV30" s="5">
        <f t="shared" si="41"/>
        <v>1879.8018299999999</v>
      </c>
      <c r="BW30" s="5">
        <f t="shared" si="42"/>
        <v>1879.8018299999999</v>
      </c>
      <c r="BX30" s="35">
        <f t="shared" si="43"/>
        <v>497.4228468</v>
      </c>
      <c r="BY30"/>
      <c r="CA30" s="5">
        <f t="shared" si="44"/>
        <v>258.88471</v>
      </c>
      <c r="CB30" s="5">
        <f t="shared" si="45"/>
        <v>258.88471</v>
      </c>
      <c r="CC30" s="35">
        <f t="shared" si="46"/>
        <v>68.50465159999999</v>
      </c>
      <c r="CD30"/>
      <c r="CF30" s="5">
        <f t="shared" si="47"/>
        <v>5400.65508</v>
      </c>
      <c r="CG30" s="5">
        <f t="shared" si="48"/>
        <v>5400.65508</v>
      </c>
      <c r="CH30" s="35">
        <f t="shared" si="49"/>
        <v>1429.0917168</v>
      </c>
      <c r="CI30"/>
      <c r="CK30" s="5">
        <f t="shared" si="50"/>
        <v>1046.13584</v>
      </c>
      <c r="CL30" s="5">
        <f t="shared" si="51"/>
        <v>1046.13584</v>
      </c>
      <c r="CM30" s="35">
        <f t="shared" si="52"/>
        <v>276.82272639999996</v>
      </c>
      <c r="CN30"/>
      <c r="CP30" s="5">
        <f t="shared" si="53"/>
        <v>1384.0741699999999</v>
      </c>
      <c r="CQ30" s="36">
        <f t="shared" si="54"/>
        <v>1384.0741699999999</v>
      </c>
      <c r="CR30" s="35">
        <f t="shared" si="55"/>
        <v>366.24611319999997</v>
      </c>
      <c r="CS30"/>
      <c r="CU30" s="5">
        <f t="shared" si="56"/>
        <v>4499.27426</v>
      </c>
      <c r="CV30" s="36">
        <f t="shared" si="57"/>
        <v>4499.27426</v>
      </c>
      <c r="CW30" s="35">
        <f t="shared" si="58"/>
        <v>1190.5732696</v>
      </c>
      <c r="CZ30" s="5">
        <f t="shared" si="59"/>
        <v>2645.11717</v>
      </c>
      <c r="DA30" s="5">
        <f t="shared" si="60"/>
        <v>2645.11717</v>
      </c>
      <c r="DB30" s="35">
        <f t="shared" si="61"/>
        <v>699.9363932</v>
      </c>
      <c r="DE30" s="5">
        <f t="shared" si="62"/>
        <v>2985.91669</v>
      </c>
      <c r="DF30" s="5">
        <f t="shared" si="63"/>
        <v>2985.91669</v>
      </c>
      <c r="DG30" s="35">
        <f t="shared" si="64"/>
        <v>790.1168924</v>
      </c>
      <c r="DJ30" s="5">
        <f t="shared" si="65"/>
        <v>34570.91101</v>
      </c>
      <c r="DK30" s="5">
        <f t="shared" si="66"/>
        <v>34570.91101</v>
      </c>
      <c r="DL30" s="35">
        <f t="shared" si="67"/>
        <v>9147.9647996</v>
      </c>
      <c r="DO30" s="5">
        <f t="shared" si="68"/>
        <v>1272.9116399999998</v>
      </c>
      <c r="DP30" s="36">
        <f t="shared" si="69"/>
        <v>1272.9116399999998</v>
      </c>
      <c r="DQ30" s="35">
        <f t="shared" si="70"/>
        <v>336.8308944</v>
      </c>
      <c r="DT30" s="36">
        <f t="shared" si="71"/>
        <v>1126.7790100000002</v>
      </c>
      <c r="DU30" s="36">
        <f t="shared" si="72"/>
        <v>1126.7790100000002</v>
      </c>
      <c r="DV30" s="35">
        <f t="shared" si="73"/>
        <v>298.1620796</v>
      </c>
    </row>
    <row r="31" spans="1:126" ht="12">
      <c r="A31" s="37">
        <v>46113</v>
      </c>
      <c r="C31" s="3">
        <v>6735000</v>
      </c>
      <c r="D31" s="3">
        <v>1059700</v>
      </c>
      <c r="E31" s="35">
        <f t="shared" si="0"/>
        <v>7794700</v>
      </c>
      <c r="F31" s="35">
        <f>'2011A'!F31</f>
        <v>280412</v>
      </c>
      <c r="H31" s="47">
        <f t="shared" si="74"/>
        <v>1015112.67</v>
      </c>
      <c r="I31" s="36">
        <f t="shared" si="1"/>
        <v>159720.10340000005</v>
      </c>
      <c r="J31" s="36">
        <f t="shared" si="2"/>
        <v>1174832.7734</v>
      </c>
      <c r="K31" s="36">
        <f t="shared" si="3"/>
        <v>42264.25746400001</v>
      </c>
      <c r="L31"/>
      <c r="M31" s="5">
        <f t="shared" si="75"/>
        <v>421977.384</v>
      </c>
      <c r="N31" s="5">
        <f t="shared" si="4"/>
        <v>66394.86768</v>
      </c>
      <c r="O31" s="5">
        <f t="shared" si="5"/>
        <v>488372.25168</v>
      </c>
      <c r="P31" s="35">
        <f t="shared" si="6"/>
        <v>17569.0456128</v>
      </c>
      <c r="Q31"/>
      <c r="R31" s="5">
        <f t="shared" si="76"/>
        <v>186.55949999999999</v>
      </c>
      <c r="S31" s="36">
        <f t="shared" si="7"/>
        <v>29.35369</v>
      </c>
      <c r="T31" s="36">
        <f t="shared" si="8"/>
        <v>215.91319</v>
      </c>
      <c r="U31" s="35">
        <f t="shared" si="9"/>
        <v>7.7674123999999996</v>
      </c>
      <c r="V31"/>
      <c r="W31" s="5">
        <f t="shared" si="77"/>
        <v>8353.4205</v>
      </c>
      <c r="X31" s="5">
        <f t="shared" si="10"/>
        <v>1314.34591</v>
      </c>
      <c r="Y31" s="5">
        <f t="shared" si="97"/>
        <v>9667.76641</v>
      </c>
      <c r="Z31" s="35">
        <f t="shared" si="12"/>
        <v>347.7950036</v>
      </c>
      <c r="AA31"/>
      <c r="AB31" s="5">
        <f t="shared" si="78"/>
        <v>5030.3715</v>
      </c>
      <c r="AC31" s="5">
        <f t="shared" si="13"/>
        <v>791.48993</v>
      </c>
      <c r="AD31" s="5">
        <f t="shared" si="14"/>
        <v>5821.86143</v>
      </c>
      <c r="AE31" s="35">
        <f t="shared" si="15"/>
        <v>209.4397228</v>
      </c>
      <c r="AF31"/>
      <c r="AG31" s="5">
        <f t="shared" si="79"/>
        <v>37385.985</v>
      </c>
      <c r="AH31" s="5">
        <f t="shared" si="16"/>
        <v>5882.394700000001</v>
      </c>
      <c r="AI31" s="5">
        <f t="shared" si="17"/>
        <v>43268.379700000005</v>
      </c>
      <c r="AJ31" s="35">
        <f t="shared" si="18"/>
        <v>1556.5670120000002</v>
      </c>
      <c r="AK31"/>
      <c r="AL31" s="5">
        <f t="shared" si="80"/>
        <v>11585.547</v>
      </c>
      <c r="AM31" s="5">
        <f t="shared" si="19"/>
        <v>1822.89594</v>
      </c>
      <c r="AN31" s="5">
        <f t="shared" si="20"/>
        <v>13408.44294</v>
      </c>
      <c r="AO31" s="35">
        <f t="shared" si="21"/>
        <v>482.3647224</v>
      </c>
      <c r="AP31"/>
      <c r="AQ31" s="5">
        <f t="shared" si="81"/>
        <v>21811.970999999998</v>
      </c>
      <c r="AR31" s="5">
        <f t="shared" si="22"/>
        <v>3431.94442</v>
      </c>
      <c r="AS31" s="5">
        <f t="shared" si="23"/>
        <v>25243.915419999998</v>
      </c>
      <c r="AT31" s="35">
        <f t="shared" si="24"/>
        <v>908.1423032</v>
      </c>
      <c r="AU31"/>
      <c r="AV31" s="5">
        <f t="shared" si="82"/>
        <v>4618.862999999999</v>
      </c>
      <c r="AW31" s="5">
        <f t="shared" si="25"/>
        <v>726.74226</v>
      </c>
      <c r="AX31" s="5">
        <f t="shared" si="26"/>
        <v>5345.605259999999</v>
      </c>
      <c r="AY31" s="35">
        <f t="shared" si="27"/>
        <v>192.30654959999998</v>
      </c>
      <c r="AZ31"/>
      <c r="BA31" s="5">
        <f t="shared" si="83"/>
        <v>82357.6005</v>
      </c>
      <c r="BB31" s="5">
        <f t="shared" si="28"/>
        <v>12958.32951</v>
      </c>
      <c r="BC31" s="5">
        <f t="shared" si="29"/>
        <v>95315.93001</v>
      </c>
      <c r="BD31" s="35">
        <f t="shared" si="30"/>
        <v>3428.9620596</v>
      </c>
      <c r="BE31"/>
      <c r="BF31" s="36">
        <f t="shared" si="84"/>
        <v>38132.223</v>
      </c>
      <c r="BG31" s="5">
        <f t="shared" si="31"/>
        <v>5999.8094599999995</v>
      </c>
      <c r="BH31" s="36">
        <f t="shared" si="32"/>
        <v>44132.032459999995</v>
      </c>
      <c r="BI31" s="35">
        <f t="shared" si="33"/>
        <v>1587.6366616</v>
      </c>
      <c r="BJ31"/>
      <c r="BK31" s="5">
        <f t="shared" si="85"/>
        <v>18262.626</v>
      </c>
      <c r="BL31" s="5">
        <f t="shared" si="34"/>
        <v>2873.48252</v>
      </c>
      <c r="BM31" s="5">
        <f t="shared" si="35"/>
        <v>21136.10852</v>
      </c>
      <c r="BN31" s="35">
        <f t="shared" si="36"/>
        <v>760.3651792000001</v>
      </c>
      <c r="BO31"/>
      <c r="BP31" s="5">
        <f t="shared" si="37"/>
        <v>2694.6735000000003</v>
      </c>
      <c r="BQ31" s="5">
        <f t="shared" si="38"/>
        <v>423.98597</v>
      </c>
      <c r="BR31" s="5">
        <f t="shared" si="39"/>
        <v>3118.6594700000005</v>
      </c>
      <c r="BS31" s="35">
        <f t="shared" si="40"/>
        <v>112.1928412</v>
      </c>
      <c r="BT31"/>
      <c r="BU31" s="5">
        <f t="shared" si="86"/>
        <v>11947.216499999999</v>
      </c>
      <c r="BV31" s="5">
        <f t="shared" si="41"/>
        <v>1879.8018299999999</v>
      </c>
      <c r="BW31" s="5">
        <f t="shared" si="42"/>
        <v>13827.018329999999</v>
      </c>
      <c r="BX31" s="35">
        <f t="shared" si="43"/>
        <v>497.4228468</v>
      </c>
      <c r="BY31"/>
      <c r="BZ31" s="5">
        <f t="shared" si="87"/>
        <v>1645.3604999999998</v>
      </c>
      <c r="CA31" s="5">
        <f t="shared" si="44"/>
        <v>258.88471</v>
      </c>
      <c r="CB31" s="5">
        <f t="shared" si="45"/>
        <v>1904.2452099999998</v>
      </c>
      <c r="CC31" s="35">
        <f t="shared" si="46"/>
        <v>68.50465159999999</v>
      </c>
      <c r="CD31"/>
      <c r="CE31" s="5">
        <f t="shared" si="88"/>
        <v>34324.254</v>
      </c>
      <c r="CF31" s="5">
        <f t="shared" si="47"/>
        <v>5400.65508</v>
      </c>
      <c r="CG31" s="5">
        <f t="shared" si="48"/>
        <v>39724.90908</v>
      </c>
      <c r="CH31" s="35">
        <f t="shared" si="49"/>
        <v>1429.0917168</v>
      </c>
      <c r="CI31"/>
      <c r="CJ31" s="5">
        <f t="shared" si="89"/>
        <v>6648.7919999999995</v>
      </c>
      <c r="CK31" s="5">
        <f t="shared" si="50"/>
        <v>1046.13584</v>
      </c>
      <c r="CL31" s="5">
        <f t="shared" si="51"/>
        <v>7694.927839999999</v>
      </c>
      <c r="CM31" s="35">
        <f t="shared" si="52"/>
        <v>276.82272639999996</v>
      </c>
      <c r="CN31"/>
      <c r="CO31" s="5">
        <f t="shared" si="90"/>
        <v>8796.583499999999</v>
      </c>
      <c r="CP31" s="5">
        <f t="shared" si="53"/>
        <v>1384.0741699999999</v>
      </c>
      <c r="CQ31" s="36">
        <f t="shared" si="54"/>
        <v>10180.657669999999</v>
      </c>
      <c r="CR31" s="35">
        <f t="shared" si="55"/>
        <v>366.24611319999997</v>
      </c>
      <c r="CS31"/>
      <c r="CT31" s="5">
        <f t="shared" si="91"/>
        <v>28595.463</v>
      </c>
      <c r="CU31" s="5">
        <f t="shared" si="56"/>
        <v>4499.27426</v>
      </c>
      <c r="CV31" s="36">
        <f t="shared" si="57"/>
        <v>33094.73726</v>
      </c>
      <c r="CW31" s="35">
        <f t="shared" si="58"/>
        <v>1190.5732696</v>
      </c>
      <c r="CY31" s="5">
        <f t="shared" si="92"/>
        <v>16811.2335</v>
      </c>
      <c r="CZ31" s="5">
        <f t="shared" si="59"/>
        <v>2645.11717</v>
      </c>
      <c r="DA31" s="5">
        <f t="shared" si="60"/>
        <v>19456.35067</v>
      </c>
      <c r="DB31" s="35">
        <f t="shared" si="61"/>
        <v>699.9363932</v>
      </c>
      <c r="DD31" s="5">
        <f t="shared" si="93"/>
        <v>18977.209499999997</v>
      </c>
      <c r="DE31" s="5">
        <f t="shared" si="62"/>
        <v>2985.91669</v>
      </c>
      <c r="DF31" s="5">
        <f t="shared" si="63"/>
        <v>21963.126189999995</v>
      </c>
      <c r="DG31" s="35">
        <f t="shared" si="64"/>
        <v>790.1168924</v>
      </c>
      <c r="DI31" s="5">
        <f t="shared" si="94"/>
        <v>219717.9255</v>
      </c>
      <c r="DJ31" s="5">
        <f t="shared" si="65"/>
        <v>34570.91101</v>
      </c>
      <c r="DK31" s="5">
        <f t="shared" si="66"/>
        <v>254288.83651000002</v>
      </c>
      <c r="DL31" s="35">
        <f t="shared" si="67"/>
        <v>9147.9647996</v>
      </c>
      <c r="DN31" s="5">
        <f t="shared" si="95"/>
        <v>8090.081999999999</v>
      </c>
      <c r="DO31" s="5">
        <f t="shared" si="68"/>
        <v>1272.9116399999998</v>
      </c>
      <c r="DP31" s="36">
        <f t="shared" si="69"/>
        <v>9362.993639999999</v>
      </c>
      <c r="DQ31" s="35">
        <f t="shared" si="70"/>
        <v>336.8308944</v>
      </c>
      <c r="DS31" s="5">
        <f t="shared" si="96"/>
        <v>7161.325500000001</v>
      </c>
      <c r="DT31" s="36">
        <f t="shared" si="71"/>
        <v>1126.7790100000002</v>
      </c>
      <c r="DU31" s="36">
        <f t="shared" si="72"/>
        <v>8288.104510000001</v>
      </c>
      <c r="DV31" s="35">
        <f t="shared" si="73"/>
        <v>298.1620796</v>
      </c>
    </row>
    <row r="32" spans="1:126" ht="12">
      <c r="A32" s="37">
        <v>46296</v>
      </c>
      <c r="D32" s="3">
        <v>891325</v>
      </c>
      <c r="E32" s="35">
        <f t="shared" si="0"/>
        <v>891325</v>
      </c>
      <c r="F32" s="35">
        <f>'2011A'!F32</f>
        <v>280412</v>
      </c>
      <c r="H32" s="47"/>
      <c r="I32" s="36">
        <f t="shared" si="1"/>
        <v>134342.28665</v>
      </c>
      <c r="J32" s="36">
        <f t="shared" si="2"/>
        <v>134342.28665</v>
      </c>
      <c r="K32" s="36">
        <f t="shared" si="3"/>
        <v>42264.25746400001</v>
      </c>
      <c r="L32"/>
      <c r="N32" s="5">
        <f t="shared" si="4"/>
        <v>55845.43308</v>
      </c>
      <c r="O32" s="5">
        <f t="shared" si="5"/>
        <v>55845.43308</v>
      </c>
      <c r="P32" s="35">
        <f t="shared" si="6"/>
        <v>17569.0456128</v>
      </c>
      <c r="Q32"/>
      <c r="S32" s="36">
        <f t="shared" si="7"/>
        <v>24.6897025</v>
      </c>
      <c r="T32" s="36">
        <f t="shared" si="8"/>
        <v>24.6897025</v>
      </c>
      <c r="U32" s="35">
        <f t="shared" si="9"/>
        <v>7.7674123999999996</v>
      </c>
      <c r="V32"/>
      <c r="X32" s="5">
        <f t="shared" si="10"/>
        <v>1105.5103975</v>
      </c>
      <c r="Y32" s="5">
        <f t="shared" si="97"/>
        <v>1105.5103975</v>
      </c>
      <c r="Z32" s="35">
        <f t="shared" si="12"/>
        <v>347.7950036</v>
      </c>
      <c r="AA32"/>
      <c r="AC32" s="5">
        <f t="shared" si="13"/>
        <v>665.7306425</v>
      </c>
      <c r="AD32" s="5">
        <f t="shared" si="14"/>
        <v>665.7306425</v>
      </c>
      <c r="AE32" s="35">
        <f t="shared" si="15"/>
        <v>209.4397228</v>
      </c>
      <c r="AF32"/>
      <c r="AH32" s="5">
        <f t="shared" si="16"/>
        <v>4947.745075000001</v>
      </c>
      <c r="AI32" s="5">
        <f t="shared" si="17"/>
        <v>4947.745075000001</v>
      </c>
      <c r="AJ32" s="35">
        <f t="shared" si="18"/>
        <v>1556.5670120000002</v>
      </c>
      <c r="AK32"/>
      <c r="AM32" s="5">
        <f t="shared" si="19"/>
        <v>1533.257265</v>
      </c>
      <c r="AN32" s="5">
        <f t="shared" si="20"/>
        <v>1533.257265</v>
      </c>
      <c r="AO32" s="35">
        <f t="shared" si="21"/>
        <v>482.3647224</v>
      </c>
      <c r="AP32"/>
      <c r="AR32" s="5">
        <f t="shared" si="22"/>
        <v>2886.645145</v>
      </c>
      <c r="AS32" s="5">
        <f t="shared" si="23"/>
        <v>2886.645145</v>
      </c>
      <c r="AT32" s="35">
        <f t="shared" si="24"/>
        <v>908.1423032</v>
      </c>
      <c r="AU32"/>
      <c r="AW32" s="5">
        <f t="shared" si="25"/>
        <v>611.270685</v>
      </c>
      <c r="AX32" s="5">
        <f t="shared" si="26"/>
        <v>611.270685</v>
      </c>
      <c r="AY32" s="35">
        <f t="shared" si="27"/>
        <v>192.30654959999998</v>
      </c>
      <c r="AZ32"/>
      <c r="BB32" s="5">
        <f t="shared" si="28"/>
        <v>10899.389497499998</v>
      </c>
      <c r="BC32" s="5">
        <f t="shared" si="29"/>
        <v>10899.389497499998</v>
      </c>
      <c r="BD32" s="35">
        <f t="shared" si="30"/>
        <v>3428.9620596</v>
      </c>
      <c r="BE32"/>
      <c r="BF32" s="36"/>
      <c r="BG32" s="5">
        <f t="shared" si="31"/>
        <v>5046.503885</v>
      </c>
      <c r="BH32" s="36">
        <f t="shared" si="32"/>
        <v>5046.503885</v>
      </c>
      <c r="BI32" s="35">
        <f t="shared" si="33"/>
        <v>1587.6366616</v>
      </c>
      <c r="BJ32"/>
      <c r="BL32" s="5">
        <f t="shared" si="34"/>
        <v>2416.91687</v>
      </c>
      <c r="BM32" s="5">
        <f t="shared" si="35"/>
        <v>2416.91687</v>
      </c>
      <c r="BN32" s="35">
        <f t="shared" si="36"/>
        <v>760.3651792000001</v>
      </c>
      <c r="BO32"/>
      <c r="BP32" s="5">
        <f t="shared" si="37"/>
        <v>0</v>
      </c>
      <c r="BQ32" s="5">
        <f t="shared" si="38"/>
        <v>356.61913250000003</v>
      </c>
      <c r="BR32" s="5">
        <f t="shared" si="39"/>
        <v>356.61913250000003</v>
      </c>
      <c r="BS32" s="35">
        <f t="shared" si="40"/>
        <v>112.1928412</v>
      </c>
      <c r="BT32"/>
      <c r="BV32" s="5">
        <f t="shared" si="41"/>
        <v>1581.1214175</v>
      </c>
      <c r="BW32" s="5">
        <f t="shared" si="42"/>
        <v>1581.1214175</v>
      </c>
      <c r="BX32" s="35">
        <f t="shared" si="43"/>
        <v>497.4228468</v>
      </c>
      <c r="BY32"/>
      <c r="CA32" s="5">
        <f t="shared" si="44"/>
        <v>217.75069749999997</v>
      </c>
      <c r="CB32" s="5">
        <f t="shared" si="45"/>
        <v>217.75069749999997</v>
      </c>
      <c r="CC32" s="35">
        <f t="shared" si="46"/>
        <v>68.50465159999999</v>
      </c>
      <c r="CD32"/>
      <c r="CF32" s="5">
        <f t="shared" si="47"/>
        <v>4542.54873</v>
      </c>
      <c r="CG32" s="5">
        <f t="shared" si="48"/>
        <v>4542.54873</v>
      </c>
      <c r="CH32" s="35">
        <f t="shared" si="49"/>
        <v>1429.0917168</v>
      </c>
      <c r="CI32"/>
      <c r="CK32" s="5">
        <f t="shared" si="50"/>
        <v>879.91604</v>
      </c>
      <c r="CL32" s="5">
        <f t="shared" si="51"/>
        <v>879.91604</v>
      </c>
      <c r="CM32" s="35">
        <f t="shared" si="52"/>
        <v>276.82272639999996</v>
      </c>
      <c r="CN32"/>
      <c r="CP32" s="5">
        <f t="shared" si="53"/>
        <v>1164.1595825</v>
      </c>
      <c r="CQ32" s="36">
        <f t="shared" si="54"/>
        <v>1164.1595825</v>
      </c>
      <c r="CR32" s="35">
        <f t="shared" si="55"/>
        <v>366.24611319999997</v>
      </c>
      <c r="CS32"/>
      <c r="CU32" s="5">
        <f t="shared" si="56"/>
        <v>3784.387685</v>
      </c>
      <c r="CV32" s="36">
        <f t="shared" si="57"/>
        <v>3784.387685</v>
      </c>
      <c r="CW32" s="35">
        <f t="shared" si="58"/>
        <v>1190.5732696</v>
      </c>
      <c r="CZ32" s="5">
        <f t="shared" si="59"/>
        <v>2224.8363325</v>
      </c>
      <c r="DA32" s="5">
        <f t="shared" si="60"/>
        <v>2224.8363325</v>
      </c>
      <c r="DB32" s="35">
        <f t="shared" si="61"/>
        <v>699.9363932</v>
      </c>
      <c r="DE32" s="5">
        <f t="shared" si="62"/>
        <v>2511.4864525</v>
      </c>
      <c r="DF32" s="5">
        <f t="shared" si="63"/>
        <v>2511.4864525</v>
      </c>
      <c r="DG32" s="35">
        <f t="shared" si="64"/>
        <v>790.1168924</v>
      </c>
      <c r="DJ32" s="5">
        <f t="shared" si="65"/>
        <v>29077.9628725</v>
      </c>
      <c r="DK32" s="5">
        <f t="shared" si="66"/>
        <v>29077.9628725</v>
      </c>
      <c r="DL32" s="35">
        <f t="shared" si="67"/>
        <v>9147.9647996</v>
      </c>
      <c r="DO32" s="5">
        <f t="shared" si="68"/>
        <v>1070.65959</v>
      </c>
      <c r="DP32" s="36">
        <f t="shared" si="69"/>
        <v>1070.65959</v>
      </c>
      <c r="DQ32" s="35">
        <f t="shared" si="70"/>
        <v>336.8308944</v>
      </c>
      <c r="DT32" s="36">
        <f t="shared" si="71"/>
        <v>947.7458725000001</v>
      </c>
      <c r="DU32" s="36">
        <f t="shared" si="72"/>
        <v>947.7458725000001</v>
      </c>
      <c r="DV32" s="35">
        <f t="shared" si="73"/>
        <v>298.1620796</v>
      </c>
    </row>
    <row r="33" spans="1:126" ht="12">
      <c r="A33" s="37">
        <v>46478</v>
      </c>
      <c r="C33" s="3">
        <v>7070000</v>
      </c>
      <c r="D33" s="3">
        <v>891325</v>
      </c>
      <c r="E33" s="35">
        <f t="shared" si="0"/>
        <v>7961325</v>
      </c>
      <c r="F33" s="35">
        <f>'2011A'!F33</f>
        <v>280412</v>
      </c>
      <c r="H33" s="47">
        <f t="shared" si="74"/>
        <v>1065604.54</v>
      </c>
      <c r="I33" s="36">
        <f t="shared" si="1"/>
        <v>134342.28665</v>
      </c>
      <c r="J33" s="36">
        <f t="shared" si="2"/>
        <v>1199946.82665</v>
      </c>
      <c r="K33" s="36">
        <f t="shared" si="3"/>
        <v>42264.25746400001</v>
      </c>
      <c r="L33"/>
      <c r="M33" s="5">
        <f t="shared" si="75"/>
        <v>442966.608</v>
      </c>
      <c r="N33" s="5">
        <f t="shared" si="4"/>
        <v>55845.43308</v>
      </c>
      <c r="O33" s="5">
        <f t="shared" si="5"/>
        <v>498812.04108</v>
      </c>
      <c r="P33" s="35">
        <f t="shared" si="6"/>
        <v>17569.0456128</v>
      </c>
      <c r="Q33"/>
      <c r="R33" s="5">
        <f t="shared" si="76"/>
        <v>195.839</v>
      </c>
      <c r="S33" s="36">
        <f t="shared" si="7"/>
        <v>24.6897025</v>
      </c>
      <c r="T33" s="36">
        <f t="shared" si="8"/>
        <v>220.5287025</v>
      </c>
      <c r="U33" s="35">
        <f t="shared" si="9"/>
        <v>7.7674123999999996</v>
      </c>
      <c r="V33"/>
      <c r="W33" s="5">
        <f t="shared" si="77"/>
        <v>8768.921</v>
      </c>
      <c r="X33" s="5">
        <f t="shared" si="10"/>
        <v>1105.5103975</v>
      </c>
      <c r="Y33" s="5">
        <f t="shared" si="97"/>
        <v>9874.4313975</v>
      </c>
      <c r="Z33" s="35">
        <f t="shared" si="12"/>
        <v>347.7950036</v>
      </c>
      <c r="AA33"/>
      <c r="AB33" s="5">
        <f t="shared" si="78"/>
        <v>5280.583</v>
      </c>
      <c r="AC33" s="5">
        <f t="shared" si="13"/>
        <v>665.7306425</v>
      </c>
      <c r="AD33" s="5">
        <f t="shared" si="14"/>
        <v>5946.313642499999</v>
      </c>
      <c r="AE33" s="35">
        <f t="shared" si="15"/>
        <v>209.4397228</v>
      </c>
      <c r="AF33"/>
      <c r="AG33" s="5">
        <f t="shared" si="79"/>
        <v>39245.57</v>
      </c>
      <c r="AH33" s="5">
        <f t="shared" si="16"/>
        <v>4947.745075000001</v>
      </c>
      <c r="AI33" s="5">
        <f t="shared" si="17"/>
        <v>44193.315075</v>
      </c>
      <c r="AJ33" s="35">
        <f t="shared" si="18"/>
        <v>1556.5670120000002</v>
      </c>
      <c r="AK33"/>
      <c r="AL33" s="5">
        <f t="shared" si="80"/>
        <v>12161.814</v>
      </c>
      <c r="AM33" s="5">
        <f t="shared" si="19"/>
        <v>1533.257265</v>
      </c>
      <c r="AN33" s="5">
        <f t="shared" si="20"/>
        <v>13695.071265</v>
      </c>
      <c r="AO33" s="35">
        <f t="shared" si="21"/>
        <v>482.3647224</v>
      </c>
      <c r="AP33"/>
      <c r="AQ33" s="5">
        <f t="shared" si="81"/>
        <v>22896.902</v>
      </c>
      <c r="AR33" s="5">
        <f t="shared" si="22"/>
        <v>2886.645145</v>
      </c>
      <c r="AS33" s="5">
        <f t="shared" si="23"/>
        <v>25783.547144999997</v>
      </c>
      <c r="AT33" s="35">
        <f t="shared" si="24"/>
        <v>908.1423032</v>
      </c>
      <c r="AU33"/>
      <c r="AV33" s="5">
        <f t="shared" si="82"/>
        <v>4848.606</v>
      </c>
      <c r="AW33" s="5">
        <f t="shared" si="25"/>
        <v>611.270685</v>
      </c>
      <c r="AX33" s="5">
        <f t="shared" si="26"/>
        <v>5459.876684999999</v>
      </c>
      <c r="AY33" s="35">
        <f t="shared" si="27"/>
        <v>192.30654959999998</v>
      </c>
      <c r="AZ33"/>
      <c r="BA33" s="5">
        <f t="shared" si="83"/>
        <v>86454.08099999999</v>
      </c>
      <c r="BB33" s="5">
        <f t="shared" si="28"/>
        <v>10899.389497499998</v>
      </c>
      <c r="BC33" s="5">
        <f t="shared" si="29"/>
        <v>97353.47049749999</v>
      </c>
      <c r="BD33" s="35">
        <f t="shared" si="30"/>
        <v>3428.9620596</v>
      </c>
      <c r="BE33"/>
      <c r="BF33" s="36">
        <f t="shared" si="84"/>
        <v>40028.926</v>
      </c>
      <c r="BG33" s="5">
        <f t="shared" si="31"/>
        <v>5046.503885</v>
      </c>
      <c r="BH33" s="36">
        <f t="shared" si="32"/>
        <v>45075.429885</v>
      </c>
      <c r="BI33" s="35">
        <f t="shared" si="33"/>
        <v>1587.6366616</v>
      </c>
      <c r="BJ33"/>
      <c r="BK33" s="5">
        <f t="shared" si="85"/>
        <v>19171.012000000002</v>
      </c>
      <c r="BL33" s="5">
        <f t="shared" si="34"/>
        <v>2416.91687</v>
      </c>
      <c r="BM33" s="5">
        <f t="shared" si="35"/>
        <v>21587.928870000003</v>
      </c>
      <c r="BN33" s="35">
        <f t="shared" si="36"/>
        <v>760.3651792000001</v>
      </c>
      <c r="BO33"/>
      <c r="BP33" s="5">
        <f t="shared" si="37"/>
        <v>2828.7070000000003</v>
      </c>
      <c r="BQ33" s="5">
        <f t="shared" si="38"/>
        <v>356.61913250000003</v>
      </c>
      <c r="BR33" s="5">
        <f t="shared" si="39"/>
        <v>3185.3261325000003</v>
      </c>
      <c r="BS33" s="35">
        <f t="shared" si="40"/>
        <v>112.1928412</v>
      </c>
      <c r="BT33"/>
      <c r="BU33" s="5">
        <f t="shared" si="86"/>
        <v>12541.473</v>
      </c>
      <c r="BV33" s="5">
        <f t="shared" si="41"/>
        <v>1581.1214175</v>
      </c>
      <c r="BW33" s="5">
        <f t="shared" si="42"/>
        <v>14122.5944175</v>
      </c>
      <c r="BX33" s="35">
        <f t="shared" si="43"/>
        <v>497.4228468</v>
      </c>
      <c r="BY33"/>
      <c r="BZ33" s="5">
        <f t="shared" si="87"/>
        <v>1727.2009999999998</v>
      </c>
      <c r="CA33" s="5">
        <f t="shared" si="44"/>
        <v>217.75069749999997</v>
      </c>
      <c r="CB33" s="5">
        <f t="shared" si="45"/>
        <v>1944.9516974999997</v>
      </c>
      <c r="CC33" s="35">
        <f t="shared" si="46"/>
        <v>68.50465159999999</v>
      </c>
      <c r="CD33"/>
      <c r="CE33" s="5">
        <f t="shared" si="88"/>
        <v>36031.548</v>
      </c>
      <c r="CF33" s="5">
        <f t="shared" si="47"/>
        <v>4542.54873</v>
      </c>
      <c r="CG33" s="5">
        <f t="shared" si="48"/>
        <v>40574.096730000005</v>
      </c>
      <c r="CH33" s="35">
        <f t="shared" si="49"/>
        <v>1429.0917168</v>
      </c>
      <c r="CI33"/>
      <c r="CJ33" s="5">
        <f t="shared" si="89"/>
        <v>6979.504</v>
      </c>
      <c r="CK33" s="5">
        <f t="shared" si="50"/>
        <v>879.91604</v>
      </c>
      <c r="CL33" s="5">
        <f t="shared" si="51"/>
        <v>7859.42004</v>
      </c>
      <c r="CM33" s="35">
        <f t="shared" si="52"/>
        <v>276.82272639999996</v>
      </c>
      <c r="CN33"/>
      <c r="CO33" s="5">
        <f t="shared" si="90"/>
        <v>9234.126999999999</v>
      </c>
      <c r="CP33" s="5">
        <f t="shared" si="53"/>
        <v>1164.1595825</v>
      </c>
      <c r="CQ33" s="36">
        <f t="shared" si="54"/>
        <v>10398.286582499999</v>
      </c>
      <c r="CR33" s="35">
        <f t="shared" si="55"/>
        <v>366.24611319999997</v>
      </c>
      <c r="CS33"/>
      <c r="CT33" s="5">
        <f t="shared" si="91"/>
        <v>30017.806</v>
      </c>
      <c r="CU33" s="5">
        <f t="shared" si="56"/>
        <v>3784.387685</v>
      </c>
      <c r="CV33" s="36">
        <f t="shared" si="57"/>
        <v>33802.193685</v>
      </c>
      <c r="CW33" s="35">
        <f t="shared" si="58"/>
        <v>1190.5732696</v>
      </c>
      <c r="CY33" s="5">
        <f t="shared" si="92"/>
        <v>17647.427</v>
      </c>
      <c r="CZ33" s="5">
        <f t="shared" si="59"/>
        <v>2224.8363325</v>
      </c>
      <c r="DA33" s="5">
        <f t="shared" si="60"/>
        <v>19872.2633325</v>
      </c>
      <c r="DB33" s="35">
        <f t="shared" si="61"/>
        <v>699.9363932</v>
      </c>
      <c r="DD33" s="5">
        <f t="shared" si="93"/>
        <v>19921.139</v>
      </c>
      <c r="DE33" s="5">
        <f t="shared" si="62"/>
        <v>2511.4864525</v>
      </c>
      <c r="DF33" s="5">
        <f t="shared" si="63"/>
        <v>22432.6254525</v>
      </c>
      <c r="DG33" s="35">
        <f t="shared" si="64"/>
        <v>790.1168924</v>
      </c>
      <c r="DI33" s="5">
        <f t="shared" si="94"/>
        <v>230646.731</v>
      </c>
      <c r="DJ33" s="5">
        <f t="shared" si="65"/>
        <v>29077.9628725</v>
      </c>
      <c r="DK33" s="5">
        <f t="shared" si="66"/>
        <v>259724.6938725</v>
      </c>
      <c r="DL33" s="35">
        <f t="shared" si="67"/>
        <v>9147.9647996</v>
      </c>
      <c r="DN33" s="5">
        <f t="shared" si="95"/>
        <v>8492.483999999999</v>
      </c>
      <c r="DO33" s="5">
        <f t="shared" si="68"/>
        <v>1070.65959</v>
      </c>
      <c r="DP33" s="36">
        <f t="shared" si="69"/>
        <v>9563.143589999998</v>
      </c>
      <c r="DQ33" s="35">
        <f t="shared" si="70"/>
        <v>336.8308944</v>
      </c>
      <c r="DS33" s="5">
        <f t="shared" si="96"/>
        <v>7517.531000000001</v>
      </c>
      <c r="DT33" s="36">
        <f t="shared" si="71"/>
        <v>947.7458725000001</v>
      </c>
      <c r="DU33" s="36">
        <f t="shared" si="72"/>
        <v>8465.2768725</v>
      </c>
      <c r="DV33" s="35">
        <f t="shared" si="73"/>
        <v>298.1620796</v>
      </c>
    </row>
    <row r="34" spans="1:126" ht="12">
      <c r="A34" s="37">
        <v>46661</v>
      </c>
      <c r="D34" s="3">
        <v>714575</v>
      </c>
      <c r="E34" s="35">
        <f t="shared" si="0"/>
        <v>714575</v>
      </c>
      <c r="F34" s="35">
        <f>'2011A'!F34</f>
        <v>280412</v>
      </c>
      <c r="H34" s="47"/>
      <c r="I34" s="36">
        <f t="shared" si="1"/>
        <v>107702.17315000002</v>
      </c>
      <c r="J34" s="36">
        <f t="shared" si="2"/>
        <v>107702.17315000002</v>
      </c>
      <c r="K34" s="36">
        <f t="shared" si="3"/>
        <v>42264.25746400001</v>
      </c>
      <c r="L34"/>
      <c r="N34" s="5">
        <f t="shared" si="4"/>
        <v>44771.26788</v>
      </c>
      <c r="O34" s="5">
        <f t="shared" si="5"/>
        <v>44771.26788</v>
      </c>
      <c r="P34" s="35">
        <f t="shared" si="6"/>
        <v>17569.0456128</v>
      </c>
      <c r="Q34"/>
      <c r="S34" s="36">
        <f t="shared" si="7"/>
        <v>19.7937275</v>
      </c>
      <c r="T34" s="36">
        <f t="shared" si="8"/>
        <v>19.7937275</v>
      </c>
      <c r="U34" s="35">
        <f t="shared" si="9"/>
        <v>7.7674123999999996</v>
      </c>
      <c r="V34"/>
      <c r="X34" s="5">
        <f t="shared" si="10"/>
        <v>886.2873725</v>
      </c>
      <c r="Y34" s="5">
        <f t="shared" si="97"/>
        <v>886.2873725</v>
      </c>
      <c r="Z34" s="35">
        <f t="shared" si="12"/>
        <v>347.7950036</v>
      </c>
      <c r="AA34"/>
      <c r="AC34" s="5">
        <f t="shared" si="13"/>
        <v>533.7160675</v>
      </c>
      <c r="AD34" s="5">
        <f t="shared" si="14"/>
        <v>533.7160675</v>
      </c>
      <c r="AE34" s="35">
        <f t="shared" si="15"/>
        <v>209.4397228</v>
      </c>
      <c r="AF34"/>
      <c r="AH34" s="5">
        <f t="shared" si="16"/>
        <v>3966.605825</v>
      </c>
      <c r="AI34" s="5">
        <f t="shared" si="17"/>
        <v>3966.605825</v>
      </c>
      <c r="AJ34" s="35">
        <f t="shared" si="18"/>
        <v>1556.5670120000002</v>
      </c>
      <c r="AK34"/>
      <c r="AM34" s="5">
        <f t="shared" si="19"/>
        <v>1229.211915</v>
      </c>
      <c r="AN34" s="5">
        <f t="shared" si="20"/>
        <v>1229.211915</v>
      </c>
      <c r="AO34" s="35">
        <f t="shared" si="21"/>
        <v>482.3647224</v>
      </c>
      <c r="AP34"/>
      <c r="AR34" s="5">
        <f t="shared" si="22"/>
        <v>2314.2225949999997</v>
      </c>
      <c r="AS34" s="5">
        <f t="shared" si="23"/>
        <v>2314.2225949999997</v>
      </c>
      <c r="AT34" s="35">
        <f t="shared" si="24"/>
        <v>908.1423032</v>
      </c>
      <c r="AU34"/>
      <c r="AW34" s="5">
        <f t="shared" si="25"/>
        <v>490.05553499999996</v>
      </c>
      <c r="AX34" s="5">
        <f t="shared" si="26"/>
        <v>490.05553499999996</v>
      </c>
      <c r="AY34" s="35">
        <f t="shared" si="27"/>
        <v>192.30654959999998</v>
      </c>
      <c r="AZ34"/>
      <c r="BB34" s="5">
        <f t="shared" si="28"/>
        <v>8738.0374725</v>
      </c>
      <c r="BC34" s="5">
        <f t="shared" si="29"/>
        <v>8738.0374725</v>
      </c>
      <c r="BD34" s="35">
        <f t="shared" si="30"/>
        <v>3428.9620596</v>
      </c>
      <c r="BE34"/>
      <c r="BF34" s="36"/>
      <c r="BG34" s="5">
        <f t="shared" si="31"/>
        <v>4045.780735</v>
      </c>
      <c r="BH34" s="36">
        <f t="shared" si="32"/>
        <v>4045.780735</v>
      </c>
      <c r="BI34" s="35">
        <f t="shared" si="33"/>
        <v>1587.6366616</v>
      </c>
      <c r="BJ34"/>
      <c r="BL34" s="5">
        <f t="shared" si="34"/>
        <v>1937.6415700000002</v>
      </c>
      <c r="BM34" s="5">
        <f t="shared" si="35"/>
        <v>1937.6415700000002</v>
      </c>
      <c r="BN34" s="35">
        <f t="shared" si="36"/>
        <v>760.3651792000001</v>
      </c>
      <c r="BO34"/>
      <c r="BP34" s="5">
        <f t="shared" si="37"/>
        <v>0</v>
      </c>
      <c r="BQ34" s="5">
        <f t="shared" si="38"/>
        <v>285.9014575</v>
      </c>
      <c r="BR34" s="5">
        <f t="shared" si="39"/>
        <v>285.9014575</v>
      </c>
      <c r="BS34" s="35">
        <f t="shared" si="40"/>
        <v>112.1928412</v>
      </c>
      <c r="BT34"/>
      <c r="BV34" s="5">
        <f t="shared" si="41"/>
        <v>1267.5845924999999</v>
      </c>
      <c r="BW34" s="5">
        <f t="shared" si="42"/>
        <v>1267.5845924999999</v>
      </c>
      <c r="BX34" s="35">
        <f t="shared" si="43"/>
        <v>497.4228468</v>
      </c>
      <c r="BY34"/>
      <c r="CA34" s="5">
        <f t="shared" si="44"/>
        <v>174.57067249999997</v>
      </c>
      <c r="CB34" s="5">
        <f t="shared" si="45"/>
        <v>174.57067249999997</v>
      </c>
      <c r="CC34" s="35">
        <f t="shared" si="46"/>
        <v>68.50465159999999</v>
      </c>
      <c r="CD34"/>
      <c r="CF34" s="5">
        <f t="shared" si="47"/>
        <v>3641.76003</v>
      </c>
      <c r="CG34" s="5">
        <f t="shared" si="48"/>
        <v>3641.76003</v>
      </c>
      <c r="CH34" s="35">
        <f t="shared" si="49"/>
        <v>1429.0917168</v>
      </c>
      <c r="CI34"/>
      <c r="CK34" s="5">
        <f t="shared" si="50"/>
        <v>705.4284399999999</v>
      </c>
      <c r="CL34" s="5">
        <f t="shared" si="51"/>
        <v>705.4284399999999</v>
      </c>
      <c r="CM34" s="35">
        <f t="shared" si="52"/>
        <v>276.82272639999996</v>
      </c>
      <c r="CN34"/>
      <c r="CP34" s="5">
        <f t="shared" si="53"/>
        <v>933.3064075</v>
      </c>
      <c r="CQ34" s="36">
        <f t="shared" si="54"/>
        <v>933.3064075</v>
      </c>
      <c r="CR34" s="35">
        <f t="shared" si="55"/>
        <v>366.24611319999997</v>
      </c>
      <c r="CS34"/>
      <c r="CU34" s="5">
        <f t="shared" si="56"/>
        <v>3033.942535</v>
      </c>
      <c r="CV34" s="36">
        <f t="shared" si="57"/>
        <v>3033.942535</v>
      </c>
      <c r="CW34" s="35">
        <f t="shared" si="58"/>
        <v>1190.5732696</v>
      </c>
      <c r="CZ34" s="5">
        <f t="shared" si="59"/>
        <v>1783.6506574999999</v>
      </c>
      <c r="DA34" s="5">
        <f t="shared" si="60"/>
        <v>1783.6506574999999</v>
      </c>
      <c r="DB34" s="35">
        <f t="shared" si="61"/>
        <v>699.9363932</v>
      </c>
      <c r="DE34" s="5">
        <f t="shared" si="62"/>
        <v>2013.4579775</v>
      </c>
      <c r="DF34" s="5">
        <f t="shared" si="63"/>
        <v>2013.4579775</v>
      </c>
      <c r="DG34" s="35">
        <f t="shared" si="64"/>
        <v>790.1168924</v>
      </c>
      <c r="DJ34" s="5">
        <f t="shared" si="65"/>
        <v>23311.7945975</v>
      </c>
      <c r="DK34" s="5">
        <f t="shared" si="66"/>
        <v>23311.7945975</v>
      </c>
      <c r="DL34" s="35">
        <f t="shared" si="67"/>
        <v>9147.9647996</v>
      </c>
      <c r="DO34" s="5">
        <f t="shared" si="68"/>
        <v>858.34749</v>
      </c>
      <c r="DP34" s="36">
        <f t="shared" si="69"/>
        <v>858.34749</v>
      </c>
      <c r="DQ34" s="35">
        <f t="shared" si="70"/>
        <v>336.8308944</v>
      </c>
      <c r="DT34" s="36">
        <f t="shared" si="71"/>
        <v>759.8075975</v>
      </c>
      <c r="DU34" s="36">
        <f t="shared" si="72"/>
        <v>759.8075975</v>
      </c>
      <c r="DV34" s="35">
        <f t="shared" si="73"/>
        <v>298.1620796</v>
      </c>
    </row>
    <row r="35" spans="1:126" ht="12">
      <c r="A35" s="37">
        <v>46844</v>
      </c>
      <c r="C35" s="3">
        <v>7425000</v>
      </c>
      <c r="D35" s="3">
        <v>714575</v>
      </c>
      <c r="E35" s="35">
        <f t="shared" si="0"/>
        <v>8139575</v>
      </c>
      <c r="F35" s="35">
        <f>'2011A'!F35</f>
        <v>280412</v>
      </c>
      <c r="H35" s="47">
        <f t="shared" si="74"/>
        <v>1119110.8499999996</v>
      </c>
      <c r="I35" s="36">
        <f t="shared" si="1"/>
        <v>107702.17315000002</v>
      </c>
      <c r="J35" s="36">
        <f t="shared" si="2"/>
        <v>1226813.0231499996</v>
      </c>
      <c r="K35" s="36">
        <f t="shared" si="3"/>
        <v>42264.25746400001</v>
      </c>
      <c r="L35"/>
      <c r="M35" s="5">
        <f t="shared" si="75"/>
        <v>465208.92</v>
      </c>
      <c r="N35" s="5">
        <f t="shared" si="4"/>
        <v>44771.26788</v>
      </c>
      <c r="O35" s="5">
        <f t="shared" si="5"/>
        <v>509980.18788</v>
      </c>
      <c r="P35" s="35">
        <f t="shared" si="6"/>
        <v>17569.0456128</v>
      </c>
      <c r="Q35"/>
      <c r="R35" s="5">
        <f t="shared" si="76"/>
        <v>205.67249999999999</v>
      </c>
      <c r="S35" s="36">
        <f t="shared" si="7"/>
        <v>19.7937275</v>
      </c>
      <c r="T35" s="36">
        <f t="shared" si="8"/>
        <v>225.46622749999997</v>
      </c>
      <c r="U35" s="35">
        <f t="shared" si="9"/>
        <v>7.7674123999999996</v>
      </c>
      <c r="V35"/>
      <c r="W35" s="5">
        <f t="shared" si="77"/>
        <v>9209.227499999999</v>
      </c>
      <c r="X35" s="5">
        <f t="shared" si="10"/>
        <v>886.2873725</v>
      </c>
      <c r="Y35" s="5">
        <f t="shared" si="97"/>
        <v>10095.5148725</v>
      </c>
      <c r="Z35" s="35">
        <f t="shared" si="12"/>
        <v>347.7950036</v>
      </c>
      <c r="AA35"/>
      <c r="AB35" s="5">
        <f t="shared" si="78"/>
        <v>5545.7325</v>
      </c>
      <c r="AC35" s="5">
        <f t="shared" si="13"/>
        <v>533.7160675</v>
      </c>
      <c r="AD35" s="5">
        <f t="shared" si="14"/>
        <v>6079.4485675</v>
      </c>
      <c r="AE35" s="35">
        <f t="shared" si="15"/>
        <v>209.4397228</v>
      </c>
      <c r="AF35"/>
      <c r="AG35" s="5">
        <f t="shared" si="79"/>
        <v>41216.175</v>
      </c>
      <c r="AH35" s="5">
        <f t="shared" si="16"/>
        <v>3966.605825</v>
      </c>
      <c r="AI35" s="5">
        <f t="shared" si="17"/>
        <v>45182.780825</v>
      </c>
      <c r="AJ35" s="35">
        <f t="shared" si="18"/>
        <v>1556.5670120000002</v>
      </c>
      <c r="AK35"/>
      <c r="AL35" s="5">
        <f t="shared" si="80"/>
        <v>12772.485</v>
      </c>
      <c r="AM35" s="5">
        <f t="shared" si="19"/>
        <v>1229.211915</v>
      </c>
      <c r="AN35" s="5">
        <f t="shared" si="20"/>
        <v>14001.696915</v>
      </c>
      <c r="AO35" s="35">
        <f t="shared" si="21"/>
        <v>482.3647224</v>
      </c>
      <c r="AP35"/>
      <c r="AQ35" s="5">
        <f t="shared" si="81"/>
        <v>24046.605</v>
      </c>
      <c r="AR35" s="5">
        <f t="shared" si="22"/>
        <v>2314.2225949999997</v>
      </c>
      <c r="AS35" s="5">
        <f t="shared" si="23"/>
        <v>26360.827595</v>
      </c>
      <c r="AT35" s="35">
        <f t="shared" si="24"/>
        <v>908.1423032</v>
      </c>
      <c r="AU35"/>
      <c r="AV35" s="5">
        <f t="shared" si="82"/>
        <v>5092.065</v>
      </c>
      <c r="AW35" s="5">
        <f t="shared" si="25"/>
        <v>490.05553499999996</v>
      </c>
      <c r="AX35" s="5">
        <f t="shared" si="26"/>
        <v>5582.120535</v>
      </c>
      <c r="AY35" s="35">
        <f t="shared" si="27"/>
        <v>192.30654959999998</v>
      </c>
      <c r="AZ35"/>
      <c r="BA35" s="5">
        <f t="shared" si="83"/>
        <v>90795.12749999999</v>
      </c>
      <c r="BB35" s="5">
        <f t="shared" si="28"/>
        <v>8738.0374725</v>
      </c>
      <c r="BC35" s="5">
        <f t="shared" si="29"/>
        <v>99533.16497249999</v>
      </c>
      <c r="BD35" s="35">
        <f t="shared" si="30"/>
        <v>3428.9620596</v>
      </c>
      <c r="BE35"/>
      <c r="BF35" s="36">
        <f t="shared" si="84"/>
        <v>42038.865</v>
      </c>
      <c r="BG35" s="5">
        <f t="shared" si="31"/>
        <v>4045.780735</v>
      </c>
      <c r="BH35" s="36">
        <f t="shared" si="32"/>
        <v>46084.645735</v>
      </c>
      <c r="BI35" s="35">
        <f t="shared" si="33"/>
        <v>1587.6366616</v>
      </c>
      <c r="BJ35"/>
      <c r="BK35" s="5">
        <f t="shared" si="85"/>
        <v>20133.63</v>
      </c>
      <c r="BL35" s="5">
        <f t="shared" si="34"/>
        <v>1937.6415700000002</v>
      </c>
      <c r="BM35" s="5">
        <f t="shared" si="35"/>
        <v>22071.27157</v>
      </c>
      <c r="BN35" s="35">
        <f t="shared" si="36"/>
        <v>760.3651792000001</v>
      </c>
      <c r="BO35"/>
      <c r="BP35" s="5">
        <f t="shared" si="37"/>
        <v>2970.7425000000003</v>
      </c>
      <c r="BQ35" s="5">
        <f t="shared" si="38"/>
        <v>285.9014575</v>
      </c>
      <c r="BR35" s="5">
        <f t="shared" si="39"/>
        <v>3256.6439575000004</v>
      </c>
      <c r="BS35" s="35">
        <f t="shared" si="40"/>
        <v>112.1928412</v>
      </c>
      <c r="BT35"/>
      <c r="BU35" s="5">
        <f t="shared" si="86"/>
        <v>13171.207499999999</v>
      </c>
      <c r="BV35" s="5">
        <f t="shared" si="41"/>
        <v>1267.5845924999999</v>
      </c>
      <c r="BW35" s="5">
        <f t="shared" si="42"/>
        <v>14438.792092499998</v>
      </c>
      <c r="BX35" s="35">
        <f t="shared" si="43"/>
        <v>497.4228468</v>
      </c>
      <c r="BY35"/>
      <c r="BZ35" s="5">
        <f t="shared" si="87"/>
        <v>1813.9274999999998</v>
      </c>
      <c r="CA35" s="5">
        <f t="shared" si="44"/>
        <v>174.57067249999997</v>
      </c>
      <c r="CB35" s="5">
        <f t="shared" si="45"/>
        <v>1988.4981724999998</v>
      </c>
      <c r="CC35" s="35">
        <f t="shared" si="46"/>
        <v>68.50465159999999</v>
      </c>
      <c r="CD35"/>
      <c r="CE35" s="5">
        <f t="shared" si="88"/>
        <v>37840.770000000004</v>
      </c>
      <c r="CF35" s="5">
        <f t="shared" si="47"/>
        <v>3641.76003</v>
      </c>
      <c r="CG35" s="5">
        <f t="shared" si="48"/>
        <v>41482.53003</v>
      </c>
      <c r="CH35" s="35">
        <f t="shared" si="49"/>
        <v>1429.0917168</v>
      </c>
      <c r="CI35"/>
      <c r="CJ35" s="5">
        <f t="shared" si="89"/>
        <v>7329.959999999999</v>
      </c>
      <c r="CK35" s="5">
        <f t="shared" si="50"/>
        <v>705.4284399999999</v>
      </c>
      <c r="CL35" s="5">
        <f t="shared" si="51"/>
        <v>8035.388439999999</v>
      </c>
      <c r="CM35" s="35">
        <f t="shared" si="52"/>
        <v>276.82272639999996</v>
      </c>
      <c r="CN35"/>
      <c r="CO35" s="5">
        <f t="shared" si="90"/>
        <v>9697.7925</v>
      </c>
      <c r="CP35" s="5">
        <f t="shared" si="53"/>
        <v>933.3064075</v>
      </c>
      <c r="CQ35" s="36">
        <f t="shared" si="54"/>
        <v>10631.0989075</v>
      </c>
      <c r="CR35" s="35">
        <f t="shared" si="55"/>
        <v>366.24611319999997</v>
      </c>
      <c r="CS35"/>
      <c r="CT35" s="5">
        <f t="shared" si="91"/>
        <v>31525.065000000002</v>
      </c>
      <c r="CU35" s="5">
        <f t="shared" si="56"/>
        <v>3033.942535</v>
      </c>
      <c r="CV35" s="36">
        <f t="shared" si="57"/>
        <v>34559.007535000004</v>
      </c>
      <c r="CW35" s="35">
        <f t="shared" si="58"/>
        <v>1190.5732696</v>
      </c>
      <c r="CY35" s="5">
        <f t="shared" si="92"/>
        <v>18533.5425</v>
      </c>
      <c r="CZ35" s="5">
        <f t="shared" si="59"/>
        <v>1783.6506574999999</v>
      </c>
      <c r="DA35" s="5">
        <f t="shared" si="60"/>
        <v>20317.193157499998</v>
      </c>
      <c r="DB35" s="35">
        <f t="shared" si="61"/>
        <v>699.9363932</v>
      </c>
      <c r="DD35" s="5">
        <f t="shared" si="93"/>
        <v>20921.422499999997</v>
      </c>
      <c r="DE35" s="5">
        <f t="shared" si="62"/>
        <v>2013.4579775</v>
      </c>
      <c r="DF35" s="5">
        <f t="shared" si="63"/>
        <v>22934.880477499995</v>
      </c>
      <c r="DG35" s="35">
        <f t="shared" si="64"/>
        <v>790.1168924</v>
      </c>
      <c r="DI35" s="5">
        <f t="shared" si="94"/>
        <v>242228.0025</v>
      </c>
      <c r="DJ35" s="5">
        <f t="shared" si="65"/>
        <v>23311.7945975</v>
      </c>
      <c r="DK35" s="5">
        <f t="shared" si="66"/>
        <v>265539.7970975</v>
      </c>
      <c r="DL35" s="35">
        <f t="shared" si="67"/>
        <v>9147.9647996</v>
      </c>
      <c r="DN35" s="5">
        <f t="shared" si="95"/>
        <v>8918.91</v>
      </c>
      <c r="DO35" s="5">
        <f t="shared" si="68"/>
        <v>858.34749</v>
      </c>
      <c r="DP35" s="36">
        <f t="shared" si="69"/>
        <v>9777.25749</v>
      </c>
      <c r="DQ35" s="35">
        <f t="shared" si="70"/>
        <v>336.8308944</v>
      </c>
      <c r="DS35" s="5">
        <f t="shared" si="96"/>
        <v>7895.0025000000005</v>
      </c>
      <c r="DT35" s="36">
        <f t="shared" si="71"/>
        <v>759.8075975</v>
      </c>
      <c r="DU35" s="36">
        <f t="shared" si="72"/>
        <v>8654.8100975</v>
      </c>
      <c r="DV35" s="35">
        <f t="shared" si="73"/>
        <v>298.1620796</v>
      </c>
    </row>
    <row r="36" spans="1:126" ht="12">
      <c r="A36" s="37">
        <v>47027</v>
      </c>
      <c r="D36" s="3">
        <v>528950</v>
      </c>
      <c r="E36" s="35">
        <f t="shared" si="0"/>
        <v>528950</v>
      </c>
      <c r="F36" s="35">
        <f>'2011A'!F36</f>
        <v>280412</v>
      </c>
      <c r="H36" s="47"/>
      <c r="I36" s="36">
        <f t="shared" si="1"/>
        <v>79724.40190000001</v>
      </c>
      <c r="J36" s="36">
        <f t="shared" si="2"/>
        <v>79724.40190000001</v>
      </c>
      <c r="K36" s="36">
        <f t="shared" si="3"/>
        <v>42264.25746400001</v>
      </c>
      <c r="L36"/>
      <c r="N36" s="5">
        <f t="shared" si="4"/>
        <v>33141.04488</v>
      </c>
      <c r="O36" s="5">
        <f t="shared" si="5"/>
        <v>33141.04488</v>
      </c>
      <c r="P36" s="35">
        <f t="shared" si="6"/>
        <v>17569.0456128</v>
      </c>
      <c r="Q36"/>
      <c r="S36" s="36">
        <f t="shared" si="7"/>
        <v>14.651914999999999</v>
      </c>
      <c r="T36" s="36">
        <f t="shared" si="8"/>
        <v>14.651914999999999</v>
      </c>
      <c r="U36" s="35">
        <f t="shared" si="9"/>
        <v>7.7674123999999996</v>
      </c>
      <c r="V36"/>
      <c r="X36" s="5">
        <f t="shared" si="10"/>
        <v>656.056685</v>
      </c>
      <c r="Y36" s="5">
        <f t="shared" si="97"/>
        <v>656.056685</v>
      </c>
      <c r="Z36" s="35">
        <f t="shared" si="12"/>
        <v>347.7950036</v>
      </c>
      <c r="AA36"/>
      <c r="AC36" s="5">
        <f t="shared" si="13"/>
        <v>395.072755</v>
      </c>
      <c r="AD36" s="5">
        <f t="shared" si="14"/>
        <v>395.072755</v>
      </c>
      <c r="AE36" s="35">
        <f t="shared" si="15"/>
        <v>209.4397228</v>
      </c>
      <c r="AF36"/>
      <c r="AH36" s="5">
        <f t="shared" si="16"/>
        <v>2936.20145</v>
      </c>
      <c r="AI36" s="5">
        <f t="shared" si="17"/>
        <v>2936.20145</v>
      </c>
      <c r="AJ36" s="35">
        <f t="shared" si="18"/>
        <v>1556.5670120000002</v>
      </c>
      <c r="AK36"/>
      <c r="AM36" s="5">
        <f t="shared" si="19"/>
        <v>909.89979</v>
      </c>
      <c r="AN36" s="5">
        <f t="shared" si="20"/>
        <v>909.89979</v>
      </c>
      <c r="AO36" s="35">
        <f t="shared" si="21"/>
        <v>482.3647224</v>
      </c>
      <c r="AP36"/>
      <c r="AR36" s="5">
        <f t="shared" si="22"/>
        <v>1713.05747</v>
      </c>
      <c r="AS36" s="5">
        <f t="shared" si="23"/>
        <v>1713.05747</v>
      </c>
      <c r="AT36" s="35">
        <f t="shared" si="24"/>
        <v>908.1423032</v>
      </c>
      <c r="AU36"/>
      <c r="AW36" s="5">
        <f t="shared" si="25"/>
        <v>362.75390999999996</v>
      </c>
      <c r="AX36" s="5">
        <f t="shared" si="26"/>
        <v>362.75390999999996</v>
      </c>
      <c r="AY36" s="35">
        <f t="shared" si="27"/>
        <v>192.30654959999998</v>
      </c>
      <c r="AZ36"/>
      <c r="BB36" s="5">
        <f t="shared" si="28"/>
        <v>6468.159285</v>
      </c>
      <c r="BC36" s="5">
        <f t="shared" si="29"/>
        <v>6468.159285</v>
      </c>
      <c r="BD36" s="35">
        <f t="shared" si="30"/>
        <v>3428.9620596</v>
      </c>
      <c r="BE36"/>
      <c r="BF36" s="36"/>
      <c r="BG36" s="5">
        <f t="shared" si="31"/>
        <v>2994.8091099999997</v>
      </c>
      <c r="BH36" s="36">
        <f t="shared" si="32"/>
        <v>2994.8091099999997</v>
      </c>
      <c r="BI36" s="35">
        <f t="shared" si="33"/>
        <v>1587.6366616</v>
      </c>
      <c r="BJ36"/>
      <c r="BL36" s="5">
        <f t="shared" si="34"/>
        <v>1434.3008200000002</v>
      </c>
      <c r="BM36" s="5">
        <f t="shared" si="35"/>
        <v>1434.3008200000002</v>
      </c>
      <c r="BN36" s="35">
        <f t="shared" si="36"/>
        <v>760.3651792000001</v>
      </c>
      <c r="BO36"/>
      <c r="BP36" s="5">
        <f t="shared" si="37"/>
        <v>0</v>
      </c>
      <c r="BQ36" s="5">
        <f t="shared" si="38"/>
        <v>211.63289500000002</v>
      </c>
      <c r="BR36" s="5">
        <f t="shared" si="39"/>
        <v>211.63289500000002</v>
      </c>
      <c r="BS36" s="35">
        <f t="shared" si="40"/>
        <v>112.1928412</v>
      </c>
      <c r="BT36"/>
      <c r="BV36" s="5">
        <f t="shared" si="41"/>
        <v>938.304405</v>
      </c>
      <c r="BW36" s="5">
        <f t="shared" si="42"/>
        <v>938.304405</v>
      </c>
      <c r="BX36" s="35">
        <f t="shared" si="43"/>
        <v>497.4228468</v>
      </c>
      <c r="BY36"/>
      <c r="CA36" s="5">
        <f t="shared" si="44"/>
        <v>129.22248499999998</v>
      </c>
      <c r="CB36" s="5">
        <f t="shared" si="45"/>
        <v>129.22248499999998</v>
      </c>
      <c r="CC36" s="35">
        <f t="shared" si="46"/>
        <v>68.50465159999999</v>
      </c>
      <c r="CD36"/>
      <c r="CF36" s="5">
        <f t="shared" si="47"/>
        <v>2695.74078</v>
      </c>
      <c r="CG36" s="5">
        <f t="shared" si="48"/>
        <v>2695.74078</v>
      </c>
      <c r="CH36" s="35">
        <f t="shared" si="49"/>
        <v>1429.0917168</v>
      </c>
      <c r="CI36"/>
      <c r="CK36" s="5">
        <f t="shared" si="50"/>
        <v>522.17944</v>
      </c>
      <c r="CL36" s="5">
        <f t="shared" si="51"/>
        <v>522.17944</v>
      </c>
      <c r="CM36" s="35">
        <f t="shared" si="52"/>
        <v>276.82272639999996</v>
      </c>
      <c r="CN36"/>
      <c r="CP36" s="5">
        <f t="shared" si="53"/>
        <v>690.861595</v>
      </c>
      <c r="CQ36" s="36">
        <f t="shared" si="54"/>
        <v>690.861595</v>
      </c>
      <c r="CR36" s="35">
        <f t="shared" si="55"/>
        <v>366.24611319999997</v>
      </c>
      <c r="CS36"/>
      <c r="CU36" s="5">
        <f t="shared" si="56"/>
        <v>2245.8159100000003</v>
      </c>
      <c r="CV36" s="36">
        <f t="shared" si="57"/>
        <v>2245.8159100000003</v>
      </c>
      <c r="CW36" s="35">
        <f t="shared" si="58"/>
        <v>1190.5732696</v>
      </c>
      <c r="CZ36" s="5">
        <f t="shared" si="59"/>
        <v>1320.312095</v>
      </c>
      <c r="DA36" s="5">
        <f t="shared" si="60"/>
        <v>1320.312095</v>
      </c>
      <c r="DB36" s="35">
        <f t="shared" si="61"/>
        <v>699.9363932</v>
      </c>
      <c r="DE36" s="5">
        <f t="shared" si="62"/>
        <v>1490.422415</v>
      </c>
      <c r="DF36" s="5">
        <f t="shared" si="63"/>
        <v>1490.422415</v>
      </c>
      <c r="DG36" s="35">
        <f t="shared" si="64"/>
        <v>790.1168924</v>
      </c>
      <c r="DJ36" s="5">
        <f t="shared" si="65"/>
        <v>17256.094535</v>
      </c>
      <c r="DK36" s="5">
        <f t="shared" si="66"/>
        <v>17256.094535</v>
      </c>
      <c r="DL36" s="35">
        <f t="shared" si="67"/>
        <v>9147.9647996</v>
      </c>
      <c r="DO36" s="5">
        <f t="shared" si="68"/>
        <v>635.37474</v>
      </c>
      <c r="DP36" s="36">
        <f t="shared" si="69"/>
        <v>635.37474</v>
      </c>
      <c r="DQ36" s="35">
        <f t="shared" si="70"/>
        <v>336.8308944</v>
      </c>
      <c r="DT36" s="36">
        <f t="shared" si="71"/>
        <v>562.432535</v>
      </c>
      <c r="DU36" s="36">
        <f t="shared" si="72"/>
        <v>562.432535</v>
      </c>
      <c r="DV36" s="35">
        <f t="shared" si="73"/>
        <v>298.1620796</v>
      </c>
    </row>
    <row r="37" spans="1:126" ht="12">
      <c r="A37" s="37">
        <v>47209</v>
      </c>
      <c r="C37" s="3">
        <v>7795000</v>
      </c>
      <c r="D37" s="3">
        <v>528950</v>
      </c>
      <c r="E37" s="35">
        <f t="shared" si="0"/>
        <v>8323950</v>
      </c>
      <c r="F37" s="35">
        <f>'2011A'!F37</f>
        <v>280412</v>
      </c>
      <c r="H37" s="47">
        <f t="shared" si="74"/>
        <v>1174877.99</v>
      </c>
      <c r="I37" s="36">
        <f t="shared" si="1"/>
        <v>79724.40190000001</v>
      </c>
      <c r="J37" s="36">
        <f t="shared" si="2"/>
        <v>1254602.3919</v>
      </c>
      <c r="K37" s="36">
        <f t="shared" si="3"/>
        <v>42264.25746400001</v>
      </c>
      <c r="L37"/>
      <c r="M37" s="5">
        <f t="shared" si="75"/>
        <v>488391.048</v>
      </c>
      <c r="N37" s="5">
        <f t="shared" si="4"/>
        <v>33141.04488</v>
      </c>
      <c r="O37" s="5">
        <f t="shared" si="5"/>
        <v>521532.09288</v>
      </c>
      <c r="P37" s="35">
        <f t="shared" si="6"/>
        <v>17569.0456128</v>
      </c>
      <c r="Q37"/>
      <c r="R37" s="5">
        <f t="shared" si="76"/>
        <v>215.92149999999998</v>
      </c>
      <c r="S37" s="36">
        <f t="shared" si="7"/>
        <v>14.651914999999999</v>
      </c>
      <c r="T37" s="36">
        <f t="shared" si="8"/>
        <v>230.57341499999998</v>
      </c>
      <c r="U37" s="35">
        <f t="shared" si="9"/>
        <v>7.7674123999999996</v>
      </c>
      <c r="V37"/>
      <c r="W37" s="5">
        <f t="shared" si="77"/>
        <v>9668.1385</v>
      </c>
      <c r="X37" s="5">
        <f t="shared" si="10"/>
        <v>656.056685</v>
      </c>
      <c r="Y37" s="5">
        <f t="shared" si="97"/>
        <v>10324.195184999999</v>
      </c>
      <c r="Z37" s="35">
        <f t="shared" si="12"/>
        <v>347.7950036</v>
      </c>
      <c r="AA37"/>
      <c r="AB37" s="5">
        <f t="shared" si="78"/>
        <v>5822.0855</v>
      </c>
      <c r="AC37" s="5">
        <f t="shared" si="13"/>
        <v>395.072755</v>
      </c>
      <c r="AD37" s="5">
        <f t="shared" si="14"/>
        <v>6217.158255</v>
      </c>
      <c r="AE37" s="35">
        <f t="shared" si="15"/>
        <v>209.4397228</v>
      </c>
      <c r="AF37"/>
      <c r="AG37" s="5">
        <f t="shared" si="79"/>
        <v>43270.045000000006</v>
      </c>
      <c r="AH37" s="5">
        <f t="shared" si="16"/>
        <v>2936.20145</v>
      </c>
      <c r="AI37" s="5">
        <f t="shared" si="17"/>
        <v>46206.246450000006</v>
      </c>
      <c r="AJ37" s="35">
        <f t="shared" si="18"/>
        <v>1556.5670120000002</v>
      </c>
      <c r="AK37"/>
      <c r="AL37" s="5">
        <f t="shared" si="80"/>
        <v>13408.959</v>
      </c>
      <c r="AM37" s="5">
        <f t="shared" si="19"/>
        <v>909.89979</v>
      </c>
      <c r="AN37" s="5">
        <f t="shared" si="20"/>
        <v>14318.85879</v>
      </c>
      <c r="AO37" s="35">
        <f t="shared" si="21"/>
        <v>482.3647224</v>
      </c>
      <c r="AP37"/>
      <c r="AQ37" s="5">
        <f t="shared" si="81"/>
        <v>25244.887</v>
      </c>
      <c r="AR37" s="5">
        <f t="shared" si="22"/>
        <v>1713.05747</v>
      </c>
      <c r="AS37" s="5">
        <f t="shared" si="23"/>
        <v>26957.94447</v>
      </c>
      <c r="AT37" s="35">
        <f t="shared" si="24"/>
        <v>908.1423032</v>
      </c>
      <c r="AU37"/>
      <c r="AV37" s="5">
        <f t="shared" si="82"/>
        <v>5345.811</v>
      </c>
      <c r="AW37" s="5">
        <f t="shared" si="25"/>
        <v>362.75390999999996</v>
      </c>
      <c r="AX37" s="5">
        <f t="shared" si="26"/>
        <v>5708.56491</v>
      </c>
      <c r="AY37" s="35">
        <f t="shared" si="27"/>
        <v>192.30654959999998</v>
      </c>
      <c r="AZ37"/>
      <c r="BA37" s="5">
        <f t="shared" si="83"/>
        <v>95319.5985</v>
      </c>
      <c r="BB37" s="5">
        <f t="shared" si="28"/>
        <v>6468.159285</v>
      </c>
      <c r="BC37" s="5">
        <f t="shared" si="29"/>
        <v>101787.757785</v>
      </c>
      <c r="BD37" s="35">
        <f t="shared" si="30"/>
        <v>3428.9620596</v>
      </c>
      <c r="BE37"/>
      <c r="BF37" s="36">
        <f t="shared" si="84"/>
        <v>44133.731</v>
      </c>
      <c r="BG37" s="5">
        <f t="shared" si="31"/>
        <v>2994.8091099999997</v>
      </c>
      <c r="BH37" s="36">
        <f t="shared" si="32"/>
        <v>47128.54011</v>
      </c>
      <c r="BI37" s="35">
        <f t="shared" si="33"/>
        <v>1587.6366616</v>
      </c>
      <c r="BJ37"/>
      <c r="BK37" s="5">
        <f t="shared" si="85"/>
        <v>21136.922000000002</v>
      </c>
      <c r="BL37" s="5">
        <f t="shared" si="34"/>
        <v>1434.3008200000002</v>
      </c>
      <c r="BM37" s="5">
        <f t="shared" si="35"/>
        <v>22571.222820000003</v>
      </c>
      <c r="BN37" s="35">
        <f t="shared" si="36"/>
        <v>760.3651792000001</v>
      </c>
      <c r="BO37"/>
      <c r="BP37" s="5">
        <f t="shared" si="37"/>
        <v>3118.7795</v>
      </c>
      <c r="BQ37" s="5">
        <f t="shared" si="38"/>
        <v>211.63289500000002</v>
      </c>
      <c r="BR37" s="5">
        <f t="shared" si="39"/>
        <v>3330.4123950000003</v>
      </c>
      <c r="BS37" s="35">
        <f t="shared" si="40"/>
        <v>112.1928412</v>
      </c>
      <c r="BT37"/>
      <c r="BU37" s="5">
        <f t="shared" si="86"/>
        <v>13827.5505</v>
      </c>
      <c r="BV37" s="5">
        <f t="shared" si="41"/>
        <v>938.304405</v>
      </c>
      <c r="BW37" s="5">
        <f t="shared" si="42"/>
        <v>14765.854905</v>
      </c>
      <c r="BX37" s="35">
        <f t="shared" si="43"/>
        <v>497.4228468</v>
      </c>
      <c r="BY37"/>
      <c r="BZ37" s="5">
        <f t="shared" si="87"/>
        <v>1904.3184999999999</v>
      </c>
      <c r="CA37" s="5">
        <f t="shared" si="44"/>
        <v>129.22248499999998</v>
      </c>
      <c r="CB37" s="5">
        <f t="shared" si="45"/>
        <v>2033.5409849999999</v>
      </c>
      <c r="CC37" s="35">
        <f t="shared" si="46"/>
        <v>68.50465159999999</v>
      </c>
      <c r="CD37"/>
      <c r="CE37" s="5">
        <f t="shared" si="88"/>
        <v>39726.438</v>
      </c>
      <c r="CF37" s="5">
        <f t="shared" si="47"/>
        <v>2695.74078</v>
      </c>
      <c r="CG37" s="5">
        <f t="shared" si="48"/>
        <v>42422.17878</v>
      </c>
      <c r="CH37" s="35">
        <f t="shared" si="49"/>
        <v>1429.0917168</v>
      </c>
      <c r="CI37"/>
      <c r="CJ37" s="5">
        <f t="shared" si="89"/>
        <v>7695.223999999999</v>
      </c>
      <c r="CK37" s="5">
        <f t="shared" si="50"/>
        <v>522.17944</v>
      </c>
      <c r="CL37" s="5">
        <f t="shared" si="51"/>
        <v>8217.40344</v>
      </c>
      <c r="CM37" s="35">
        <f t="shared" si="52"/>
        <v>276.82272639999996</v>
      </c>
      <c r="CN37"/>
      <c r="CO37" s="5">
        <f t="shared" si="90"/>
        <v>10181.0495</v>
      </c>
      <c r="CP37" s="5">
        <f t="shared" si="53"/>
        <v>690.861595</v>
      </c>
      <c r="CQ37" s="36">
        <f t="shared" si="54"/>
        <v>10871.911095</v>
      </c>
      <c r="CR37" s="35">
        <f t="shared" si="55"/>
        <v>366.24611319999997</v>
      </c>
      <c r="CS37"/>
      <c r="CT37" s="5">
        <f t="shared" si="91"/>
        <v>33096.011</v>
      </c>
      <c r="CU37" s="5">
        <f t="shared" si="56"/>
        <v>2245.8159100000003</v>
      </c>
      <c r="CV37" s="36">
        <f t="shared" si="57"/>
        <v>35341.826909999996</v>
      </c>
      <c r="CW37" s="35">
        <f t="shared" si="58"/>
        <v>1190.5732696</v>
      </c>
      <c r="CY37" s="5">
        <f t="shared" si="92"/>
        <v>19457.099499999997</v>
      </c>
      <c r="CZ37" s="5">
        <f t="shared" si="59"/>
        <v>1320.312095</v>
      </c>
      <c r="DA37" s="5">
        <f t="shared" si="60"/>
        <v>20777.411594999998</v>
      </c>
      <c r="DB37" s="35">
        <f t="shared" si="61"/>
        <v>699.9363932</v>
      </c>
      <c r="DD37" s="5">
        <f t="shared" si="93"/>
        <v>21963.9715</v>
      </c>
      <c r="DE37" s="5">
        <f t="shared" si="62"/>
        <v>1490.422415</v>
      </c>
      <c r="DF37" s="5">
        <f t="shared" si="63"/>
        <v>23454.393915</v>
      </c>
      <c r="DG37" s="35">
        <f t="shared" si="64"/>
        <v>790.1168924</v>
      </c>
      <c r="DI37" s="5">
        <f t="shared" si="94"/>
        <v>254298.62350000002</v>
      </c>
      <c r="DJ37" s="5">
        <f t="shared" si="65"/>
        <v>17256.094535</v>
      </c>
      <c r="DK37" s="5">
        <f t="shared" si="66"/>
        <v>271554.718035</v>
      </c>
      <c r="DL37" s="35">
        <f t="shared" si="67"/>
        <v>9147.9647996</v>
      </c>
      <c r="DN37" s="5">
        <f t="shared" si="95"/>
        <v>9363.354</v>
      </c>
      <c r="DO37" s="5">
        <f t="shared" si="68"/>
        <v>635.37474</v>
      </c>
      <c r="DP37" s="36">
        <f t="shared" si="69"/>
        <v>9998.728739999999</v>
      </c>
      <c r="DQ37" s="35">
        <f t="shared" si="70"/>
        <v>336.8308944</v>
      </c>
      <c r="DS37" s="5">
        <f t="shared" si="96"/>
        <v>8288.4235</v>
      </c>
      <c r="DT37" s="36">
        <f t="shared" si="71"/>
        <v>562.432535</v>
      </c>
      <c r="DU37" s="36">
        <f t="shared" si="72"/>
        <v>8850.856035</v>
      </c>
      <c r="DV37" s="35">
        <f t="shared" si="73"/>
        <v>298.1620796</v>
      </c>
    </row>
    <row r="38" spans="1:126" ht="12">
      <c r="A38" s="37">
        <v>47392</v>
      </c>
      <c r="D38" s="3">
        <v>373050</v>
      </c>
      <c r="E38" s="35">
        <f t="shared" si="0"/>
        <v>373050</v>
      </c>
      <c r="F38" s="35">
        <f>'2011A'!F38</f>
        <v>280412</v>
      </c>
      <c r="H38" s="47"/>
      <c r="I38" s="36">
        <f t="shared" si="1"/>
        <v>56226.8421</v>
      </c>
      <c r="J38" s="36">
        <f t="shared" si="2"/>
        <v>56226.8421</v>
      </c>
      <c r="K38" s="36">
        <f t="shared" si="3"/>
        <v>42264.25746400001</v>
      </c>
      <c r="L38"/>
      <c r="N38" s="5">
        <f t="shared" si="4"/>
        <v>23373.22392</v>
      </c>
      <c r="O38" s="5">
        <f t="shared" si="5"/>
        <v>23373.22392</v>
      </c>
      <c r="P38" s="35">
        <f t="shared" si="6"/>
        <v>17569.0456128</v>
      </c>
      <c r="Q38"/>
      <c r="S38" s="36">
        <f t="shared" si="7"/>
        <v>10.333485</v>
      </c>
      <c r="T38" s="36">
        <f t="shared" si="8"/>
        <v>10.333485</v>
      </c>
      <c r="U38" s="35">
        <f t="shared" si="9"/>
        <v>7.7674123999999996</v>
      </c>
      <c r="V38"/>
      <c r="X38" s="5">
        <f t="shared" si="10"/>
        <v>462.693915</v>
      </c>
      <c r="Y38" s="5">
        <f t="shared" si="97"/>
        <v>462.693915</v>
      </c>
      <c r="Z38" s="35">
        <f t="shared" si="12"/>
        <v>347.7950036</v>
      </c>
      <c r="AA38"/>
      <c r="AC38" s="5">
        <f t="shared" si="13"/>
        <v>278.631045</v>
      </c>
      <c r="AD38" s="5">
        <f t="shared" si="14"/>
        <v>278.631045</v>
      </c>
      <c r="AE38" s="35">
        <f t="shared" si="15"/>
        <v>209.4397228</v>
      </c>
      <c r="AF38"/>
      <c r="AH38" s="5">
        <f t="shared" si="16"/>
        <v>2070.80055</v>
      </c>
      <c r="AI38" s="5">
        <f t="shared" si="17"/>
        <v>2070.80055</v>
      </c>
      <c r="AJ38" s="35">
        <f t="shared" si="18"/>
        <v>1556.5670120000002</v>
      </c>
      <c r="AK38"/>
      <c r="AM38" s="5">
        <f t="shared" si="19"/>
        <v>641.7206100000001</v>
      </c>
      <c r="AN38" s="5">
        <f t="shared" si="20"/>
        <v>641.7206100000001</v>
      </c>
      <c r="AO38" s="35">
        <f t="shared" si="21"/>
        <v>482.3647224</v>
      </c>
      <c r="AP38"/>
      <c r="AR38" s="5">
        <f t="shared" si="22"/>
        <v>1208.1597299999999</v>
      </c>
      <c r="AS38" s="5">
        <f t="shared" si="23"/>
        <v>1208.1597299999999</v>
      </c>
      <c r="AT38" s="35">
        <f t="shared" si="24"/>
        <v>908.1423032</v>
      </c>
      <c r="AU38"/>
      <c r="AW38" s="5">
        <f t="shared" si="25"/>
        <v>255.83768999999998</v>
      </c>
      <c r="AX38" s="5">
        <f t="shared" si="26"/>
        <v>255.83768999999998</v>
      </c>
      <c r="AY38" s="35">
        <f t="shared" si="27"/>
        <v>192.30654959999998</v>
      </c>
      <c r="AZ38"/>
      <c r="BB38" s="5">
        <f t="shared" si="28"/>
        <v>4561.767315</v>
      </c>
      <c r="BC38" s="5">
        <f t="shared" si="29"/>
        <v>4561.767315</v>
      </c>
      <c r="BD38" s="35">
        <f t="shared" si="30"/>
        <v>3428.9620596</v>
      </c>
      <c r="BE38"/>
      <c r="BF38" s="36"/>
      <c r="BG38" s="5">
        <f t="shared" si="31"/>
        <v>2112.13449</v>
      </c>
      <c r="BH38" s="36">
        <f t="shared" si="32"/>
        <v>2112.13449</v>
      </c>
      <c r="BI38" s="35">
        <f t="shared" si="33"/>
        <v>1587.6366616</v>
      </c>
      <c r="BJ38"/>
      <c r="BL38" s="5">
        <f t="shared" si="34"/>
        <v>1011.5623800000001</v>
      </c>
      <c r="BM38" s="5">
        <f t="shared" si="35"/>
        <v>1011.5623800000001</v>
      </c>
      <c r="BN38" s="35">
        <f t="shared" si="36"/>
        <v>760.3651792000001</v>
      </c>
      <c r="BO38"/>
      <c r="BP38" s="5">
        <f t="shared" si="37"/>
        <v>0</v>
      </c>
      <c r="BQ38" s="5">
        <f t="shared" si="38"/>
        <v>149.257305</v>
      </c>
      <c r="BR38" s="5">
        <f t="shared" si="39"/>
        <v>149.257305</v>
      </c>
      <c r="BS38" s="35">
        <f t="shared" si="40"/>
        <v>112.1928412</v>
      </c>
      <c r="BT38"/>
      <c r="BV38" s="5">
        <f t="shared" si="41"/>
        <v>661.753395</v>
      </c>
      <c r="BW38" s="5">
        <f t="shared" si="42"/>
        <v>661.753395</v>
      </c>
      <c r="BX38" s="35">
        <f t="shared" si="43"/>
        <v>497.4228468</v>
      </c>
      <c r="BY38"/>
      <c r="CA38" s="5">
        <f t="shared" si="44"/>
        <v>91.13611499999999</v>
      </c>
      <c r="CB38" s="5">
        <f t="shared" si="45"/>
        <v>91.13611499999999</v>
      </c>
      <c r="CC38" s="35">
        <f t="shared" si="46"/>
        <v>68.50465159999999</v>
      </c>
      <c r="CD38"/>
      <c r="CF38" s="5">
        <f t="shared" si="47"/>
        <v>1901.21202</v>
      </c>
      <c r="CG38" s="5">
        <f t="shared" si="48"/>
        <v>1901.21202</v>
      </c>
      <c r="CH38" s="35">
        <f t="shared" si="49"/>
        <v>1429.0917168</v>
      </c>
      <c r="CI38"/>
      <c r="CK38" s="5">
        <f t="shared" si="50"/>
        <v>368.27495999999996</v>
      </c>
      <c r="CL38" s="5">
        <f t="shared" si="51"/>
        <v>368.27495999999996</v>
      </c>
      <c r="CM38" s="35">
        <f t="shared" si="52"/>
        <v>276.82272639999996</v>
      </c>
      <c r="CN38"/>
      <c r="CP38" s="5">
        <f t="shared" si="53"/>
        <v>487.24060499999996</v>
      </c>
      <c r="CQ38" s="36">
        <f t="shared" si="54"/>
        <v>487.24060499999996</v>
      </c>
      <c r="CR38" s="35">
        <f t="shared" si="55"/>
        <v>366.24611319999997</v>
      </c>
      <c r="CS38"/>
      <c r="CU38" s="5">
        <f t="shared" si="56"/>
        <v>1583.89569</v>
      </c>
      <c r="CV38" s="36">
        <f t="shared" si="57"/>
        <v>1583.89569</v>
      </c>
      <c r="CW38" s="35">
        <f t="shared" si="58"/>
        <v>1190.5732696</v>
      </c>
      <c r="CZ38" s="5">
        <f t="shared" si="59"/>
        <v>931.1701049999999</v>
      </c>
      <c r="DA38" s="5">
        <f t="shared" si="60"/>
        <v>931.1701049999999</v>
      </c>
      <c r="DB38" s="35">
        <f t="shared" si="61"/>
        <v>699.9363932</v>
      </c>
      <c r="DE38" s="5">
        <f t="shared" si="62"/>
        <v>1051.142985</v>
      </c>
      <c r="DF38" s="5">
        <f t="shared" si="63"/>
        <v>1051.142985</v>
      </c>
      <c r="DG38" s="35">
        <f t="shared" si="64"/>
        <v>790.1168924</v>
      </c>
      <c r="DJ38" s="5">
        <f t="shared" si="65"/>
        <v>12170.122065</v>
      </c>
      <c r="DK38" s="5">
        <f t="shared" si="66"/>
        <v>12170.122065</v>
      </c>
      <c r="DL38" s="35">
        <f t="shared" si="67"/>
        <v>9147.9647996</v>
      </c>
      <c r="DO38" s="5">
        <f t="shared" si="68"/>
        <v>448.10765999999995</v>
      </c>
      <c r="DP38" s="36">
        <f t="shared" si="69"/>
        <v>448.10765999999995</v>
      </c>
      <c r="DQ38" s="35">
        <f t="shared" si="70"/>
        <v>336.8308944</v>
      </c>
      <c r="DT38" s="36">
        <f t="shared" si="71"/>
        <v>396.66406500000005</v>
      </c>
      <c r="DU38" s="36">
        <f t="shared" si="72"/>
        <v>396.66406500000005</v>
      </c>
      <c r="DV38" s="35">
        <f t="shared" si="73"/>
        <v>298.1620796</v>
      </c>
    </row>
    <row r="39" spans="1:126" ht="12">
      <c r="A39" s="37">
        <v>11049</v>
      </c>
      <c r="C39" s="3">
        <v>8110000</v>
      </c>
      <c r="D39" s="3">
        <v>373050</v>
      </c>
      <c r="E39" s="35">
        <f t="shared" si="0"/>
        <v>8483050</v>
      </c>
      <c r="F39" s="35">
        <f>'2011A'!F39</f>
        <v>280412</v>
      </c>
      <c r="H39" s="47">
        <f t="shared" si="74"/>
        <v>1222355.4199999997</v>
      </c>
      <c r="I39" s="36">
        <f t="shared" si="1"/>
        <v>56226.8421</v>
      </c>
      <c r="J39" s="36">
        <f t="shared" si="2"/>
        <v>1278582.2620999997</v>
      </c>
      <c r="K39" s="36">
        <f t="shared" si="3"/>
        <v>42264.25746400001</v>
      </c>
      <c r="L39"/>
      <c r="M39" s="5">
        <f t="shared" si="75"/>
        <v>508127.184</v>
      </c>
      <c r="N39" s="5">
        <f t="shared" si="4"/>
        <v>23373.22392</v>
      </c>
      <c r="O39" s="5">
        <f t="shared" si="5"/>
        <v>531500.40792</v>
      </c>
      <c r="P39" s="35">
        <f t="shared" si="6"/>
        <v>17569.0456128</v>
      </c>
      <c r="Q39"/>
      <c r="R39" s="5">
        <f t="shared" si="76"/>
        <v>224.647</v>
      </c>
      <c r="S39" s="36">
        <f t="shared" si="7"/>
        <v>10.333485</v>
      </c>
      <c r="T39" s="36">
        <f t="shared" si="8"/>
        <v>234.980485</v>
      </c>
      <c r="U39" s="35">
        <f t="shared" si="9"/>
        <v>7.7674123999999996</v>
      </c>
      <c r="V39"/>
      <c r="W39" s="5">
        <f t="shared" si="77"/>
        <v>10058.832999999999</v>
      </c>
      <c r="X39" s="5">
        <f t="shared" si="10"/>
        <v>462.693915</v>
      </c>
      <c r="Y39" s="5">
        <f t="shared" si="97"/>
        <v>10521.526914999999</v>
      </c>
      <c r="Z39" s="35">
        <f t="shared" si="12"/>
        <v>347.7950036</v>
      </c>
      <c r="AA39"/>
      <c r="AB39" s="5">
        <f t="shared" si="78"/>
        <v>6057.359</v>
      </c>
      <c r="AC39" s="5">
        <f t="shared" si="13"/>
        <v>278.631045</v>
      </c>
      <c r="AD39" s="5">
        <f t="shared" si="14"/>
        <v>6335.9900450000005</v>
      </c>
      <c r="AE39" s="35">
        <f t="shared" si="15"/>
        <v>209.4397228</v>
      </c>
      <c r="AF39"/>
      <c r="AG39" s="5">
        <f t="shared" si="79"/>
        <v>45018.61</v>
      </c>
      <c r="AH39" s="5">
        <f t="shared" si="16"/>
        <v>2070.80055</v>
      </c>
      <c r="AI39" s="5">
        <f t="shared" si="17"/>
        <v>47089.41055</v>
      </c>
      <c r="AJ39" s="35">
        <f t="shared" si="18"/>
        <v>1556.5670120000002</v>
      </c>
      <c r="AK39"/>
      <c r="AL39" s="5">
        <f t="shared" si="80"/>
        <v>13950.822</v>
      </c>
      <c r="AM39" s="5">
        <f t="shared" si="19"/>
        <v>641.7206100000001</v>
      </c>
      <c r="AN39" s="5">
        <f t="shared" si="20"/>
        <v>14592.54261</v>
      </c>
      <c r="AO39" s="35">
        <f t="shared" si="21"/>
        <v>482.3647224</v>
      </c>
      <c r="AP39"/>
      <c r="AQ39" s="5">
        <f t="shared" si="81"/>
        <v>26265.046</v>
      </c>
      <c r="AR39" s="5">
        <f t="shared" si="22"/>
        <v>1208.1597299999999</v>
      </c>
      <c r="AS39" s="5">
        <f t="shared" si="23"/>
        <v>27473.205729999998</v>
      </c>
      <c r="AT39" s="35">
        <f t="shared" si="24"/>
        <v>908.1423032</v>
      </c>
      <c r="AU39"/>
      <c r="AV39" s="5">
        <f t="shared" si="82"/>
        <v>5561.838</v>
      </c>
      <c r="AW39" s="5">
        <f t="shared" si="25"/>
        <v>255.83768999999998</v>
      </c>
      <c r="AX39" s="5">
        <f t="shared" si="26"/>
        <v>5817.67569</v>
      </c>
      <c r="AY39" s="35">
        <f t="shared" si="27"/>
        <v>192.30654959999998</v>
      </c>
      <c r="AZ39"/>
      <c r="BA39" s="5">
        <f t="shared" si="83"/>
        <v>99171.51299999999</v>
      </c>
      <c r="BB39" s="5">
        <f t="shared" si="28"/>
        <v>4561.767315</v>
      </c>
      <c r="BC39" s="5">
        <f t="shared" si="29"/>
        <v>103733.280315</v>
      </c>
      <c r="BD39" s="35">
        <f t="shared" si="30"/>
        <v>3428.9620596</v>
      </c>
      <c r="BE39"/>
      <c r="BF39" s="36">
        <f t="shared" si="84"/>
        <v>45917.198</v>
      </c>
      <c r="BG39" s="5">
        <f t="shared" si="31"/>
        <v>2112.13449</v>
      </c>
      <c r="BH39" s="36">
        <f t="shared" si="32"/>
        <v>48029.33248999999</v>
      </c>
      <c r="BI39" s="35">
        <f t="shared" si="33"/>
        <v>1587.6366616</v>
      </c>
      <c r="BJ39"/>
      <c r="BK39" s="5">
        <f t="shared" si="85"/>
        <v>21991.076</v>
      </c>
      <c r="BL39" s="5">
        <f t="shared" si="34"/>
        <v>1011.5623800000001</v>
      </c>
      <c r="BM39" s="5">
        <f t="shared" si="35"/>
        <v>23002.63838</v>
      </c>
      <c r="BN39" s="35">
        <f t="shared" si="36"/>
        <v>760.3651792000001</v>
      </c>
      <c r="BO39"/>
      <c r="BP39" s="5">
        <f t="shared" si="37"/>
        <v>3244.811</v>
      </c>
      <c r="BQ39" s="5">
        <f t="shared" si="38"/>
        <v>149.257305</v>
      </c>
      <c r="BR39" s="5">
        <f t="shared" si="39"/>
        <v>3394.0683050000002</v>
      </c>
      <c r="BS39" s="35">
        <f t="shared" si="40"/>
        <v>112.1928412</v>
      </c>
      <c r="BT39"/>
      <c r="BU39" s="5">
        <f t="shared" si="86"/>
        <v>14386.329</v>
      </c>
      <c r="BV39" s="5">
        <f t="shared" si="41"/>
        <v>661.753395</v>
      </c>
      <c r="BW39" s="5">
        <f t="shared" si="42"/>
        <v>15048.082395</v>
      </c>
      <c r="BX39" s="35">
        <f t="shared" si="43"/>
        <v>497.4228468</v>
      </c>
      <c r="BY39"/>
      <c r="BZ39" s="5">
        <f t="shared" si="87"/>
        <v>1981.273</v>
      </c>
      <c r="CA39" s="5">
        <f t="shared" si="44"/>
        <v>91.13611499999999</v>
      </c>
      <c r="CB39" s="5">
        <f t="shared" si="45"/>
        <v>2072.409115</v>
      </c>
      <c r="CC39" s="35">
        <f t="shared" si="46"/>
        <v>68.50465159999999</v>
      </c>
      <c r="CD39"/>
      <c r="CE39" s="5">
        <f t="shared" si="88"/>
        <v>41331.804000000004</v>
      </c>
      <c r="CF39" s="5">
        <f t="shared" si="47"/>
        <v>1901.21202</v>
      </c>
      <c r="CG39" s="5">
        <f t="shared" si="48"/>
        <v>43233.01602</v>
      </c>
      <c r="CH39" s="35">
        <f t="shared" si="49"/>
        <v>1429.0917168</v>
      </c>
      <c r="CI39"/>
      <c r="CJ39" s="5">
        <f t="shared" si="89"/>
        <v>8006.191999999999</v>
      </c>
      <c r="CK39" s="5">
        <f t="shared" si="50"/>
        <v>368.27495999999996</v>
      </c>
      <c r="CL39" s="5">
        <f t="shared" si="51"/>
        <v>8374.46696</v>
      </c>
      <c r="CM39" s="35">
        <f t="shared" si="52"/>
        <v>276.82272639999996</v>
      </c>
      <c r="CN39"/>
      <c r="CO39" s="5">
        <f t="shared" si="90"/>
        <v>10592.471</v>
      </c>
      <c r="CP39" s="5">
        <f t="shared" si="53"/>
        <v>487.24060499999996</v>
      </c>
      <c r="CQ39" s="36">
        <f t="shared" si="54"/>
        <v>11079.711605</v>
      </c>
      <c r="CR39" s="35">
        <f t="shared" si="55"/>
        <v>366.24611319999997</v>
      </c>
      <c r="CS39"/>
      <c r="CT39" s="5">
        <f t="shared" si="91"/>
        <v>34433.438</v>
      </c>
      <c r="CU39" s="5">
        <f t="shared" si="56"/>
        <v>1583.89569</v>
      </c>
      <c r="CV39" s="36">
        <f t="shared" si="57"/>
        <v>36017.33369</v>
      </c>
      <c r="CW39" s="35">
        <f t="shared" si="58"/>
        <v>1190.5732696</v>
      </c>
      <c r="CY39" s="5">
        <f t="shared" si="92"/>
        <v>20243.371</v>
      </c>
      <c r="CZ39" s="5">
        <f t="shared" si="59"/>
        <v>931.1701049999999</v>
      </c>
      <c r="DA39" s="5">
        <f t="shared" si="60"/>
        <v>21174.541105</v>
      </c>
      <c r="DB39" s="35">
        <f t="shared" si="61"/>
        <v>699.9363932</v>
      </c>
      <c r="DD39" s="5">
        <f t="shared" si="93"/>
        <v>22851.547</v>
      </c>
      <c r="DE39" s="5">
        <f t="shared" si="62"/>
        <v>1051.142985</v>
      </c>
      <c r="DF39" s="5">
        <f t="shared" si="63"/>
        <v>23902.689984999997</v>
      </c>
      <c r="DG39" s="35">
        <f t="shared" si="64"/>
        <v>790.1168924</v>
      </c>
      <c r="DI39" s="5">
        <f t="shared" si="94"/>
        <v>264574.963</v>
      </c>
      <c r="DJ39" s="5">
        <f t="shared" si="65"/>
        <v>12170.122065</v>
      </c>
      <c r="DK39" s="5">
        <f t="shared" si="66"/>
        <v>276745.085065</v>
      </c>
      <c r="DL39" s="35">
        <f t="shared" si="67"/>
        <v>9147.9647996</v>
      </c>
      <c r="DN39" s="5">
        <f t="shared" si="95"/>
        <v>9741.732</v>
      </c>
      <c r="DO39" s="5">
        <f t="shared" si="68"/>
        <v>448.10765999999995</v>
      </c>
      <c r="DP39" s="36">
        <f t="shared" si="69"/>
        <v>10189.83966</v>
      </c>
      <c r="DQ39" s="35">
        <f t="shared" si="70"/>
        <v>336.8308944</v>
      </c>
      <c r="DS39" s="5">
        <f t="shared" si="96"/>
        <v>8623.363000000001</v>
      </c>
      <c r="DT39" s="36">
        <f t="shared" si="71"/>
        <v>396.66406500000005</v>
      </c>
      <c r="DU39" s="36">
        <f t="shared" si="72"/>
        <v>9020.027065000002</v>
      </c>
      <c r="DV39" s="35">
        <f t="shared" si="73"/>
        <v>298.1620796</v>
      </c>
    </row>
    <row r="40" spans="1:126" ht="12">
      <c r="A40" s="37">
        <v>11232</v>
      </c>
      <c r="D40" s="3">
        <v>170300</v>
      </c>
      <c r="E40" s="35">
        <f t="shared" si="0"/>
        <v>170300</v>
      </c>
      <c r="F40" s="35">
        <f>'2011A'!F40</f>
        <v>280412</v>
      </c>
      <c r="H40" s="47"/>
      <c r="I40" s="36">
        <f t="shared" si="1"/>
        <v>25667.956599999998</v>
      </c>
      <c r="J40" s="36">
        <f t="shared" si="2"/>
        <v>25667.956599999998</v>
      </c>
      <c r="K40" s="36">
        <f t="shared" si="3"/>
        <v>42264.25746400001</v>
      </c>
      <c r="L40"/>
      <c r="N40" s="5">
        <f t="shared" si="4"/>
        <v>10670.044319999999</v>
      </c>
      <c r="O40" s="5">
        <f t="shared" si="5"/>
        <v>10670.044319999999</v>
      </c>
      <c r="P40" s="35">
        <f t="shared" si="6"/>
        <v>17569.0456128</v>
      </c>
      <c r="Q40"/>
      <c r="S40" s="36">
        <f t="shared" si="7"/>
        <v>4.7173099999999994</v>
      </c>
      <c r="T40" s="36">
        <f t="shared" si="8"/>
        <v>4.7173099999999994</v>
      </c>
      <c r="U40" s="35">
        <f t="shared" si="9"/>
        <v>7.7674123999999996</v>
      </c>
      <c r="V40"/>
      <c r="X40" s="5">
        <f t="shared" si="10"/>
        <v>211.22308999999998</v>
      </c>
      <c r="Y40" s="5">
        <f t="shared" si="97"/>
        <v>211.22308999999998</v>
      </c>
      <c r="Z40" s="35">
        <f t="shared" si="12"/>
        <v>347.7950036</v>
      </c>
      <c r="AA40"/>
      <c r="AC40" s="5">
        <f t="shared" si="13"/>
        <v>127.19707</v>
      </c>
      <c r="AD40" s="5">
        <f t="shared" si="14"/>
        <v>127.19707</v>
      </c>
      <c r="AE40" s="35">
        <f t="shared" si="15"/>
        <v>209.4397228</v>
      </c>
      <c r="AF40"/>
      <c r="AH40" s="5">
        <f t="shared" si="16"/>
        <v>945.3353000000001</v>
      </c>
      <c r="AI40" s="5">
        <f t="shared" si="17"/>
        <v>945.3353000000001</v>
      </c>
      <c r="AJ40" s="35">
        <f t="shared" si="18"/>
        <v>1556.5670120000002</v>
      </c>
      <c r="AK40"/>
      <c r="AM40" s="5">
        <f t="shared" si="19"/>
        <v>292.95006</v>
      </c>
      <c r="AN40" s="5">
        <f t="shared" si="20"/>
        <v>292.95006</v>
      </c>
      <c r="AO40" s="35">
        <f t="shared" si="21"/>
        <v>482.3647224</v>
      </c>
      <c r="AP40"/>
      <c r="AR40" s="5">
        <f t="shared" si="22"/>
        <v>551.53358</v>
      </c>
      <c r="AS40" s="5">
        <f t="shared" si="23"/>
        <v>551.53358</v>
      </c>
      <c r="AT40" s="35">
        <f t="shared" si="24"/>
        <v>908.1423032</v>
      </c>
      <c r="AU40"/>
      <c r="AW40" s="5">
        <f t="shared" si="25"/>
        <v>116.79173999999999</v>
      </c>
      <c r="AX40" s="5">
        <f t="shared" si="26"/>
        <v>116.79173999999999</v>
      </c>
      <c r="AY40" s="35">
        <f t="shared" si="27"/>
        <v>192.30654959999998</v>
      </c>
      <c r="AZ40"/>
      <c r="BB40" s="5">
        <f t="shared" si="28"/>
        <v>2082.4794899999997</v>
      </c>
      <c r="BC40" s="5">
        <f t="shared" si="29"/>
        <v>2082.4794899999997</v>
      </c>
      <c r="BD40" s="35">
        <f t="shared" si="30"/>
        <v>3428.9620596</v>
      </c>
      <c r="BE40"/>
      <c r="BF40" s="36"/>
      <c r="BG40" s="5">
        <f t="shared" si="31"/>
        <v>964.20454</v>
      </c>
      <c r="BH40" s="36">
        <f t="shared" si="32"/>
        <v>964.20454</v>
      </c>
      <c r="BI40" s="35">
        <f t="shared" si="33"/>
        <v>1587.6366616</v>
      </c>
      <c r="BJ40"/>
      <c r="BL40" s="5">
        <f t="shared" si="34"/>
        <v>461.78548000000006</v>
      </c>
      <c r="BM40" s="5">
        <f t="shared" si="35"/>
        <v>461.78548000000006</v>
      </c>
      <c r="BN40" s="35">
        <f t="shared" si="36"/>
        <v>760.3651792000001</v>
      </c>
      <c r="BO40"/>
      <c r="BP40" s="5">
        <f t="shared" si="37"/>
        <v>0</v>
      </c>
      <c r="BQ40" s="5">
        <f t="shared" si="38"/>
        <v>68.13703000000001</v>
      </c>
      <c r="BR40" s="5">
        <f t="shared" si="39"/>
        <v>68.13703000000001</v>
      </c>
      <c r="BS40" s="35">
        <f t="shared" si="40"/>
        <v>112.1928412</v>
      </c>
      <c r="BT40"/>
      <c r="BV40" s="5">
        <f t="shared" si="41"/>
        <v>302.09517</v>
      </c>
      <c r="BW40" s="5">
        <f t="shared" si="42"/>
        <v>302.09517</v>
      </c>
      <c r="BX40" s="35">
        <f t="shared" si="43"/>
        <v>497.4228468</v>
      </c>
      <c r="BY40"/>
      <c r="CA40" s="5">
        <f t="shared" si="44"/>
        <v>41.60429</v>
      </c>
      <c r="CB40" s="5">
        <f t="shared" si="45"/>
        <v>41.60429</v>
      </c>
      <c r="CC40" s="35">
        <f t="shared" si="46"/>
        <v>68.50465159999999</v>
      </c>
      <c r="CD40"/>
      <c r="CF40" s="5">
        <f t="shared" si="47"/>
        <v>867.91692</v>
      </c>
      <c r="CG40" s="5">
        <f t="shared" si="48"/>
        <v>867.91692</v>
      </c>
      <c r="CH40" s="35">
        <f t="shared" si="49"/>
        <v>1429.0917168</v>
      </c>
      <c r="CI40"/>
      <c r="CK40" s="5">
        <f t="shared" si="50"/>
        <v>168.12016</v>
      </c>
      <c r="CL40" s="5">
        <f t="shared" si="51"/>
        <v>168.12016</v>
      </c>
      <c r="CM40" s="35">
        <f t="shared" si="52"/>
        <v>276.82272639999996</v>
      </c>
      <c r="CN40"/>
      <c r="CP40" s="5">
        <f t="shared" si="53"/>
        <v>222.42882999999998</v>
      </c>
      <c r="CQ40" s="36">
        <f t="shared" si="54"/>
        <v>222.42882999999998</v>
      </c>
      <c r="CR40" s="35">
        <f t="shared" si="55"/>
        <v>366.24611319999997</v>
      </c>
      <c r="CS40"/>
      <c r="CU40" s="5">
        <f t="shared" si="56"/>
        <v>723.05974</v>
      </c>
      <c r="CV40" s="36">
        <f t="shared" si="57"/>
        <v>723.05974</v>
      </c>
      <c r="CW40" s="35">
        <f t="shared" si="58"/>
        <v>1190.5732696</v>
      </c>
      <c r="CZ40" s="5">
        <f t="shared" si="59"/>
        <v>425.08583</v>
      </c>
      <c r="DA40" s="5">
        <f t="shared" si="60"/>
        <v>425.08583</v>
      </c>
      <c r="DB40" s="35">
        <f t="shared" si="61"/>
        <v>699.9363932</v>
      </c>
      <c r="DE40" s="5">
        <f t="shared" si="62"/>
        <v>479.85430999999994</v>
      </c>
      <c r="DF40" s="5">
        <f t="shared" si="63"/>
        <v>479.85430999999994</v>
      </c>
      <c r="DG40" s="35">
        <f t="shared" si="64"/>
        <v>790.1168924</v>
      </c>
      <c r="DJ40" s="5">
        <f t="shared" si="65"/>
        <v>5555.74799</v>
      </c>
      <c r="DK40" s="5">
        <f t="shared" si="66"/>
        <v>5555.74799</v>
      </c>
      <c r="DL40" s="35">
        <f t="shared" si="67"/>
        <v>9147.9647996</v>
      </c>
      <c r="DO40" s="5">
        <f t="shared" si="68"/>
        <v>204.56436</v>
      </c>
      <c r="DP40" s="36">
        <f t="shared" si="69"/>
        <v>204.56436</v>
      </c>
      <c r="DQ40" s="35">
        <f t="shared" si="70"/>
        <v>336.8308944</v>
      </c>
      <c r="DT40" s="36">
        <f t="shared" si="71"/>
        <v>181.07999</v>
      </c>
      <c r="DU40" s="36">
        <f t="shared" si="72"/>
        <v>181.07999</v>
      </c>
      <c r="DV40" s="35">
        <f t="shared" si="73"/>
        <v>298.1620796</v>
      </c>
    </row>
    <row r="41" spans="1:126" ht="12">
      <c r="A41" s="37">
        <v>11414</v>
      </c>
      <c r="C41" s="3">
        <v>8515000</v>
      </c>
      <c r="D41" s="3">
        <v>170300</v>
      </c>
      <c r="E41" s="35">
        <f t="shared" si="0"/>
        <v>8685300</v>
      </c>
      <c r="F41" s="35">
        <f>'2011A'!F41</f>
        <v>280412</v>
      </c>
      <c r="H41" s="47">
        <f t="shared" si="74"/>
        <v>1283397.8299999998</v>
      </c>
      <c r="I41" s="36">
        <f t="shared" si="1"/>
        <v>25667.956599999998</v>
      </c>
      <c r="J41" s="36">
        <f t="shared" si="2"/>
        <v>1309065.7865999998</v>
      </c>
      <c r="K41" s="36">
        <f t="shared" si="3"/>
        <v>42264.25746400001</v>
      </c>
      <c r="L41"/>
      <c r="M41" s="5">
        <f t="shared" si="75"/>
        <v>533502.216</v>
      </c>
      <c r="N41" s="5">
        <f t="shared" si="4"/>
        <v>10670.044319999999</v>
      </c>
      <c r="O41" s="5">
        <f t="shared" si="5"/>
        <v>544172.26032</v>
      </c>
      <c r="P41" s="35">
        <f t="shared" si="6"/>
        <v>17569.0456128</v>
      </c>
      <c r="Q41"/>
      <c r="R41" s="5">
        <f t="shared" si="76"/>
        <v>235.8655</v>
      </c>
      <c r="S41" s="36">
        <f t="shared" si="7"/>
        <v>4.7173099999999994</v>
      </c>
      <c r="T41" s="36">
        <f t="shared" si="8"/>
        <v>240.58281</v>
      </c>
      <c r="U41" s="35">
        <f t="shared" si="9"/>
        <v>7.7674123999999996</v>
      </c>
      <c r="V41"/>
      <c r="W41" s="5">
        <f t="shared" si="77"/>
        <v>10561.154499999999</v>
      </c>
      <c r="X41" s="5">
        <f t="shared" si="10"/>
        <v>211.22308999999998</v>
      </c>
      <c r="Y41" s="5">
        <f t="shared" si="97"/>
        <v>10772.377589999998</v>
      </c>
      <c r="Z41" s="35">
        <f t="shared" si="12"/>
        <v>347.7950036</v>
      </c>
      <c r="AA41"/>
      <c r="AB41" s="5">
        <f t="shared" si="78"/>
        <v>6359.8535</v>
      </c>
      <c r="AC41" s="5">
        <f t="shared" si="13"/>
        <v>127.19707</v>
      </c>
      <c r="AD41" s="5">
        <f t="shared" si="14"/>
        <v>6487.05057</v>
      </c>
      <c r="AE41" s="35">
        <f t="shared" si="15"/>
        <v>209.4397228</v>
      </c>
      <c r="AF41"/>
      <c r="AG41" s="5">
        <f t="shared" si="79"/>
        <v>47266.76500000001</v>
      </c>
      <c r="AH41" s="5">
        <f t="shared" si="16"/>
        <v>945.3353000000001</v>
      </c>
      <c r="AI41" s="5">
        <f t="shared" si="17"/>
        <v>48212.100300000006</v>
      </c>
      <c r="AJ41" s="35">
        <f t="shared" si="18"/>
        <v>1556.5670120000002</v>
      </c>
      <c r="AK41"/>
      <c r="AL41" s="5">
        <f t="shared" si="80"/>
        <v>14647.503</v>
      </c>
      <c r="AM41" s="5">
        <f t="shared" si="19"/>
        <v>292.95006</v>
      </c>
      <c r="AN41" s="5">
        <f t="shared" si="20"/>
        <v>14940.45306</v>
      </c>
      <c r="AO41" s="35">
        <f t="shared" si="21"/>
        <v>482.3647224</v>
      </c>
      <c r="AP41"/>
      <c r="AQ41" s="5">
        <f t="shared" si="81"/>
        <v>27576.679</v>
      </c>
      <c r="AR41" s="5">
        <f t="shared" si="22"/>
        <v>551.53358</v>
      </c>
      <c r="AS41" s="5">
        <f t="shared" si="23"/>
        <v>28128.21258</v>
      </c>
      <c r="AT41" s="35">
        <f t="shared" si="24"/>
        <v>908.1423032</v>
      </c>
      <c r="AU41"/>
      <c r="AV41" s="5">
        <f t="shared" si="82"/>
        <v>5839.5869999999995</v>
      </c>
      <c r="AW41" s="5">
        <f t="shared" si="25"/>
        <v>116.79173999999999</v>
      </c>
      <c r="AX41" s="5">
        <f t="shared" si="26"/>
        <v>5956.378739999999</v>
      </c>
      <c r="AY41" s="35">
        <f t="shared" si="27"/>
        <v>192.30654959999998</v>
      </c>
      <c r="AZ41"/>
      <c r="BA41" s="5">
        <f t="shared" si="83"/>
        <v>104123.9745</v>
      </c>
      <c r="BB41" s="5">
        <f t="shared" si="28"/>
        <v>2082.4794899999997</v>
      </c>
      <c r="BC41" s="5">
        <f t="shared" si="29"/>
        <v>106206.45399</v>
      </c>
      <c r="BD41" s="35">
        <f t="shared" si="30"/>
        <v>3428.9620596</v>
      </c>
      <c r="BE41"/>
      <c r="BF41" s="36">
        <f t="shared" si="84"/>
        <v>48210.227</v>
      </c>
      <c r="BG41" s="5">
        <f t="shared" si="31"/>
        <v>964.20454</v>
      </c>
      <c r="BH41" s="36">
        <f t="shared" si="32"/>
        <v>49174.43154</v>
      </c>
      <c r="BI41" s="35">
        <f t="shared" si="33"/>
        <v>1587.6366616</v>
      </c>
      <c r="BJ41"/>
      <c r="BK41" s="5">
        <f t="shared" si="85"/>
        <v>23089.274</v>
      </c>
      <c r="BL41" s="5">
        <f t="shared" si="34"/>
        <v>461.78548000000006</v>
      </c>
      <c r="BM41" s="5">
        <f t="shared" si="35"/>
        <v>23551.05948</v>
      </c>
      <c r="BN41" s="35">
        <f t="shared" si="36"/>
        <v>760.3651792000001</v>
      </c>
      <c r="BO41"/>
      <c r="BP41" s="5">
        <f t="shared" si="37"/>
        <v>3406.8515</v>
      </c>
      <c r="BQ41" s="5">
        <f t="shared" si="38"/>
        <v>68.13703000000001</v>
      </c>
      <c r="BR41" s="5">
        <f t="shared" si="39"/>
        <v>3474.98853</v>
      </c>
      <c r="BS41" s="35">
        <f t="shared" si="40"/>
        <v>112.1928412</v>
      </c>
      <c r="BT41"/>
      <c r="BU41" s="5">
        <f t="shared" si="86"/>
        <v>15104.7585</v>
      </c>
      <c r="BV41" s="5">
        <f t="shared" si="41"/>
        <v>302.09517</v>
      </c>
      <c r="BW41" s="5">
        <f t="shared" si="42"/>
        <v>15406.85367</v>
      </c>
      <c r="BX41" s="35">
        <f t="shared" si="43"/>
        <v>497.4228468</v>
      </c>
      <c r="BY41"/>
      <c r="BZ41" s="5">
        <f t="shared" si="87"/>
        <v>2080.2144999999996</v>
      </c>
      <c r="CA41" s="5">
        <f t="shared" si="44"/>
        <v>41.60429</v>
      </c>
      <c r="CB41" s="5">
        <f t="shared" si="45"/>
        <v>2121.81879</v>
      </c>
      <c r="CC41" s="35">
        <f t="shared" si="46"/>
        <v>68.50465159999999</v>
      </c>
      <c r="CD41"/>
      <c r="CE41" s="5">
        <f t="shared" si="88"/>
        <v>43395.846</v>
      </c>
      <c r="CF41" s="5">
        <f t="shared" si="47"/>
        <v>867.91692</v>
      </c>
      <c r="CG41" s="5">
        <f t="shared" si="48"/>
        <v>44263.76292</v>
      </c>
      <c r="CH41" s="35">
        <f t="shared" si="49"/>
        <v>1429.0917168</v>
      </c>
      <c r="CI41"/>
      <c r="CJ41" s="5">
        <f t="shared" si="89"/>
        <v>8406.008</v>
      </c>
      <c r="CK41" s="5">
        <f t="shared" si="50"/>
        <v>168.12016</v>
      </c>
      <c r="CL41" s="5">
        <f t="shared" si="51"/>
        <v>8574.12816</v>
      </c>
      <c r="CM41" s="35">
        <f t="shared" si="52"/>
        <v>276.82272639999996</v>
      </c>
      <c r="CN41"/>
      <c r="CO41" s="5">
        <f t="shared" si="90"/>
        <v>11121.441499999999</v>
      </c>
      <c r="CP41" s="5">
        <f t="shared" si="53"/>
        <v>222.42882999999998</v>
      </c>
      <c r="CQ41" s="36">
        <f t="shared" si="54"/>
        <v>11343.87033</v>
      </c>
      <c r="CR41" s="35">
        <f t="shared" si="55"/>
        <v>366.24611319999997</v>
      </c>
      <c r="CS41"/>
      <c r="CT41" s="5">
        <f t="shared" si="91"/>
        <v>36152.987</v>
      </c>
      <c r="CU41" s="5">
        <f t="shared" si="56"/>
        <v>723.05974</v>
      </c>
      <c r="CV41" s="36">
        <f t="shared" si="57"/>
        <v>36876.04674</v>
      </c>
      <c r="CW41" s="35">
        <f t="shared" si="58"/>
        <v>1190.5732696</v>
      </c>
      <c r="CY41" s="5">
        <f t="shared" si="92"/>
        <v>21254.2915</v>
      </c>
      <c r="CZ41" s="5">
        <f t="shared" si="59"/>
        <v>425.08583</v>
      </c>
      <c r="DA41" s="5">
        <f t="shared" si="60"/>
        <v>21679.37733</v>
      </c>
      <c r="DB41" s="35">
        <f t="shared" si="61"/>
        <v>699.9363932</v>
      </c>
      <c r="DD41" s="5">
        <f t="shared" si="93"/>
        <v>23992.7155</v>
      </c>
      <c r="DE41" s="5">
        <f t="shared" si="62"/>
        <v>479.85430999999994</v>
      </c>
      <c r="DF41" s="5">
        <f t="shared" si="63"/>
        <v>24472.569809999997</v>
      </c>
      <c r="DG41" s="35">
        <f t="shared" si="64"/>
        <v>790.1168924</v>
      </c>
      <c r="DI41" s="5">
        <f t="shared" si="94"/>
        <v>277787.3995</v>
      </c>
      <c r="DJ41" s="5">
        <f t="shared" si="65"/>
        <v>5555.74799</v>
      </c>
      <c r="DK41" s="5">
        <f t="shared" si="66"/>
        <v>283343.14749</v>
      </c>
      <c r="DL41" s="35">
        <f t="shared" si="67"/>
        <v>9147.9647996</v>
      </c>
      <c r="DN41" s="5">
        <f t="shared" si="95"/>
        <v>10228.217999999999</v>
      </c>
      <c r="DO41" s="5">
        <f t="shared" si="68"/>
        <v>204.56436</v>
      </c>
      <c r="DP41" s="36">
        <f t="shared" si="69"/>
        <v>10432.78236</v>
      </c>
      <c r="DQ41" s="35">
        <f t="shared" si="70"/>
        <v>336.8308944</v>
      </c>
      <c r="DS41" s="5">
        <f t="shared" si="96"/>
        <v>9053.999500000002</v>
      </c>
      <c r="DT41" s="36">
        <f t="shared" si="71"/>
        <v>181.07999</v>
      </c>
      <c r="DU41" s="36">
        <f t="shared" si="72"/>
        <v>9235.079490000002</v>
      </c>
      <c r="DV41" s="35">
        <f t="shared" si="73"/>
        <v>298.1620796</v>
      </c>
    </row>
    <row r="42" spans="2:126" ht="12">
      <c r="B42" s="34"/>
      <c r="C42" s="35"/>
      <c r="D42" s="35"/>
      <c r="E42" s="35"/>
      <c r="F42" s="35"/>
      <c r="H42"/>
      <c r="I42"/>
      <c r="J42"/>
      <c r="K42" s="35"/>
      <c r="L42"/>
      <c r="M42"/>
      <c r="N42"/>
      <c r="O42"/>
      <c r="P42" s="35"/>
      <c r="Q42"/>
      <c r="R42"/>
      <c r="S42"/>
      <c r="T42"/>
      <c r="U42" s="35"/>
      <c r="V42"/>
      <c r="W42"/>
      <c r="X42"/>
      <c r="Y42"/>
      <c r="Z42" s="35"/>
      <c r="AA42"/>
      <c r="AB42"/>
      <c r="AC42"/>
      <c r="AD42"/>
      <c r="AE42" s="35"/>
      <c r="AF42"/>
      <c r="AG42"/>
      <c r="AH42"/>
      <c r="AI42"/>
      <c r="AJ42" s="35"/>
      <c r="AK42"/>
      <c r="AL42"/>
      <c r="AM42"/>
      <c r="AO42" s="35"/>
      <c r="AP42"/>
      <c r="AQ42"/>
      <c r="AR42"/>
      <c r="AS42"/>
      <c r="AT42" s="35"/>
      <c r="AU42"/>
      <c r="AV42"/>
      <c r="AW42"/>
      <c r="AX42"/>
      <c r="AY42" s="35"/>
      <c r="AZ42"/>
      <c r="BA42"/>
      <c r="BB42"/>
      <c r="BC42"/>
      <c r="BD42" s="35"/>
      <c r="BE42"/>
      <c r="BF42"/>
      <c r="BG42"/>
      <c r="BH42"/>
      <c r="BI42" s="35"/>
      <c r="BJ42"/>
      <c r="BK42"/>
      <c r="BL42"/>
      <c r="BM42"/>
      <c r="BN42" s="35"/>
      <c r="BO42"/>
      <c r="BP42"/>
      <c r="BQ42"/>
      <c r="BR42"/>
      <c r="BS42" s="35"/>
      <c r="BT42"/>
      <c r="BU42"/>
      <c r="BV42"/>
      <c r="BW42"/>
      <c r="BX42" s="35"/>
      <c r="BY42"/>
      <c r="BZ42"/>
      <c r="CA42"/>
      <c r="CB42"/>
      <c r="CC42" s="35"/>
      <c r="CD42"/>
      <c r="CE42"/>
      <c r="CF42"/>
      <c r="CG42"/>
      <c r="CH42" s="35"/>
      <c r="CI42"/>
      <c r="CJ42"/>
      <c r="CK42"/>
      <c r="CL42"/>
      <c r="CM42" s="35"/>
      <c r="CN42"/>
      <c r="CO42"/>
      <c r="CP42"/>
      <c r="CR42" s="35"/>
      <c r="CS42"/>
      <c r="CT42"/>
      <c r="CU42"/>
      <c r="CW42" s="35"/>
      <c r="DB42" s="35"/>
      <c r="DG42" s="35"/>
      <c r="DL42" s="35"/>
      <c r="DQ42" s="35"/>
      <c r="DV42" s="35"/>
    </row>
    <row r="43" spans="1:126" ht="12.75" thickBot="1">
      <c r="A43" s="39" t="s">
        <v>16</v>
      </c>
      <c r="C43" s="40">
        <f>SUM(C8:C42)</f>
        <v>103215000</v>
      </c>
      <c r="D43" s="40">
        <f>SUM(D8:D42)</f>
        <v>47301250</v>
      </c>
      <c r="E43" s="40">
        <f>SUM(E8:E42)</f>
        <v>150516250</v>
      </c>
      <c r="F43" s="40">
        <f>SUM(F8:F42)</f>
        <v>9534008</v>
      </c>
      <c r="H43" s="40">
        <f>SUM(H8:H42)</f>
        <v>15556771.23</v>
      </c>
      <c r="I43" s="40">
        <f>SUM(I8:I42)</f>
        <v>7129339.002500002</v>
      </c>
      <c r="J43" s="40">
        <f>SUM(J8:J42)</f>
        <v>22686110.2325</v>
      </c>
      <c r="K43" s="40">
        <f>SUM(K8:K42)</f>
        <v>1436984.7537760006</v>
      </c>
      <c r="M43" s="40">
        <f>SUM(M8:M42)</f>
        <v>6466873.896000002</v>
      </c>
      <c r="N43" s="40">
        <f>SUM(N8:N42)</f>
        <v>2963631.4379999996</v>
      </c>
      <c r="O43" s="40">
        <f>SUM(O8:O42)</f>
        <v>9430505.333999999</v>
      </c>
      <c r="P43" s="40">
        <f>SUM(P8:P42)</f>
        <v>597347.5508352001</v>
      </c>
      <c r="R43" s="40">
        <f>SUM(R8:R42)</f>
        <v>2859.0555</v>
      </c>
      <c r="S43" s="40">
        <f>SUM(S8:S42)</f>
        <v>1310.2446249999998</v>
      </c>
      <c r="T43" s="40">
        <f>SUM(T8:T42)</f>
        <v>4169.300125</v>
      </c>
      <c r="U43" s="40">
        <f>SUM(U8:U42)</f>
        <v>264.0920216000002</v>
      </c>
      <c r="W43" s="40">
        <f>SUM(W8:W42)</f>
        <v>128017.56450000001</v>
      </c>
      <c r="X43" s="40">
        <f>SUM(X8:X42)</f>
        <v>58667.74037500004</v>
      </c>
      <c r="Y43" s="40">
        <f>SUM(Y8:Y42)</f>
        <v>186685.30487500003</v>
      </c>
      <c r="Z43" s="40">
        <f>SUM(Z8:Z42)</f>
        <v>11825.030122400005</v>
      </c>
      <c r="AB43" s="40">
        <f>SUM(AB8:AB42)</f>
        <v>77091.28349999999</v>
      </c>
      <c r="AC43" s="40">
        <f>SUM(AC8:AC42)</f>
        <v>35329.30362499999</v>
      </c>
      <c r="AD43" s="40">
        <f>SUM(AD8:AD42)</f>
        <v>112420.58712500002</v>
      </c>
      <c r="AE43" s="40">
        <f>SUM(AE8:AE42)</f>
        <v>7120.950575199995</v>
      </c>
      <c r="AG43" s="40">
        <f>SUM(AG8:AG42)</f>
        <v>572946.465</v>
      </c>
      <c r="AH43" s="40">
        <f>SUM(AH8:AH42)</f>
        <v>262569.23875</v>
      </c>
      <c r="AI43" s="40">
        <f>SUM(AI8:AI42)</f>
        <v>835515.7037500002</v>
      </c>
      <c r="AJ43" s="40">
        <f>SUM(AJ8:AJ42)</f>
        <v>52923.27840799999</v>
      </c>
      <c r="AL43" s="40">
        <f>SUM(AL8:AL42)</f>
        <v>177550.443</v>
      </c>
      <c r="AM43" s="40">
        <f>SUM(AM8:AM42)</f>
        <v>81367.61025000001</v>
      </c>
      <c r="AN43" s="40">
        <f>SUM(AN8:AN42)</f>
        <v>258918.05325</v>
      </c>
      <c r="AO43" s="40">
        <f>SUM(AO8:AO42)</f>
        <v>16400.400561599992</v>
      </c>
      <c r="AQ43" s="40">
        <f>SUM(AQ8:AQ42)</f>
        <v>334272.099</v>
      </c>
      <c r="AR43" s="40">
        <f>SUM(AR8:AR42)</f>
        <v>153189.82825000002</v>
      </c>
      <c r="AS43" s="40">
        <f>SUM(AS8:AS42)</f>
        <v>487461.9272499999</v>
      </c>
      <c r="AT43" s="40">
        <f>SUM(AT8:AT42)</f>
        <v>30876.83830879998</v>
      </c>
      <c r="AV43" s="40">
        <f>SUM(AV8:AV42)</f>
        <v>70784.847</v>
      </c>
      <c r="AW43" s="40">
        <f>SUM(AW8:AW42)</f>
        <v>32439.197249999997</v>
      </c>
      <c r="AX43" s="40">
        <f>SUM(AX8:AX42)</f>
        <v>103224.04424999999</v>
      </c>
      <c r="AY43" s="40">
        <f>SUM(AY8:AY42)</f>
        <v>6538.422686399998</v>
      </c>
      <c r="BA43" s="40">
        <f>SUM(BA8:BA42)</f>
        <v>1262143.9845</v>
      </c>
      <c r="BB43" s="40">
        <f>SUM(BB8:BB42)</f>
        <v>578413.8753749997</v>
      </c>
      <c r="BC43" s="40">
        <f>SUM(BC8:BC42)</f>
        <v>1840557.859875</v>
      </c>
      <c r="BD43" s="40">
        <f>SUM(BD8:BD42)</f>
        <v>116584.71002640005</v>
      </c>
      <c r="BF43" s="40">
        <f>SUM(BF8:BF42)</f>
        <v>584382.6869999999</v>
      </c>
      <c r="BG43" s="40">
        <f>SUM(BG8:BG42)</f>
        <v>267810.2172500001</v>
      </c>
      <c r="BH43" s="40">
        <f>SUM(BH8:BH42)</f>
        <v>852192.9042499999</v>
      </c>
      <c r="BI43" s="40">
        <f>SUM(BI8:BI42)</f>
        <v>53979.646494400025</v>
      </c>
      <c r="BK43" s="40">
        <f>SUM(BK8:BK42)</f>
        <v>279877.794</v>
      </c>
      <c r="BL43" s="40">
        <f>SUM(BL8:BL42)</f>
        <v>128262.06950000004</v>
      </c>
      <c r="BM43" s="40">
        <f>SUM(BM8:BM42)</f>
        <v>408139.8635000001</v>
      </c>
      <c r="BN43" s="40">
        <f>SUM(BN8:BN42)</f>
        <v>25852.41609280002</v>
      </c>
      <c r="BP43" s="40">
        <f>SUM(BP8:BP42)</f>
        <v>41296.32149999999</v>
      </c>
      <c r="BQ43" s="40">
        <f>SUM(BQ8:BQ42)</f>
        <v>18925.230125000002</v>
      </c>
      <c r="BR43" s="40">
        <f>SUM(BR8:BR42)</f>
        <v>60221.551625000015</v>
      </c>
      <c r="BS43" s="40">
        <f>SUM(BS8:BS42)</f>
        <v>3814.556600800003</v>
      </c>
      <c r="BU43" s="40">
        <f>SUM(BU8:BU42)</f>
        <v>183093.0885</v>
      </c>
      <c r="BV43" s="40">
        <f>SUM(BV8:BV42)</f>
        <v>83907.68737500002</v>
      </c>
      <c r="BW43" s="40">
        <f>SUM(BW8:BW42)</f>
        <v>267000.775875</v>
      </c>
      <c r="BX43" s="40">
        <f>SUM(BX8:BX42)</f>
        <v>16912.3767912</v>
      </c>
      <c r="BZ43" s="40">
        <f>SUM(BZ8:BZ42)</f>
        <v>25215.424499999997</v>
      </c>
      <c r="CA43" s="40">
        <f>SUM(CA8:CA42)</f>
        <v>11555.695374999996</v>
      </c>
      <c r="CB43" s="40">
        <f>SUM(CB8:CB42)</f>
        <v>36771.119875</v>
      </c>
      <c r="CC43" s="40">
        <f>SUM(CC8:CC42)</f>
        <v>2329.1581544</v>
      </c>
      <c r="CE43" s="40">
        <f>SUM(CE8:CE42)</f>
        <v>526024.9260000001</v>
      </c>
      <c r="CF43" s="40">
        <f>SUM(CF8:CF42)</f>
        <v>241066.0905</v>
      </c>
      <c r="CG43" s="40">
        <f>SUM(CG8:CG42)</f>
        <v>767091.0164999999</v>
      </c>
      <c r="CH43" s="40">
        <f>SUM(CH8:CH42)</f>
        <v>48589.11837120003</v>
      </c>
      <c r="CJ43" s="40">
        <f>SUM(CJ8:CJ42)</f>
        <v>101893.848</v>
      </c>
      <c r="CK43" s="40">
        <f>SUM(CK8:CK42)</f>
        <v>46695.79400000001</v>
      </c>
      <c r="CL43" s="40">
        <f>SUM(CL8:CL42)</f>
        <v>148589.642</v>
      </c>
      <c r="CM43" s="40">
        <f>SUM(CM8:CM42)</f>
        <v>9411.972697599993</v>
      </c>
      <c r="CO43" s="40">
        <f>SUM(CO8:CO42)</f>
        <v>134809.11149999997</v>
      </c>
      <c r="CP43" s="40">
        <f>SUM(CP8:CP42)</f>
        <v>61780.16262499998</v>
      </c>
      <c r="CQ43" s="40">
        <f>SUM(CQ8:CQ42)</f>
        <v>196589.27412499997</v>
      </c>
      <c r="CR43" s="40">
        <f>SUM(CR8:CR42)</f>
        <v>12452.367848800006</v>
      </c>
      <c r="CT43" s="40">
        <f>SUM(CT8:CT42)</f>
        <v>438230.24700000003</v>
      </c>
      <c r="CU43" s="40">
        <f>SUM(CU8:CU42)</f>
        <v>200831.64725</v>
      </c>
      <c r="CV43" s="40">
        <f>SUM(CV8:CV42)</f>
        <v>639061.89425</v>
      </c>
      <c r="CW43" s="40">
        <f>SUM(CW8:CW42)</f>
        <v>40479.4911664</v>
      </c>
      <c r="CY43" s="40">
        <f>SUM(CY8:CY42)</f>
        <v>257634.96149999998</v>
      </c>
      <c r="CZ43" s="40">
        <f>SUM(CZ8:CZ42)</f>
        <v>118068.65012499999</v>
      </c>
      <c r="DA43" s="40">
        <f>SUM(DA8:DA42)</f>
        <v>375703.611625</v>
      </c>
      <c r="DB43" s="40">
        <f>SUM(DB8:DB42)</f>
        <v>23797.83736880001</v>
      </c>
      <c r="DD43" s="40">
        <f>SUM(DD8:DD42)</f>
        <v>290828.9055</v>
      </c>
      <c r="DE43" s="40">
        <f>SUM(DE8:DE42)</f>
        <v>133280.73212499998</v>
      </c>
      <c r="DF43" s="40">
        <f>SUM(DF8:DF42)</f>
        <v>424109.6376249999</v>
      </c>
      <c r="DG43" s="40">
        <f>SUM(DG8:DG42)</f>
        <v>26863.974341600013</v>
      </c>
      <c r="DI43" s="40">
        <f>SUM(DI8:DI42)</f>
        <v>3367213.9095</v>
      </c>
      <c r="DJ43" s="40">
        <f>SUM(DJ8:DJ42)</f>
        <v>1543122.869125</v>
      </c>
      <c r="DK43" s="40">
        <f>SUM(DK8:DK42)</f>
        <v>4910336.778625001</v>
      </c>
      <c r="DL43" s="40">
        <f>SUM(DL8:DL42)</f>
        <v>311030.8031864002</v>
      </c>
      <c r="DN43" s="40">
        <f>SUM(DN8:DN42)</f>
        <v>123981.858</v>
      </c>
      <c r="DO43" s="40">
        <f>SUM(DO8:DO42)</f>
        <v>56818.26149999999</v>
      </c>
      <c r="DP43" s="40">
        <f>SUM(DP8:DP42)</f>
        <v>180800.11949999997</v>
      </c>
      <c r="DQ43" s="40">
        <f>SUM(DQ8:DQ42)</f>
        <v>11452.2504096</v>
      </c>
      <c r="DS43" s="40">
        <f>SUM(DS8:DS42)</f>
        <v>109748.50950000001</v>
      </c>
      <c r="DT43" s="40">
        <f>SUM(DT8:DT42)</f>
        <v>50295.419124999986</v>
      </c>
      <c r="DU43" s="40">
        <f>SUM(DU8:DU42)</f>
        <v>160043.92862500003</v>
      </c>
      <c r="DV43" s="40">
        <f>SUM(DV8:DV42)</f>
        <v>10137.510706400002</v>
      </c>
    </row>
    <row r="44" spans="8:99" ht="12.75" thickTop="1">
      <c r="H44"/>
      <c r="I44"/>
      <c r="J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S44"/>
      <c r="CT44"/>
      <c r="CU44"/>
    </row>
    <row r="45" spans="8:99" ht="12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S45"/>
      <c r="CT45"/>
      <c r="CU45"/>
    </row>
    <row r="46" spans="8:99" ht="12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S46"/>
      <c r="CT46"/>
      <c r="CU46"/>
    </row>
    <row r="47" spans="8:99" ht="12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S47"/>
      <c r="CT47"/>
      <c r="CU47"/>
    </row>
    <row r="48" spans="8:99" ht="12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S48"/>
      <c r="CT48"/>
      <c r="CU48"/>
    </row>
    <row r="49" spans="8:99" ht="12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S49"/>
      <c r="CT49"/>
      <c r="CU49"/>
    </row>
    <row r="50" spans="8:99" ht="12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S50"/>
      <c r="CT50"/>
      <c r="CU50"/>
    </row>
    <row r="51" spans="1:99" ht="12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S51"/>
      <c r="CT51"/>
      <c r="CU51"/>
    </row>
    <row r="52" spans="1:99" ht="12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S52"/>
      <c r="CT52"/>
      <c r="CU52"/>
    </row>
    <row r="53" spans="1:99" ht="12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S53"/>
      <c r="CT53"/>
      <c r="CU53"/>
    </row>
    <row r="54" spans="1:99" ht="12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S54"/>
      <c r="CT54"/>
      <c r="CU54"/>
    </row>
    <row r="55" spans="1:99" ht="12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S55"/>
      <c r="CT55"/>
      <c r="CU55"/>
    </row>
    <row r="56" spans="1:99" ht="12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S56"/>
      <c r="CT56"/>
      <c r="CU56"/>
    </row>
    <row r="57" spans="1:6" ht="12">
      <c r="A57"/>
      <c r="C57"/>
      <c r="D57"/>
      <c r="E57"/>
      <c r="F57"/>
    </row>
    <row r="58" spans="1:6" ht="12">
      <c r="A58"/>
      <c r="C58"/>
      <c r="D58"/>
      <c r="E58"/>
      <c r="F58"/>
    </row>
    <row r="59" spans="1:6" ht="12">
      <c r="A59"/>
      <c r="C59"/>
      <c r="D59"/>
      <c r="E59"/>
      <c r="F59"/>
    </row>
    <row r="60" spans="1:6" ht="12">
      <c r="A60"/>
      <c r="C60"/>
      <c r="D60"/>
      <c r="E60"/>
      <c r="F60"/>
    </row>
    <row r="61" spans="1:6" ht="12">
      <c r="A61"/>
      <c r="C61"/>
      <c r="D61"/>
      <c r="E61"/>
      <c r="F61"/>
    </row>
    <row r="62" spans="1:6" ht="12">
      <c r="A62"/>
      <c r="C62"/>
      <c r="D62"/>
      <c r="E62"/>
      <c r="F62"/>
    </row>
    <row r="63" spans="1:6" ht="12">
      <c r="A63"/>
      <c r="C63"/>
      <c r="D63"/>
      <c r="E63"/>
      <c r="F63"/>
    </row>
    <row r="64" spans="1:6" ht="12">
      <c r="A64"/>
      <c r="C64"/>
      <c r="D64"/>
      <c r="E64"/>
      <c r="F64"/>
    </row>
    <row r="65" spans="1:6" ht="12">
      <c r="A65"/>
      <c r="C65"/>
      <c r="D65"/>
      <c r="E65"/>
      <c r="F65"/>
    </row>
    <row r="66" spans="1:6" ht="12">
      <c r="A66"/>
      <c r="C66"/>
      <c r="D66"/>
      <c r="E66"/>
      <c r="F66"/>
    </row>
    <row r="67" spans="1:6" ht="12">
      <c r="A67"/>
      <c r="C67"/>
      <c r="D67"/>
      <c r="E67"/>
      <c r="F67"/>
    </row>
    <row r="68" spans="1:6" ht="12">
      <c r="A68"/>
      <c r="C68"/>
      <c r="D68"/>
      <c r="E68"/>
      <c r="F68"/>
    </row>
    <row r="69" spans="1:6" ht="12">
      <c r="A69"/>
      <c r="C69"/>
      <c r="D69"/>
      <c r="E69"/>
      <c r="F69"/>
    </row>
    <row r="70" spans="1:6" ht="12">
      <c r="A70"/>
      <c r="C70"/>
      <c r="D70"/>
      <c r="E70"/>
      <c r="F70"/>
    </row>
    <row r="71" spans="1:6" ht="12">
      <c r="A71"/>
      <c r="C71"/>
      <c r="D71"/>
      <c r="E71"/>
      <c r="F71"/>
    </row>
    <row r="72" spans="1:6" ht="12">
      <c r="A72"/>
      <c r="C72"/>
      <c r="D72"/>
      <c r="E72"/>
      <c r="F72"/>
    </row>
    <row r="73" spans="1:6" ht="12">
      <c r="A73"/>
      <c r="C73"/>
      <c r="D73"/>
      <c r="E73"/>
      <c r="F73"/>
    </row>
    <row r="74" spans="1:6" ht="12">
      <c r="A74"/>
      <c r="C74"/>
      <c r="D74"/>
      <c r="E74"/>
      <c r="F74"/>
    </row>
    <row r="75" spans="1:6" ht="12">
      <c r="A75"/>
      <c r="C75"/>
      <c r="D75"/>
      <c r="E75"/>
      <c r="F75"/>
    </row>
    <row r="76" spans="1:6" ht="12">
      <c r="A76"/>
      <c r="C76"/>
      <c r="D76"/>
      <c r="E76"/>
      <c r="F76"/>
    </row>
    <row r="77" spans="1:6" ht="12">
      <c r="A77"/>
      <c r="C77"/>
      <c r="D77"/>
      <c r="E77"/>
      <c r="F77"/>
    </row>
    <row r="78" spans="3:6" ht="12">
      <c r="C78"/>
      <c r="D78"/>
      <c r="E78"/>
      <c r="F78"/>
    </row>
    <row r="79" spans="3:6" ht="12">
      <c r="C79"/>
      <c r="D79"/>
      <c r="E79"/>
      <c r="F79"/>
    </row>
    <row r="80" spans="3:6" ht="12">
      <c r="C80"/>
      <c r="D80"/>
      <c r="E80"/>
      <c r="F80"/>
    </row>
    <row r="81" spans="3:6" ht="12">
      <c r="C81"/>
      <c r="D81"/>
      <c r="E81"/>
      <c r="F81"/>
    </row>
    <row r="82" spans="3:6" ht="12">
      <c r="C82"/>
      <c r="D82"/>
      <c r="E82"/>
      <c r="F82"/>
    </row>
    <row r="83" spans="3:6" ht="12">
      <c r="C83"/>
      <c r="D83"/>
      <c r="E83"/>
      <c r="F83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10.7109375" style="49" customWidth="1"/>
    <col min="11" max="11" width="11.7109375" style="49" customWidth="1"/>
    <col min="12" max="14" width="12.7109375" style="49" customWidth="1"/>
    <col min="15" max="16" width="13.7109375" style="49" customWidth="1"/>
    <col min="17" max="17" width="10.7109375" style="49" customWidth="1"/>
    <col min="18" max="18" width="14.7109375" style="49" customWidth="1"/>
    <col min="19" max="19" width="12.7109375" style="8" customWidth="1"/>
    <col min="20" max="20" width="10.28125" style="0" bestFit="1" customWidth="1"/>
  </cols>
  <sheetData>
    <row r="1" ht="12">
      <c r="A1" s="48" t="s">
        <v>99</v>
      </c>
    </row>
    <row r="3" spans="1:19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124</v>
      </c>
      <c r="S3" s="52" t="s">
        <v>30</v>
      </c>
    </row>
    <row r="4" spans="1:19" ht="12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4" t="s">
        <v>125</v>
      </c>
      <c r="S4" s="55" t="s">
        <v>47</v>
      </c>
    </row>
    <row r="5" spans="1:19" s="59" customFormat="1" ht="12.75" thickBot="1">
      <c r="A5" s="56"/>
      <c r="B5" s="56"/>
      <c r="C5" s="56" t="s">
        <v>48</v>
      </c>
      <c r="D5" s="57">
        <f>SUM(E5:R5)</f>
        <v>125406224.21</v>
      </c>
      <c r="E5" s="57">
        <f aca="true" t="shared" si="0" ref="E5:R5">SUM(E6:E49)</f>
        <v>29239976.089999996</v>
      </c>
      <c r="F5" s="57">
        <f t="shared" si="0"/>
        <v>1320521.33</v>
      </c>
      <c r="G5" s="57">
        <f t="shared" si="0"/>
        <v>146920.64</v>
      </c>
      <c r="H5" s="57">
        <f t="shared" si="0"/>
        <v>51769.26</v>
      </c>
      <c r="I5" s="57">
        <f t="shared" si="0"/>
        <v>6976822.91</v>
      </c>
      <c r="J5" s="57">
        <f t="shared" si="0"/>
        <v>174964.44</v>
      </c>
      <c r="K5" s="57">
        <f t="shared" si="0"/>
        <v>312.92</v>
      </c>
      <c r="L5" s="57">
        <f t="shared" si="0"/>
        <v>8211389.31</v>
      </c>
      <c r="M5" s="57">
        <f t="shared" si="0"/>
        <v>646359.1400000001</v>
      </c>
      <c r="N5" s="57">
        <f t="shared" si="0"/>
        <v>214932.91</v>
      </c>
      <c r="O5" s="57">
        <f t="shared" si="0"/>
        <v>3532451.82</v>
      </c>
      <c r="P5" s="57">
        <f t="shared" si="0"/>
        <v>42588843.9</v>
      </c>
      <c r="Q5" s="57">
        <f t="shared" si="0"/>
        <v>124944</v>
      </c>
      <c r="R5" s="57">
        <f t="shared" si="0"/>
        <v>32176015.540000007</v>
      </c>
      <c r="S5" s="58"/>
    </row>
    <row r="6" spans="1:18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">
      <c r="A7" s="61" t="s">
        <v>34</v>
      </c>
      <c r="B7" s="61" t="s">
        <v>102</v>
      </c>
      <c r="C7" s="61" t="s">
        <v>50</v>
      </c>
      <c r="D7" s="49">
        <f aca="true" t="shared" si="1" ref="D7:D47">SUM(E7:Q7)</f>
        <v>6559633.109999999</v>
      </c>
      <c r="E7" s="63">
        <f>4565988.59+1199698.72+793945.8</f>
        <v>6559633.109999999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47">D7/$D$5</f>
        <v>0.05230707766957016</v>
      </c>
    </row>
    <row r="8" spans="1:19" ht="12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2.657523596611282E-05</v>
      </c>
    </row>
    <row r="9" spans="1:19" ht="12">
      <c r="A9" s="61" t="s">
        <v>35</v>
      </c>
      <c r="B9" s="61" t="s">
        <v>140</v>
      </c>
      <c r="C9" s="61" t="s">
        <v>50</v>
      </c>
      <c r="D9" s="49">
        <f t="shared" si="1"/>
        <v>624661.5900000001</v>
      </c>
      <c r="E9" s="63"/>
      <c r="F9" s="63">
        <f>270598.94+1242.65+285000+67820</f>
        <v>624661.5900000001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0.004981105155944796</v>
      </c>
    </row>
    <row r="10" spans="1:19" ht="12">
      <c r="A10" s="61" t="s">
        <v>35</v>
      </c>
      <c r="B10" s="61" t="s">
        <v>51</v>
      </c>
      <c r="C10" s="61" t="s">
        <v>55</v>
      </c>
      <c r="D10" s="49">
        <f t="shared" si="1"/>
        <v>81490.91</v>
      </c>
      <c r="E10" s="63"/>
      <c r="F10" s="63">
        <f>72123.91+9367</f>
        <v>81490.91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0.0006498155136505725</v>
      </c>
    </row>
    <row r="11" spans="1:19" ht="12">
      <c r="A11" s="61" t="s">
        <v>35</v>
      </c>
      <c r="B11" s="61" t="s">
        <v>141</v>
      </c>
      <c r="C11" s="61" t="s">
        <v>53</v>
      </c>
      <c r="D11" s="49">
        <f t="shared" si="1"/>
        <v>368521.91000000003</v>
      </c>
      <c r="E11" s="63"/>
      <c r="F11" s="63">
        <f>241566.91+90000+36955</f>
        <v>368521.91000000003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0.0029386253538970183</v>
      </c>
    </row>
    <row r="12" spans="1:19" ht="12">
      <c r="A12" s="61" t="s">
        <v>35</v>
      </c>
      <c r="B12" s="61" t="s">
        <v>84</v>
      </c>
      <c r="C12" s="61" t="s">
        <v>85</v>
      </c>
      <c r="D12" s="49">
        <f t="shared" si="1"/>
        <v>0</v>
      </c>
      <c r="E12" s="63"/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</v>
      </c>
    </row>
    <row r="13" spans="1:19" ht="12">
      <c r="A13" s="61" t="s">
        <v>36</v>
      </c>
      <c r="B13" s="61" t="s">
        <v>54</v>
      </c>
      <c r="C13" s="61" t="s">
        <v>50</v>
      </c>
      <c r="D13" s="49">
        <f t="shared" si="1"/>
        <v>146920.64</v>
      </c>
      <c r="E13" s="63"/>
      <c r="F13" s="63"/>
      <c r="G13" s="63">
        <f>78320.64+68600</f>
        <v>146920.64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0.0011715577988694794</v>
      </c>
    </row>
    <row r="14" spans="1:19" ht="12">
      <c r="A14" s="61" t="s">
        <v>37</v>
      </c>
      <c r="B14" s="61" t="s">
        <v>83</v>
      </c>
      <c r="C14" s="61" t="s">
        <v>50</v>
      </c>
      <c r="D14" s="49">
        <f t="shared" si="1"/>
        <v>51769.26</v>
      </c>
      <c r="E14" s="63"/>
      <c r="F14" s="63"/>
      <c r="G14" s="62"/>
      <c r="H14" s="63">
        <f>3812.47+22676.79+25280</f>
        <v>51769.26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0.00041281252446696246</v>
      </c>
    </row>
    <row r="15" spans="1:19" ht="12">
      <c r="A15" s="61" t="s">
        <v>38</v>
      </c>
      <c r="B15" s="61" t="s">
        <v>109</v>
      </c>
      <c r="C15" s="61" t="s">
        <v>50</v>
      </c>
      <c r="D15" s="49">
        <f t="shared" si="1"/>
        <v>972693.8500000001</v>
      </c>
      <c r="E15" s="63"/>
      <c r="F15" s="63"/>
      <c r="G15" s="62"/>
      <c r="H15" s="63"/>
      <c r="I15" s="63">
        <f>149657.79+405510.11+126348.17+185692.49+103399.29+2086</f>
        <v>972693.8500000001</v>
      </c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0.007756344281374486</v>
      </c>
    </row>
    <row r="16" spans="1:19" ht="12">
      <c r="A16" s="61" t="s">
        <v>38</v>
      </c>
      <c r="B16" s="61" t="s">
        <v>100</v>
      </c>
      <c r="C16" s="61" t="s">
        <v>101</v>
      </c>
      <c r="D16" s="49">
        <f t="shared" si="1"/>
        <v>682212</v>
      </c>
      <c r="E16" s="63"/>
      <c r="F16" s="63"/>
      <c r="G16" s="62"/>
      <c r="H16" s="63"/>
      <c r="I16" s="63">
        <f>682212</f>
        <v>682212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0.005440017066916842</v>
      </c>
    </row>
    <row r="17" spans="1:19" ht="12">
      <c r="A17" s="61" t="s">
        <v>39</v>
      </c>
      <c r="B17" s="61" t="s">
        <v>137</v>
      </c>
      <c r="C17" s="61" t="s">
        <v>50</v>
      </c>
      <c r="D17" s="49">
        <f t="shared" si="1"/>
        <v>174964.44</v>
      </c>
      <c r="E17" s="63"/>
      <c r="F17" s="63"/>
      <c r="G17" s="62"/>
      <c r="H17" s="63"/>
      <c r="I17" s="62"/>
      <c r="J17" s="63">
        <f>96131.62+21270.28+57562.54</f>
        <v>174964.44</v>
      </c>
      <c r="K17" s="63"/>
      <c r="L17" s="62"/>
      <c r="M17" s="62"/>
      <c r="N17" s="62"/>
      <c r="O17" s="62"/>
      <c r="P17" s="62"/>
      <c r="Q17" s="62"/>
      <c r="R17" s="62"/>
      <c r="S17" s="8">
        <f t="shared" si="2"/>
        <v>0.0013951814680825722</v>
      </c>
    </row>
    <row r="18" spans="1:19" ht="12">
      <c r="A18" s="61" t="s">
        <v>41</v>
      </c>
      <c r="B18" s="61" t="s">
        <v>106</v>
      </c>
      <c r="C18" s="61" t="s">
        <v>50</v>
      </c>
      <c r="D18" s="49">
        <f t="shared" si="1"/>
        <v>199971.84</v>
      </c>
      <c r="E18" s="63"/>
      <c r="F18" s="63"/>
      <c r="G18" s="62"/>
      <c r="H18" s="63"/>
      <c r="I18" s="62"/>
      <c r="J18" s="63"/>
      <c r="K18" s="63"/>
      <c r="L18" s="63">
        <f>195053.08+4918.76</f>
        <v>199971.84</v>
      </c>
      <c r="M18" s="62"/>
      <c r="N18" s="62"/>
      <c r="O18" s="62"/>
      <c r="P18" s="62"/>
      <c r="Q18" s="62"/>
      <c r="R18" s="62"/>
      <c r="S18" s="8">
        <f t="shared" si="2"/>
        <v>0.001594592622971692</v>
      </c>
    </row>
    <row r="19" spans="1:19" ht="12">
      <c r="A19" s="61" t="s">
        <v>41</v>
      </c>
      <c r="B19" s="61" t="s">
        <v>49</v>
      </c>
      <c r="C19" s="61" t="s">
        <v>58</v>
      </c>
      <c r="D19" s="49">
        <f t="shared" si="1"/>
        <v>10216.91</v>
      </c>
      <c r="E19" s="63"/>
      <c r="F19" s="62"/>
      <c r="G19" s="62"/>
      <c r="H19" s="62"/>
      <c r="I19" s="62"/>
      <c r="J19" s="62"/>
      <c r="K19" s="62"/>
      <c r="L19" s="63">
        <f>10216.91</f>
        <v>10216.91</v>
      </c>
      <c r="M19" s="62"/>
      <c r="N19" s="62"/>
      <c r="O19" s="62"/>
      <c r="P19" s="62"/>
      <c r="Q19" s="62"/>
      <c r="R19" s="62"/>
      <c r="S19" s="8">
        <f t="shared" si="2"/>
        <v>8.147051762671039E-05</v>
      </c>
    </row>
    <row r="20" spans="1:19" ht="12">
      <c r="A20" s="61" t="s">
        <v>42</v>
      </c>
      <c r="B20" s="61" t="s">
        <v>139</v>
      </c>
      <c r="C20" s="61" t="s">
        <v>50</v>
      </c>
      <c r="D20" s="49">
        <f t="shared" si="1"/>
        <v>462624.08</v>
      </c>
      <c r="E20" s="63"/>
      <c r="F20" s="62"/>
      <c r="G20" s="62"/>
      <c r="H20" s="62"/>
      <c r="I20" s="62"/>
      <c r="J20" s="62"/>
      <c r="K20" s="62"/>
      <c r="L20" s="63"/>
      <c r="M20" s="63">
        <f>187308+221454.79+53861.29</f>
        <v>462624.08</v>
      </c>
      <c r="N20" s="62"/>
      <c r="O20" s="62"/>
      <c r="P20" s="62"/>
      <c r="Q20" s="62"/>
      <c r="R20" s="62"/>
      <c r="S20" s="8">
        <f t="shared" si="2"/>
        <v>0.003689004137667913</v>
      </c>
    </row>
    <row r="21" spans="1:19" ht="12">
      <c r="A21" s="61" t="s">
        <v>42</v>
      </c>
      <c r="B21" s="61" t="s">
        <v>57</v>
      </c>
      <c r="C21" s="61" t="s">
        <v>59</v>
      </c>
      <c r="D21" s="49">
        <f t="shared" si="1"/>
        <v>84038.95</v>
      </c>
      <c r="E21" s="63"/>
      <c r="F21" s="62"/>
      <c r="G21" s="62"/>
      <c r="H21" s="62"/>
      <c r="I21" s="62"/>
      <c r="J21" s="62"/>
      <c r="K21" s="62"/>
      <c r="L21" s="63"/>
      <c r="M21" s="63">
        <f>84038.95</f>
        <v>84038.95</v>
      </c>
      <c r="N21" s="62"/>
      <c r="O21" s="62"/>
      <c r="P21" s="62"/>
      <c r="Q21" s="62"/>
      <c r="R21" s="62"/>
      <c r="S21" s="8">
        <f t="shared" si="2"/>
        <v>0.0006701338034009532</v>
      </c>
    </row>
    <row r="22" spans="1:19" ht="12">
      <c r="A22" s="61" t="s">
        <v>42</v>
      </c>
      <c r="B22" s="61" t="s">
        <v>60</v>
      </c>
      <c r="C22" s="61" t="s">
        <v>53</v>
      </c>
      <c r="D22" s="49">
        <f t="shared" si="1"/>
        <v>97827.81</v>
      </c>
      <c r="E22" s="63"/>
      <c r="F22" s="62"/>
      <c r="G22" s="62"/>
      <c r="H22" s="62"/>
      <c r="I22" s="62"/>
      <c r="J22" s="62"/>
      <c r="K22" s="62"/>
      <c r="L22" s="63"/>
      <c r="M22" s="63">
        <f>97827.81</f>
        <v>97827.81</v>
      </c>
      <c r="N22" s="62"/>
      <c r="O22" s="62"/>
      <c r="P22" s="62"/>
      <c r="Q22" s="62"/>
      <c r="R22" s="62"/>
      <c r="S22" s="8">
        <f t="shared" si="2"/>
        <v>0.0007800873570372525</v>
      </c>
    </row>
    <row r="23" spans="1:19" ht="12">
      <c r="A23" s="61" t="s">
        <v>43</v>
      </c>
      <c r="B23" s="61" t="s">
        <v>104</v>
      </c>
      <c r="C23" s="61" t="s">
        <v>50</v>
      </c>
      <c r="D23" s="49">
        <f t="shared" si="1"/>
        <v>214932.91</v>
      </c>
      <c r="E23" s="63"/>
      <c r="F23" s="62"/>
      <c r="G23" s="62"/>
      <c r="H23" s="62"/>
      <c r="I23" s="62"/>
      <c r="J23" s="62"/>
      <c r="K23" s="62"/>
      <c r="L23" s="63"/>
      <c r="M23" s="63"/>
      <c r="N23" s="63">
        <f>214932.91</f>
        <v>214932.91</v>
      </c>
      <c r="O23" s="62"/>
      <c r="P23" s="62"/>
      <c r="Q23" s="62"/>
      <c r="R23" s="62"/>
      <c r="S23" s="8">
        <f t="shared" si="2"/>
        <v>0.001713893479801149</v>
      </c>
    </row>
    <row r="24" spans="1:19" ht="12">
      <c r="A24" s="61" t="s">
        <v>44</v>
      </c>
      <c r="B24" s="61" t="s">
        <v>105</v>
      </c>
      <c r="C24" s="61" t="s">
        <v>50</v>
      </c>
      <c r="D24" s="49">
        <f t="shared" si="1"/>
        <v>199881.25</v>
      </c>
      <c r="E24" s="63"/>
      <c r="F24" s="62"/>
      <c r="G24" s="62"/>
      <c r="H24" s="62"/>
      <c r="I24" s="62"/>
      <c r="J24" s="62"/>
      <c r="K24" s="62"/>
      <c r="L24" s="63"/>
      <c r="M24" s="63"/>
      <c r="N24" s="63"/>
      <c r="O24" s="63">
        <f>196180.58+3700.67</f>
        <v>199881.25</v>
      </c>
      <c r="P24" s="62"/>
      <c r="Q24" s="62"/>
      <c r="R24" s="62"/>
      <c r="S24" s="8">
        <f t="shared" si="2"/>
        <v>0.0015938702505330776</v>
      </c>
    </row>
    <row r="25" spans="1:19" ht="12">
      <c r="A25" s="61" t="s">
        <v>45</v>
      </c>
      <c r="B25" s="61" t="s">
        <v>138</v>
      </c>
      <c r="C25" s="61" t="s">
        <v>50</v>
      </c>
      <c r="D25" s="49">
        <f t="shared" si="1"/>
        <v>241331.1</v>
      </c>
      <c r="E25" s="63"/>
      <c r="F25" s="62"/>
      <c r="G25" s="62"/>
      <c r="H25" s="62"/>
      <c r="I25" s="62"/>
      <c r="J25" s="62"/>
      <c r="K25" s="62"/>
      <c r="L25" s="63"/>
      <c r="M25" s="63"/>
      <c r="N25" s="63"/>
      <c r="O25" s="62"/>
      <c r="P25" s="63">
        <f>11101.4+227321.1+2483.6+425</f>
        <v>241331.1</v>
      </c>
      <c r="Q25" s="62"/>
      <c r="R25" s="62"/>
      <c r="S25" s="8">
        <f t="shared" si="2"/>
        <v>0.0019243949135720495</v>
      </c>
    </row>
    <row r="26" spans="1:19" ht="12">
      <c r="A26" s="61" t="s">
        <v>45</v>
      </c>
      <c r="B26" s="61" t="s">
        <v>104</v>
      </c>
      <c r="C26" s="61" t="s">
        <v>82</v>
      </c>
      <c r="D26" s="49">
        <f t="shared" si="1"/>
        <v>3401727.55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2"/>
      <c r="P26" s="63">
        <f>685640.92+936498+1779588.63</f>
        <v>3401727.55</v>
      </c>
      <c r="Q26" s="62"/>
      <c r="R26" s="62"/>
      <c r="S26" s="8">
        <f t="shared" si="2"/>
        <v>0.02712566757694267</v>
      </c>
    </row>
    <row r="27" spans="1:19" ht="12">
      <c r="A27" s="61" t="s">
        <v>45</v>
      </c>
      <c r="B27" s="61" t="s">
        <v>51</v>
      </c>
      <c r="C27" s="61" t="s">
        <v>110</v>
      </c>
      <c r="D27" s="49">
        <f t="shared" si="1"/>
        <v>144740.3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144740.3</f>
        <v>144740.3</v>
      </c>
      <c r="Q27" s="62"/>
      <c r="R27" s="62"/>
      <c r="S27" s="8">
        <f t="shared" si="2"/>
        <v>0.0011541715804920811</v>
      </c>
    </row>
    <row r="28" spans="1:20" ht="12">
      <c r="A28" s="61" t="s">
        <v>46</v>
      </c>
      <c r="B28" s="61" t="s">
        <v>86</v>
      </c>
      <c r="C28" s="61" t="s">
        <v>50</v>
      </c>
      <c r="D28" s="49">
        <f t="shared" si="1"/>
        <v>124944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/>
      <c r="Q28" s="63">
        <f>124944</f>
        <v>124944</v>
      </c>
      <c r="R28" s="63"/>
      <c r="S28" s="8">
        <f t="shared" si="2"/>
        <v>0.0009963141844600474</v>
      </c>
      <c r="T28" s="8"/>
    </row>
    <row r="29" spans="1:20" ht="12">
      <c r="A29" s="61" t="s">
        <v>34</v>
      </c>
      <c r="B29" s="61" t="s">
        <v>113</v>
      </c>
      <c r="C29" s="61" t="s">
        <v>114</v>
      </c>
      <c r="D29" s="49">
        <f t="shared" si="1"/>
        <v>2826210.31</v>
      </c>
      <c r="E29" s="63">
        <f>2826210.31</f>
        <v>2826210.31</v>
      </c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/>
      <c r="Q29" s="63"/>
      <c r="R29" s="63"/>
      <c r="S29" s="8">
        <f t="shared" si="2"/>
        <v>0.02253644368773393</v>
      </c>
      <c r="T29" s="8"/>
    </row>
    <row r="30" spans="1:19" ht="12">
      <c r="A30" s="2" t="s">
        <v>34</v>
      </c>
      <c r="B30" s="2" t="s">
        <v>91</v>
      </c>
      <c r="C30" t="s">
        <v>61</v>
      </c>
      <c r="D30" s="49">
        <f t="shared" si="1"/>
        <v>8020095.99</v>
      </c>
      <c r="E30" s="49">
        <f>8018595.99+1500</f>
        <v>8020095.99</v>
      </c>
      <c r="S30" s="8">
        <f t="shared" si="2"/>
        <v>0.06395293407901258</v>
      </c>
    </row>
    <row r="31" spans="1:19" ht="12">
      <c r="A31" s="2" t="s">
        <v>34</v>
      </c>
      <c r="B31" s="2" t="s">
        <v>88</v>
      </c>
      <c r="C31" s="64" t="s">
        <v>63</v>
      </c>
      <c r="D31" s="49">
        <f t="shared" si="1"/>
        <v>6743452.4</v>
      </c>
      <c r="E31" s="49">
        <f>6743452.4</f>
        <v>6743452.4</v>
      </c>
      <c r="S31" s="8">
        <f t="shared" si="2"/>
        <v>0.0537728684718846</v>
      </c>
    </row>
    <row r="32" spans="1:19" ht="12">
      <c r="A32" s="2" t="s">
        <v>34</v>
      </c>
      <c r="B32" s="2" t="s">
        <v>113</v>
      </c>
      <c r="C32" s="64" t="s">
        <v>63</v>
      </c>
      <c r="D32" s="49">
        <f t="shared" si="1"/>
        <v>5087251.58</v>
      </c>
      <c r="E32" s="49">
        <f>5087251.58</f>
        <v>5087251.58</v>
      </c>
      <c r="S32" s="8">
        <f t="shared" si="2"/>
        <v>0.04056618092161919</v>
      </c>
    </row>
    <row r="33" spans="1:19" ht="12">
      <c r="A33" s="2" t="s">
        <v>35</v>
      </c>
      <c r="B33" s="2" t="s">
        <v>113</v>
      </c>
      <c r="C33" s="64" t="s">
        <v>142</v>
      </c>
      <c r="D33" s="49">
        <f t="shared" si="1"/>
        <v>204417.40999999997</v>
      </c>
      <c r="F33" s="49">
        <f>99615.15+104802.26</f>
        <v>204417.40999999997</v>
      </c>
      <c r="S33" s="8">
        <f t="shared" si="2"/>
        <v>0.0016300419798756652</v>
      </c>
    </row>
    <row r="34" spans="1:19" ht="12">
      <c r="A34" s="2" t="s">
        <v>35</v>
      </c>
      <c r="B34" s="2" t="s">
        <v>145</v>
      </c>
      <c r="C34" s="64" t="s">
        <v>144</v>
      </c>
      <c r="D34" s="49">
        <f t="shared" si="1"/>
        <v>41429.51</v>
      </c>
      <c r="F34" s="49">
        <f>17564.06+23865.45</f>
        <v>41429.51</v>
      </c>
      <c r="S34" s="8">
        <f t="shared" si="2"/>
        <v>0.0003303624701324544</v>
      </c>
    </row>
    <row r="35" spans="1:19" ht="12">
      <c r="A35" s="2" t="s">
        <v>38</v>
      </c>
      <c r="B35" s="2" t="s">
        <v>115</v>
      </c>
      <c r="C35" t="s">
        <v>66</v>
      </c>
      <c r="D35" s="49">
        <f t="shared" si="1"/>
        <v>5321917.06</v>
      </c>
      <c r="I35" s="49">
        <f>4557718.02+764199.04</f>
        <v>5321917.06</v>
      </c>
      <c r="S35" s="8">
        <f t="shared" si="2"/>
        <v>0.04243742360896012</v>
      </c>
    </row>
    <row r="36" spans="1:19" ht="12">
      <c r="A36" s="2" t="s">
        <v>40</v>
      </c>
      <c r="B36" s="2" t="s">
        <v>62</v>
      </c>
      <c r="C36" t="s">
        <v>68</v>
      </c>
      <c r="D36" s="49">
        <f t="shared" si="1"/>
        <v>312.92</v>
      </c>
      <c r="K36" s="49">
        <f>312.92</f>
        <v>312.92</v>
      </c>
      <c r="S36" s="8">
        <f t="shared" si="2"/>
        <v>2.4952509492351617E-06</v>
      </c>
    </row>
    <row r="37" spans="1:19" ht="12">
      <c r="A37" s="2" t="s">
        <v>41</v>
      </c>
      <c r="B37" s="2" t="s">
        <v>116</v>
      </c>
      <c r="C37" t="s">
        <v>70</v>
      </c>
      <c r="D37" s="49">
        <f t="shared" si="1"/>
        <v>8001200.56</v>
      </c>
      <c r="L37" s="49">
        <f>8001200.56</f>
        <v>8001200.56</v>
      </c>
      <c r="S37" s="8">
        <f t="shared" si="2"/>
        <v>0.06380226029771477</v>
      </c>
    </row>
    <row r="38" spans="1:19" ht="12">
      <c r="A38" s="2" t="s">
        <v>42</v>
      </c>
      <c r="B38" s="2" t="s">
        <v>64</v>
      </c>
      <c r="C38" t="s">
        <v>71</v>
      </c>
      <c r="D38" s="49">
        <f t="shared" si="1"/>
        <v>1868.3</v>
      </c>
      <c r="M38" s="49">
        <f>1868.3</f>
        <v>1868.3</v>
      </c>
      <c r="S38" s="8">
        <f t="shared" si="2"/>
        <v>1.489798462372508E-05</v>
      </c>
    </row>
    <row r="39" spans="1:19" ht="12">
      <c r="A39" s="2" t="s">
        <v>44</v>
      </c>
      <c r="B39" s="2" t="s">
        <v>117</v>
      </c>
      <c r="C39" t="s">
        <v>72</v>
      </c>
      <c r="D39" s="49">
        <f t="shared" si="1"/>
        <v>2685498.1599999997</v>
      </c>
      <c r="O39" s="49">
        <f>1152817.79+1197738.4+301603.92+33338.05</f>
        <v>2685498.1599999997</v>
      </c>
      <c r="S39" s="8">
        <f t="shared" si="2"/>
        <v>0.02141439292122357</v>
      </c>
    </row>
    <row r="40" spans="1:19" ht="12">
      <c r="A40" s="2" t="s">
        <v>44</v>
      </c>
      <c r="B40" s="2" t="s">
        <v>62</v>
      </c>
      <c r="C40" t="s">
        <v>73</v>
      </c>
      <c r="D40" s="49">
        <f t="shared" si="1"/>
        <v>23833.49</v>
      </c>
      <c r="O40" s="49">
        <f>23833.49</f>
        <v>23833.49</v>
      </c>
      <c r="S40" s="8">
        <f t="shared" si="2"/>
        <v>0.0001900502957499896</v>
      </c>
    </row>
    <row r="41" spans="1:19" ht="12">
      <c r="A41" s="2" t="s">
        <v>44</v>
      </c>
      <c r="B41" s="2" t="s">
        <v>74</v>
      </c>
      <c r="C41" t="s">
        <v>75</v>
      </c>
      <c r="D41" s="49">
        <f t="shared" si="1"/>
        <v>623238.92</v>
      </c>
      <c r="O41" s="49">
        <f>623238.92</f>
        <v>623238.92</v>
      </c>
      <c r="S41" s="8">
        <f t="shared" si="2"/>
        <v>0.0049697606632056026</v>
      </c>
    </row>
    <row r="42" spans="1:19" ht="12">
      <c r="A42" s="2" t="s">
        <v>45</v>
      </c>
      <c r="B42" s="2" t="s">
        <v>88</v>
      </c>
      <c r="C42" t="s">
        <v>118</v>
      </c>
      <c r="D42" s="49">
        <f t="shared" si="1"/>
        <v>309587.12</v>
      </c>
      <c r="P42" s="49">
        <f>309587.12</f>
        <v>309587.12</v>
      </c>
      <c r="S42" s="8">
        <f t="shared" si="2"/>
        <v>0.002468674277933593</v>
      </c>
    </row>
    <row r="43" spans="1:19" ht="12">
      <c r="A43" s="2" t="s">
        <v>45</v>
      </c>
      <c r="B43" s="2" t="s">
        <v>76</v>
      </c>
      <c r="C43" t="s">
        <v>77</v>
      </c>
      <c r="D43" s="49">
        <f t="shared" si="1"/>
        <v>1596427.84</v>
      </c>
      <c r="P43" s="49">
        <f>1596427.84</f>
        <v>1596427.84</v>
      </c>
      <c r="S43" s="8">
        <f t="shared" si="2"/>
        <v>0.012730052675269842</v>
      </c>
    </row>
    <row r="44" spans="1:19" ht="12">
      <c r="A44" s="2" t="s">
        <v>45</v>
      </c>
      <c r="B44" s="2" t="s">
        <v>143</v>
      </c>
      <c r="C44" t="s">
        <v>66</v>
      </c>
      <c r="D44" s="49">
        <f t="shared" si="1"/>
        <v>11859331.13</v>
      </c>
      <c r="P44" s="49">
        <f>144225.14+3400000+8216433.24+98672.75</f>
        <v>11859331.13</v>
      </c>
      <c r="S44" s="8">
        <f t="shared" si="2"/>
        <v>0.09456732474570691</v>
      </c>
    </row>
    <row r="45" spans="1:19" ht="12">
      <c r="A45" s="2" t="s">
        <v>45</v>
      </c>
      <c r="B45" s="2" t="s">
        <v>120</v>
      </c>
      <c r="C45" t="s">
        <v>78</v>
      </c>
      <c r="D45" s="49">
        <f t="shared" si="1"/>
        <v>22308780.25</v>
      </c>
      <c r="P45" s="49">
        <f>15474632.18+6834148.07</f>
        <v>22308780.25</v>
      </c>
      <c r="S45" s="8">
        <f t="shared" si="2"/>
        <v>0.1778921292825359</v>
      </c>
    </row>
    <row r="46" spans="1:19" ht="12">
      <c r="A46" s="2" t="s">
        <v>45</v>
      </c>
      <c r="B46" s="2" t="s">
        <v>93</v>
      </c>
      <c r="C46" t="s">
        <v>79</v>
      </c>
      <c r="D46" s="49">
        <f t="shared" si="1"/>
        <v>1289481.39</v>
      </c>
      <c r="P46" s="49">
        <f>1284131.39+5350</f>
        <v>1289481.39</v>
      </c>
      <c r="S46" s="8">
        <f t="shared" si="2"/>
        <v>0.01028243532666041</v>
      </c>
    </row>
    <row r="47" spans="1:20" ht="12">
      <c r="A47" s="2" t="s">
        <v>45</v>
      </c>
      <c r="B47" s="2" t="s">
        <v>69</v>
      </c>
      <c r="C47" t="s">
        <v>80</v>
      </c>
      <c r="D47" s="49">
        <f t="shared" si="1"/>
        <v>1437437.22</v>
      </c>
      <c r="P47" s="49">
        <f>1437437.22</f>
        <v>1437437.22</v>
      </c>
      <c r="S47" s="8">
        <f t="shared" si="2"/>
        <v>0.011462247819477668</v>
      </c>
      <c r="T47" s="8"/>
    </row>
    <row r="48" spans="1:20" ht="12">
      <c r="A48" s="2"/>
      <c r="B48" s="2"/>
      <c r="C48" t="s">
        <v>123</v>
      </c>
      <c r="D48" s="49">
        <f>SUM(E48:R48)</f>
        <v>32176015.540000007</v>
      </c>
      <c r="R48" s="49">
        <f>125774432.62-93598417.08</f>
        <v>32176015.540000007</v>
      </c>
      <c r="S48" s="8">
        <f>R48/$D$5</f>
        <v>0.2565743107464858</v>
      </c>
      <c r="T48" s="8"/>
    </row>
    <row r="49" spans="5:19" ht="12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/>
    </row>
    <row r="50" spans="2:19" s="8" customFormat="1" ht="12.75" thickBot="1">
      <c r="B50" s="67"/>
      <c r="C50" s="68" t="s">
        <v>81</v>
      </c>
      <c r="D50" s="69">
        <f>SUM(E50:R50)</f>
        <v>1</v>
      </c>
      <c r="E50" s="70">
        <f>E5/D5</f>
        <v>0.23316208006578654</v>
      </c>
      <c r="F50" s="70">
        <f>F5/D5</f>
        <v>0.010529950473500506</v>
      </c>
      <c r="G50" s="70">
        <f>G5/D5</f>
        <v>0.0011715577988694794</v>
      </c>
      <c r="H50" s="70">
        <f>H5/D5</f>
        <v>0.00041281252446696246</v>
      </c>
      <c r="I50" s="70">
        <f>I5/D5</f>
        <v>0.05563378495725145</v>
      </c>
      <c r="J50" s="70">
        <f>J5/D5</f>
        <v>0.0013951814680825722</v>
      </c>
      <c r="K50" s="70">
        <f>K5/D5</f>
        <v>2.4952509492351617E-06</v>
      </c>
      <c r="L50" s="70">
        <f>L5/D5</f>
        <v>0.06547832343831317</v>
      </c>
      <c r="M50" s="70">
        <f>M5/D5</f>
        <v>0.005154123282729845</v>
      </c>
      <c r="N50" s="70">
        <f>N5/D5</f>
        <v>0.001713893479801149</v>
      </c>
      <c r="O50" s="70">
        <f>O5/D5</f>
        <v>0.02816807413071224</v>
      </c>
      <c r="P50" s="70">
        <f>P5/D5</f>
        <v>0.3396070981985911</v>
      </c>
      <c r="Q50" s="70">
        <f>Q5/D5</f>
        <v>0.0009963141844600474</v>
      </c>
      <c r="R50" s="70">
        <f>R5/D5</f>
        <v>0.2565743107464858</v>
      </c>
      <c r="S50" s="70">
        <f>SUM(S6:S49)</f>
        <v>1</v>
      </c>
    </row>
    <row r="51" spans="1:19" s="8" customFormat="1" ht="12.75" thickTop="1">
      <c r="A51" s="71"/>
      <c r="C51" s="6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printOptions/>
  <pageMargins left="0.5" right="0" top="0.75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2" sqref="C52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9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5.7109375" style="49" customWidth="1"/>
    <col min="19" max="19" width="12.7109375" style="8" customWidth="1"/>
    <col min="20" max="20" width="10.28125" style="0" bestFit="1" customWidth="1"/>
  </cols>
  <sheetData>
    <row r="1" ht="12">
      <c r="A1" s="48" t="s">
        <v>99</v>
      </c>
    </row>
    <row r="3" spans="1:19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124</v>
      </c>
      <c r="S3" s="52" t="s">
        <v>30</v>
      </c>
    </row>
    <row r="4" spans="1:19" ht="12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4" t="s">
        <v>125</v>
      </c>
      <c r="S4" s="55" t="s">
        <v>47</v>
      </c>
    </row>
    <row r="5" spans="1:19" s="59" customFormat="1" ht="12.75" thickBot="1">
      <c r="A5" s="56"/>
      <c r="B5" s="56"/>
      <c r="C5" s="56" t="s">
        <v>48</v>
      </c>
      <c r="D5" s="57">
        <f>SUM(E5:R5)</f>
        <v>125774432.62</v>
      </c>
      <c r="E5" s="57">
        <f aca="true" t="shared" si="0" ref="E5:R5">SUM(E6:E54)</f>
        <v>5931685.87</v>
      </c>
      <c r="F5" s="57">
        <f t="shared" si="0"/>
        <v>382240.38</v>
      </c>
      <c r="G5" s="57">
        <f t="shared" si="0"/>
        <v>4673</v>
      </c>
      <c r="H5" s="57">
        <f t="shared" si="0"/>
        <v>6600.539999999999</v>
      </c>
      <c r="I5" s="57">
        <f t="shared" si="0"/>
        <v>804929.2699999999</v>
      </c>
      <c r="J5" s="57">
        <f t="shared" si="0"/>
        <v>57899.96</v>
      </c>
      <c r="K5" s="57">
        <f t="shared" si="0"/>
        <v>312.92</v>
      </c>
      <c r="L5" s="57">
        <f t="shared" si="0"/>
        <v>511971.02</v>
      </c>
      <c r="M5" s="57">
        <f t="shared" si="0"/>
        <v>88222.44</v>
      </c>
      <c r="N5" s="57">
        <f t="shared" si="0"/>
        <v>138181.69</v>
      </c>
      <c r="O5" s="57">
        <f t="shared" si="0"/>
        <v>1174964.25</v>
      </c>
      <c r="P5" s="57">
        <f t="shared" si="0"/>
        <v>11849991.819999998</v>
      </c>
      <c r="Q5" s="57">
        <f t="shared" si="0"/>
        <v>56784</v>
      </c>
      <c r="R5" s="57">
        <f t="shared" si="0"/>
        <v>104765975.46000001</v>
      </c>
      <c r="S5" s="58"/>
    </row>
    <row r="6" spans="1:18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">
      <c r="A7" s="61" t="s">
        <v>34</v>
      </c>
      <c r="B7" s="61" t="s">
        <v>102</v>
      </c>
      <c r="C7" s="61" t="s">
        <v>50</v>
      </c>
      <c r="D7" s="49">
        <f aca="true" t="shared" si="1" ref="D7:D52">SUM(E7:Q7)</f>
        <v>1263500.31</v>
      </c>
      <c r="E7" s="63">
        <f>583838.06+515479.07+164183.18</f>
        <v>1263500.31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52">D7/$D$5</f>
        <v>0.010045764339222983</v>
      </c>
    </row>
    <row r="8" spans="1:19" ht="12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2.6497436168676867E-05</v>
      </c>
    </row>
    <row r="9" spans="1:19" ht="12">
      <c r="A9" s="61" t="s">
        <v>35</v>
      </c>
      <c r="B9" s="61" t="s">
        <v>111</v>
      </c>
      <c r="C9" s="61" t="s">
        <v>50</v>
      </c>
      <c r="D9" s="49">
        <f t="shared" si="1"/>
        <v>212125.56</v>
      </c>
      <c r="E9" s="63"/>
      <c r="F9" s="63">
        <f>201112.91+1242.65+9770</f>
        <v>212125.56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0.001686555491296797</v>
      </c>
    </row>
    <row r="10" spans="1:19" ht="12">
      <c r="A10" s="61" t="s">
        <v>35</v>
      </c>
      <c r="B10" s="61" t="s">
        <v>51</v>
      </c>
      <c r="C10" s="61" t="s">
        <v>55</v>
      </c>
      <c r="D10" s="49">
        <f t="shared" si="1"/>
        <v>34246.84</v>
      </c>
      <c r="E10" s="63"/>
      <c r="F10" s="63">
        <f>34246.84</f>
        <v>34246.84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0.00027228777174029755</v>
      </c>
    </row>
    <row r="11" spans="1:19" ht="12">
      <c r="A11" s="61" t="s">
        <v>35</v>
      </c>
      <c r="B11" s="61" t="s">
        <v>108</v>
      </c>
      <c r="C11" s="61" t="s">
        <v>53</v>
      </c>
      <c r="D11" s="49">
        <f t="shared" si="1"/>
        <v>135867.97999999998</v>
      </c>
      <c r="E11" s="63"/>
      <c r="F11" s="63">
        <f>101852.98+34015</f>
        <v>135867.97999999998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0.00108025118595045</v>
      </c>
    </row>
    <row r="12" spans="1:19" ht="12">
      <c r="A12" s="61" t="s">
        <v>35</v>
      </c>
      <c r="B12" s="61" t="s">
        <v>84</v>
      </c>
      <c r="C12" s="61" t="s">
        <v>85</v>
      </c>
      <c r="D12" s="49">
        <f t="shared" si="1"/>
        <v>0</v>
      </c>
      <c r="E12" s="63"/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</v>
      </c>
    </row>
    <row r="13" spans="1:19" ht="12">
      <c r="A13" s="61" t="s">
        <v>36</v>
      </c>
      <c r="B13" s="61" t="s">
        <v>54</v>
      </c>
      <c r="C13" s="61" t="s">
        <v>50</v>
      </c>
      <c r="D13" s="49">
        <f t="shared" si="1"/>
        <v>4673</v>
      </c>
      <c r="E13" s="63"/>
      <c r="F13" s="63"/>
      <c r="G13" s="63">
        <f>4673</f>
        <v>4673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3.715381498971615E-05</v>
      </c>
    </row>
    <row r="14" spans="1:19" ht="12">
      <c r="A14" s="61" t="s">
        <v>37</v>
      </c>
      <c r="B14" s="61" t="s">
        <v>83</v>
      </c>
      <c r="C14" s="61" t="s">
        <v>50</v>
      </c>
      <c r="D14" s="49">
        <f t="shared" si="1"/>
        <v>6600.539999999999</v>
      </c>
      <c r="E14" s="63"/>
      <c r="F14" s="63"/>
      <c r="G14" s="62"/>
      <c r="H14" s="63">
        <f>2159.97+4440.57</f>
        <v>6600.539999999999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5.247918724421592E-05</v>
      </c>
    </row>
    <row r="15" spans="1:19" ht="12">
      <c r="A15" s="61" t="s">
        <v>37</v>
      </c>
      <c r="B15" s="61" t="s">
        <v>60</v>
      </c>
      <c r="C15" s="61" t="s">
        <v>87</v>
      </c>
      <c r="D15" s="49">
        <f t="shared" si="1"/>
        <v>0</v>
      </c>
      <c r="E15" s="63"/>
      <c r="F15" s="63"/>
      <c r="G15" s="62"/>
      <c r="H15" s="6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</v>
      </c>
    </row>
    <row r="16" spans="1:19" ht="12">
      <c r="A16" s="61" t="s">
        <v>38</v>
      </c>
      <c r="B16" s="61" t="s">
        <v>109</v>
      </c>
      <c r="C16" s="61" t="s">
        <v>50</v>
      </c>
      <c r="D16" s="49">
        <f t="shared" si="1"/>
        <v>31243.46</v>
      </c>
      <c r="E16" s="63"/>
      <c r="F16" s="63"/>
      <c r="G16" s="62"/>
      <c r="H16" s="63"/>
      <c r="I16" s="63">
        <f>16890.77+7375+6977.69</f>
        <v>31243.46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0.00024840867375959703</v>
      </c>
    </row>
    <row r="17" spans="1:19" ht="12">
      <c r="A17" s="61" t="s">
        <v>38</v>
      </c>
      <c r="B17" s="61" t="s">
        <v>100</v>
      </c>
      <c r="C17" s="61" t="s">
        <v>101</v>
      </c>
      <c r="D17" s="49">
        <f t="shared" si="1"/>
        <v>682212</v>
      </c>
      <c r="E17" s="63"/>
      <c r="F17" s="63"/>
      <c r="G17" s="62"/>
      <c r="H17" s="63"/>
      <c r="I17" s="63">
        <f>682212</f>
        <v>682212</v>
      </c>
      <c r="J17" s="62"/>
      <c r="K17" s="62"/>
      <c r="L17" s="62"/>
      <c r="M17" s="62"/>
      <c r="N17" s="62"/>
      <c r="O17" s="62"/>
      <c r="P17" s="62"/>
      <c r="Q17" s="62"/>
      <c r="R17" s="62"/>
      <c r="S17" s="8">
        <f t="shared" si="2"/>
        <v>0.005424091254389949</v>
      </c>
    </row>
    <row r="18" spans="1:19" ht="12">
      <c r="A18" s="61" t="s">
        <v>39</v>
      </c>
      <c r="B18" s="61" t="s">
        <v>103</v>
      </c>
      <c r="C18" s="61" t="s">
        <v>50</v>
      </c>
      <c r="D18" s="49">
        <f t="shared" si="1"/>
        <v>57899.96</v>
      </c>
      <c r="E18" s="63"/>
      <c r="F18" s="63"/>
      <c r="G18" s="62"/>
      <c r="H18" s="63"/>
      <c r="I18" s="62"/>
      <c r="J18" s="63">
        <f>337.42+57562.54</f>
        <v>57899.96</v>
      </c>
      <c r="K18" s="63"/>
      <c r="L18" s="62"/>
      <c r="M18" s="62"/>
      <c r="N18" s="62"/>
      <c r="O18" s="62"/>
      <c r="P18" s="62"/>
      <c r="Q18" s="62"/>
      <c r="R18" s="62"/>
      <c r="S18" s="8">
        <f t="shared" si="2"/>
        <v>0.0004603476143274054</v>
      </c>
    </row>
    <row r="19" spans="1:19" ht="12">
      <c r="A19" s="61" t="s">
        <v>39</v>
      </c>
      <c r="B19" s="61" t="s">
        <v>84</v>
      </c>
      <c r="C19" s="61" t="s">
        <v>53</v>
      </c>
      <c r="D19" s="49">
        <f t="shared" si="1"/>
        <v>0</v>
      </c>
      <c r="E19" s="63"/>
      <c r="F19" s="63"/>
      <c r="G19" s="62"/>
      <c r="H19" s="63"/>
      <c r="I19" s="62"/>
      <c r="J19" s="63"/>
      <c r="K19" s="63"/>
      <c r="L19" s="62"/>
      <c r="M19" s="62"/>
      <c r="N19" s="62"/>
      <c r="O19" s="62"/>
      <c r="P19" s="62"/>
      <c r="Q19" s="62"/>
      <c r="R19" s="62"/>
      <c r="S19" s="8">
        <f t="shared" si="2"/>
        <v>0</v>
      </c>
    </row>
    <row r="20" spans="1:19" ht="12">
      <c r="A20" s="61" t="s">
        <v>40</v>
      </c>
      <c r="B20" s="61" t="s">
        <v>52</v>
      </c>
      <c r="C20" s="61" t="s">
        <v>56</v>
      </c>
      <c r="D20" s="49">
        <f t="shared" si="1"/>
        <v>0</v>
      </c>
      <c r="E20" s="63"/>
      <c r="F20" s="63"/>
      <c r="G20" s="62"/>
      <c r="H20" s="63"/>
      <c r="I20" s="62"/>
      <c r="J20" s="63"/>
      <c r="K20" s="63"/>
      <c r="L20" s="62"/>
      <c r="M20" s="62"/>
      <c r="N20" s="62"/>
      <c r="O20" s="62"/>
      <c r="P20" s="62"/>
      <c r="Q20" s="62"/>
      <c r="R20" s="62"/>
      <c r="S20" s="8">
        <f t="shared" si="2"/>
        <v>0</v>
      </c>
    </row>
    <row r="21" spans="1:19" ht="12">
      <c r="A21" s="61" t="s">
        <v>41</v>
      </c>
      <c r="B21" s="61" t="s">
        <v>106</v>
      </c>
      <c r="C21" s="61" t="s">
        <v>50</v>
      </c>
      <c r="D21" s="49">
        <f t="shared" si="1"/>
        <v>107002.34</v>
      </c>
      <c r="E21" s="63"/>
      <c r="F21" s="63"/>
      <c r="G21" s="62"/>
      <c r="H21" s="63"/>
      <c r="I21" s="62"/>
      <c r="J21" s="63"/>
      <c r="K21" s="63"/>
      <c r="L21" s="63">
        <f>102684.58+4317.76</f>
        <v>107002.34</v>
      </c>
      <c r="M21" s="62"/>
      <c r="N21" s="62"/>
      <c r="O21" s="62"/>
      <c r="P21" s="62"/>
      <c r="Q21" s="62"/>
      <c r="R21" s="62"/>
      <c r="S21" s="8">
        <f t="shared" si="2"/>
        <v>0.0008507479443241395</v>
      </c>
    </row>
    <row r="22" spans="1:19" ht="12">
      <c r="A22" s="61" t="s">
        <v>41</v>
      </c>
      <c r="B22" s="61" t="s">
        <v>49</v>
      </c>
      <c r="C22" s="61" t="s">
        <v>53</v>
      </c>
      <c r="D22" s="49">
        <f t="shared" si="1"/>
        <v>0</v>
      </c>
      <c r="E22" s="63"/>
      <c r="F22" s="63"/>
      <c r="G22" s="62"/>
      <c r="H22" s="63"/>
      <c r="I22" s="62"/>
      <c r="J22" s="63"/>
      <c r="K22" s="63"/>
      <c r="L22" s="63"/>
      <c r="M22" s="62"/>
      <c r="N22" s="62"/>
      <c r="O22" s="62"/>
      <c r="P22" s="62"/>
      <c r="Q22" s="62"/>
      <c r="R22" s="62"/>
      <c r="S22" s="8">
        <f t="shared" si="2"/>
        <v>0</v>
      </c>
    </row>
    <row r="23" spans="1:19" ht="12">
      <c r="A23" s="61" t="s">
        <v>41</v>
      </c>
      <c r="B23" s="61" t="s">
        <v>49</v>
      </c>
      <c r="C23" s="61" t="s">
        <v>58</v>
      </c>
      <c r="D23" s="49">
        <f t="shared" si="1"/>
        <v>5597.48</v>
      </c>
      <c r="E23" s="63"/>
      <c r="F23" s="62"/>
      <c r="G23" s="62"/>
      <c r="H23" s="62"/>
      <c r="I23" s="62"/>
      <c r="J23" s="62"/>
      <c r="K23" s="62"/>
      <c r="L23" s="63">
        <f>5597.48</f>
        <v>5597.48</v>
      </c>
      <c r="M23" s="62"/>
      <c r="N23" s="62"/>
      <c r="O23" s="62"/>
      <c r="P23" s="62"/>
      <c r="Q23" s="62"/>
      <c r="R23" s="62"/>
      <c r="S23" s="8">
        <f t="shared" si="2"/>
        <v>4.450411648376553E-05</v>
      </c>
    </row>
    <row r="24" spans="1:19" ht="12">
      <c r="A24" s="61" t="s">
        <v>42</v>
      </c>
      <c r="B24" s="61" t="s">
        <v>54</v>
      </c>
      <c r="C24" s="61" t="s">
        <v>50</v>
      </c>
      <c r="D24" s="49">
        <f t="shared" si="1"/>
        <v>14055.29</v>
      </c>
      <c r="E24" s="63"/>
      <c r="F24" s="62"/>
      <c r="G24" s="62"/>
      <c r="H24" s="62"/>
      <c r="I24" s="62"/>
      <c r="J24" s="62"/>
      <c r="K24" s="62"/>
      <c r="L24" s="63"/>
      <c r="M24" s="63">
        <f>14055.29</f>
        <v>14055.29</v>
      </c>
      <c r="N24" s="62"/>
      <c r="O24" s="62"/>
      <c r="P24" s="62"/>
      <c r="Q24" s="62"/>
      <c r="R24" s="62"/>
      <c r="S24" s="8">
        <f t="shared" si="2"/>
        <v>0.00011174997737787449</v>
      </c>
    </row>
    <row r="25" spans="1:19" ht="12">
      <c r="A25" s="61" t="s">
        <v>42</v>
      </c>
      <c r="B25" s="61" t="s">
        <v>57</v>
      </c>
      <c r="C25" s="61" t="s">
        <v>59</v>
      </c>
      <c r="D25" s="49">
        <f t="shared" si="1"/>
        <v>74167.15</v>
      </c>
      <c r="E25" s="63"/>
      <c r="F25" s="62"/>
      <c r="G25" s="62"/>
      <c r="H25" s="62"/>
      <c r="I25" s="62"/>
      <c r="J25" s="62"/>
      <c r="K25" s="62"/>
      <c r="L25" s="63"/>
      <c r="M25" s="63">
        <f>74167.15</f>
        <v>74167.15</v>
      </c>
      <c r="N25" s="62"/>
      <c r="O25" s="62"/>
      <c r="P25" s="62"/>
      <c r="Q25" s="62"/>
      <c r="R25" s="62"/>
      <c r="S25" s="8">
        <f t="shared" si="2"/>
        <v>0.0005896838368102987</v>
      </c>
    </row>
    <row r="26" spans="1:19" ht="12">
      <c r="A26" s="61" t="s">
        <v>42</v>
      </c>
      <c r="B26" s="61" t="s">
        <v>60</v>
      </c>
      <c r="C26" s="61" t="s">
        <v>53</v>
      </c>
      <c r="D26" s="49">
        <f t="shared" si="1"/>
        <v>0</v>
      </c>
      <c r="E26" s="63"/>
      <c r="F26" s="62"/>
      <c r="G26" s="62"/>
      <c r="H26" s="62"/>
      <c r="I26" s="62"/>
      <c r="J26" s="62"/>
      <c r="K26" s="62"/>
      <c r="L26" s="63"/>
      <c r="M26" s="63"/>
      <c r="N26" s="62"/>
      <c r="O26" s="62"/>
      <c r="P26" s="62"/>
      <c r="Q26" s="62"/>
      <c r="R26" s="62"/>
      <c r="S26" s="8">
        <f t="shared" si="2"/>
        <v>0</v>
      </c>
    </row>
    <row r="27" spans="1:19" ht="12">
      <c r="A27" s="61" t="s">
        <v>43</v>
      </c>
      <c r="B27" s="61" t="s">
        <v>104</v>
      </c>
      <c r="C27" s="61" t="s">
        <v>50</v>
      </c>
      <c r="D27" s="49">
        <f t="shared" si="1"/>
        <v>138181.69</v>
      </c>
      <c r="E27" s="63"/>
      <c r="F27" s="62"/>
      <c r="G27" s="62"/>
      <c r="H27" s="62"/>
      <c r="I27" s="62"/>
      <c r="J27" s="62"/>
      <c r="K27" s="62"/>
      <c r="L27" s="63"/>
      <c r="M27" s="63"/>
      <c r="N27" s="63">
        <f>138181.69</f>
        <v>138181.69</v>
      </c>
      <c r="O27" s="62"/>
      <c r="P27" s="62"/>
      <c r="Q27" s="62"/>
      <c r="R27" s="62"/>
      <c r="S27" s="8">
        <f t="shared" si="2"/>
        <v>0.0010986468960467173</v>
      </c>
    </row>
    <row r="28" spans="1:19" ht="12">
      <c r="A28" s="61" t="s">
        <v>43</v>
      </c>
      <c r="B28" s="61" t="s">
        <v>49</v>
      </c>
      <c r="C28" s="61" t="s">
        <v>53</v>
      </c>
      <c r="D28" s="49">
        <f t="shared" si="1"/>
        <v>0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2"/>
      <c r="Q28" s="62"/>
      <c r="R28" s="62"/>
      <c r="S28" s="8">
        <f t="shared" si="2"/>
        <v>0</v>
      </c>
    </row>
    <row r="29" spans="1:19" ht="12">
      <c r="A29" s="61" t="s">
        <v>44</v>
      </c>
      <c r="B29" s="61" t="s">
        <v>105</v>
      </c>
      <c r="C29" s="61" t="s">
        <v>50</v>
      </c>
      <c r="D29" s="49">
        <f t="shared" si="1"/>
        <v>199881.25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3">
        <f>196180.58+3700.67</f>
        <v>199881.25</v>
      </c>
      <c r="P29" s="62"/>
      <c r="Q29" s="62"/>
      <c r="R29" s="62"/>
      <c r="S29" s="8">
        <f t="shared" si="2"/>
        <v>0.0015892041477451747</v>
      </c>
    </row>
    <row r="30" spans="1:19" ht="12">
      <c r="A30" s="61" t="s">
        <v>45</v>
      </c>
      <c r="B30" s="61" t="s">
        <v>107</v>
      </c>
      <c r="C30" s="61" t="s">
        <v>50</v>
      </c>
      <c r="D30" s="49">
        <f t="shared" si="1"/>
        <v>44210.86</v>
      </c>
      <c r="E30" s="63"/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>
        <f>44210.86</f>
        <v>44210.86</v>
      </c>
      <c r="Q30" s="62"/>
      <c r="R30" s="62"/>
      <c r="S30" s="8">
        <f t="shared" si="2"/>
        <v>0.00035150911897629833</v>
      </c>
    </row>
    <row r="31" spans="1:19" ht="12">
      <c r="A31" s="61" t="s">
        <v>45</v>
      </c>
      <c r="B31" s="61" t="s">
        <v>103</v>
      </c>
      <c r="C31" s="61" t="s">
        <v>82</v>
      </c>
      <c r="D31" s="49">
        <f t="shared" si="1"/>
        <v>256250</v>
      </c>
      <c r="E31" s="63"/>
      <c r="F31" s="62"/>
      <c r="G31" s="62"/>
      <c r="H31" s="62"/>
      <c r="I31" s="62"/>
      <c r="J31" s="62"/>
      <c r="K31" s="62"/>
      <c r="L31" s="63"/>
      <c r="M31" s="63"/>
      <c r="N31" s="63"/>
      <c r="O31" s="62"/>
      <c r="P31" s="63">
        <f>256250</f>
        <v>256250</v>
      </c>
      <c r="Q31" s="62"/>
      <c r="R31" s="62"/>
      <c r="S31" s="8">
        <f t="shared" si="2"/>
        <v>0.002037377507193401</v>
      </c>
    </row>
    <row r="32" spans="1:19" ht="12">
      <c r="A32" s="61" t="s">
        <v>45</v>
      </c>
      <c r="B32" s="61" t="s">
        <v>51</v>
      </c>
      <c r="C32" s="61" t="s">
        <v>110</v>
      </c>
      <c r="D32" s="49">
        <f t="shared" si="1"/>
        <v>144740.3</v>
      </c>
      <c r="E32" s="63"/>
      <c r="F32" s="62"/>
      <c r="G32" s="62"/>
      <c r="H32" s="62"/>
      <c r="I32" s="62"/>
      <c r="J32" s="62"/>
      <c r="K32" s="62"/>
      <c r="L32" s="63"/>
      <c r="M32" s="63"/>
      <c r="N32" s="63"/>
      <c r="O32" s="62"/>
      <c r="P32" s="63">
        <f>144740.3</f>
        <v>144740.3</v>
      </c>
      <c r="Q32" s="62"/>
      <c r="R32" s="62"/>
      <c r="S32" s="8">
        <f t="shared" si="2"/>
        <v>0.0011507927087001952</v>
      </c>
    </row>
    <row r="33" spans="1:20" ht="12">
      <c r="A33" s="61" t="s">
        <v>46</v>
      </c>
      <c r="B33" s="61" t="s">
        <v>86</v>
      </c>
      <c r="C33" s="61" t="s">
        <v>50</v>
      </c>
      <c r="D33" s="49">
        <f t="shared" si="1"/>
        <v>56784</v>
      </c>
      <c r="E33" s="63"/>
      <c r="F33" s="62"/>
      <c r="G33" s="62"/>
      <c r="H33" s="62"/>
      <c r="I33" s="62"/>
      <c r="J33" s="62"/>
      <c r="K33" s="62"/>
      <c r="L33" s="63"/>
      <c r="M33" s="63"/>
      <c r="N33" s="63"/>
      <c r="O33" s="62"/>
      <c r="P33" s="63"/>
      <c r="Q33" s="63">
        <f>56784</f>
        <v>56784</v>
      </c>
      <c r="R33" s="63"/>
      <c r="S33" s="8">
        <f t="shared" si="2"/>
        <v>0.0004514749048525662</v>
      </c>
      <c r="T33" s="8"/>
    </row>
    <row r="34" spans="1:20" ht="12">
      <c r="A34" s="61" t="s">
        <v>34</v>
      </c>
      <c r="B34" s="61" t="s">
        <v>113</v>
      </c>
      <c r="C34" s="61" t="s">
        <v>114</v>
      </c>
      <c r="D34" s="49">
        <f t="shared" si="1"/>
        <v>346849.3</v>
      </c>
      <c r="E34" s="63">
        <f>346849.3</f>
        <v>346849.3</v>
      </c>
      <c r="F34" s="62"/>
      <c r="G34" s="62"/>
      <c r="H34" s="62"/>
      <c r="I34" s="62"/>
      <c r="J34" s="62"/>
      <c r="K34" s="62"/>
      <c r="L34" s="63"/>
      <c r="M34" s="63"/>
      <c r="N34" s="63"/>
      <c r="O34" s="62"/>
      <c r="P34" s="63"/>
      <c r="Q34" s="63"/>
      <c r="R34" s="63"/>
      <c r="S34" s="8">
        <f t="shared" si="2"/>
        <v>0.0027577091208030287</v>
      </c>
      <c r="T34" s="8"/>
    </row>
    <row r="35" spans="1:19" ht="12">
      <c r="A35" s="2" t="s">
        <v>34</v>
      </c>
      <c r="B35" s="2" t="s">
        <v>91</v>
      </c>
      <c r="C35" t="s">
        <v>61</v>
      </c>
      <c r="D35" s="49">
        <f t="shared" si="1"/>
        <v>3960919.18</v>
      </c>
      <c r="E35" s="49">
        <f>3960919.18</f>
        <v>3960919.18</v>
      </c>
      <c r="S35" s="8">
        <f t="shared" si="2"/>
        <v>0.03149224446885046</v>
      </c>
    </row>
    <row r="36" spans="1:19" ht="12">
      <c r="A36" s="2" t="s">
        <v>34</v>
      </c>
      <c r="B36" s="2" t="s">
        <v>88</v>
      </c>
      <c r="C36" s="64" t="s">
        <v>63</v>
      </c>
      <c r="D36" s="49">
        <f t="shared" si="1"/>
        <v>357084.38</v>
      </c>
      <c r="E36" s="49">
        <f>357084.38</f>
        <v>357084.38</v>
      </c>
      <c r="S36" s="8">
        <f t="shared" si="2"/>
        <v>0.002839085596027712</v>
      </c>
    </row>
    <row r="37" spans="1:19" ht="12">
      <c r="A37" s="2" t="s">
        <v>38</v>
      </c>
      <c r="B37" s="2" t="s">
        <v>64</v>
      </c>
      <c r="C37" t="s">
        <v>65</v>
      </c>
      <c r="D37" s="49">
        <f t="shared" si="1"/>
        <v>-20450</v>
      </c>
      <c r="I37" s="49">
        <v>-20450</v>
      </c>
      <c r="S37" s="8">
        <f t="shared" si="2"/>
        <v>-0.00016259266350089776</v>
      </c>
    </row>
    <row r="38" spans="1:19" ht="12">
      <c r="A38" s="2" t="s">
        <v>38</v>
      </c>
      <c r="B38" s="2" t="s">
        <v>115</v>
      </c>
      <c r="C38" t="s">
        <v>66</v>
      </c>
      <c r="D38" s="49">
        <f t="shared" si="1"/>
        <v>472889.81000000006</v>
      </c>
      <c r="I38" s="49">
        <f>323747.52+149142.29</f>
        <v>472889.81000000006</v>
      </c>
      <c r="S38" s="8">
        <f t="shared" si="2"/>
        <v>0.003759824633268141</v>
      </c>
    </row>
    <row r="39" spans="1:19" ht="12">
      <c r="A39" s="2" t="s">
        <v>38</v>
      </c>
      <c r="B39" s="2" t="s">
        <v>64</v>
      </c>
      <c r="C39" t="s">
        <v>67</v>
      </c>
      <c r="D39" s="49">
        <f t="shared" si="1"/>
        <v>-106036.85</v>
      </c>
      <c r="I39" s="49">
        <f>-106036.85</f>
        <v>-106036.85</v>
      </c>
      <c r="S39" s="8">
        <f t="shared" si="2"/>
        <v>-0.0008430715829215243</v>
      </c>
    </row>
    <row r="40" spans="1:19" ht="12">
      <c r="A40" s="2" t="s">
        <v>38</v>
      </c>
      <c r="B40" s="2" t="s">
        <v>92</v>
      </c>
      <c r="C40" t="s">
        <v>89</v>
      </c>
      <c r="D40" s="49">
        <f t="shared" si="1"/>
        <v>-254929.15</v>
      </c>
      <c r="I40" s="49">
        <f>-18590-236339.15</f>
        <v>-254929.15</v>
      </c>
      <c r="S40" s="8">
        <f t="shared" si="2"/>
        <v>-0.0020268757702943713</v>
      </c>
    </row>
    <row r="41" spans="1:19" ht="12">
      <c r="A41" s="2" t="s">
        <v>40</v>
      </c>
      <c r="B41" s="2" t="s">
        <v>62</v>
      </c>
      <c r="C41" t="s">
        <v>68</v>
      </c>
      <c r="D41" s="49">
        <f t="shared" si="1"/>
        <v>312.92</v>
      </c>
      <c r="K41" s="49">
        <f>312.92</f>
        <v>312.92</v>
      </c>
      <c r="S41" s="8">
        <f t="shared" si="2"/>
        <v>2.487946027515938E-06</v>
      </c>
    </row>
    <row r="42" spans="1:19" ht="12">
      <c r="A42" s="2" t="s">
        <v>41</v>
      </c>
      <c r="B42" s="2" t="s">
        <v>116</v>
      </c>
      <c r="C42" t="s">
        <v>70</v>
      </c>
      <c r="D42" s="49">
        <f t="shared" si="1"/>
        <v>399371.2</v>
      </c>
      <c r="L42" s="49">
        <f>399371.2</f>
        <v>399371.2</v>
      </c>
      <c r="S42" s="8">
        <f t="shared" si="2"/>
        <v>0.0031752971703447306</v>
      </c>
    </row>
    <row r="43" spans="1:19" ht="12">
      <c r="A43" s="2" t="s">
        <v>44</v>
      </c>
      <c r="B43" s="2" t="s">
        <v>117</v>
      </c>
      <c r="C43" t="s">
        <v>72</v>
      </c>
      <c r="D43" s="49">
        <f t="shared" si="1"/>
        <v>905896.54</v>
      </c>
      <c r="O43" s="49">
        <f>41444.49+862030.06+203.84+2218.15</f>
        <v>905896.54</v>
      </c>
      <c r="S43" s="8">
        <f t="shared" si="2"/>
        <v>0.007202549207572009</v>
      </c>
    </row>
    <row r="44" spans="1:19" ht="12">
      <c r="A44" s="2" t="s">
        <v>44</v>
      </c>
      <c r="B44" s="2" t="s">
        <v>62</v>
      </c>
      <c r="C44" t="s">
        <v>73</v>
      </c>
      <c r="D44" s="49">
        <f t="shared" si="1"/>
        <v>10888.22</v>
      </c>
      <c r="O44" s="49">
        <f>10888.22</f>
        <v>10888.22</v>
      </c>
      <c r="S44" s="8">
        <f t="shared" si="2"/>
        <v>8.656942252243252E-05</v>
      </c>
    </row>
    <row r="45" spans="1:19" ht="12">
      <c r="A45" s="2" t="s">
        <v>44</v>
      </c>
      <c r="B45" s="2" t="s">
        <v>74</v>
      </c>
      <c r="C45" t="s">
        <v>75</v>
      </c>
      <c r="D45" s="49">
        <f t="shared" si="1"/>
        <v>58298.24</v>
      </c>
      <c r="O45" s="49">
        <f>58298.24</f>
        <v>58298.24</v>
      </c>
      <c r="S45" s="8">
        <f t="shared" si="2"/>
        <v>0.0004635142356486346</v>
      </c>
    </row>
    <row r="46" spans="1:19" ht="12">
      <c r="A46" s="2" t="s">
        <v>45</v>
      </c>
      <c r="B46" s="2" t="s">
        <v>88</v>
      </c>
      <c r="C46" t="s">
        <v>118</v>
      </c>
      <c r="D46" s="49">
        <f t="shared" si="1"/>
        <v>265675.02</v>
      </c>
      <c r="P46" s="49">
        <f>265675.02</f>
        <v>265675.02</v>
      </c>
      <c r="S46" s="8">
        <f t="shared" si="2"/>
        <v>0.002112313404765491</v>
      </c>
    </row>
    <row r="47" spans="1:19" ht="12">
      <c r="A47" s="2" t="s">
        <v>45</v>
      </c>
      <c r="B47" s="2" t="s">
        <v>76</v>
      </c>
      <c r="C47" t="s">
        <v>77</v>
      </c>
      <c r="D47" s="49">
        <f t="shared" si="1"/>
        <v>1444230.52</v>
      </c>
      <c r="P47" s="49">
        <f>1444230.52</f>
        <v>1444230.52</v>
      </c>
      <c r="S47" s="8">
        <f t="shared" si="2"/>
        <v>0.011482703518635042</v>
      </c>
    </row>
    <row r="48" spans="1:19" ht="12">
      <c r="A48" s="2" t="s">
        <v>45</v>
      </c>
      <c r="B48" s="2" t="s">
        <v>90</v>
      </c>
      <c r="C48" t="s">
        <v>66</v>
      </c>
      <c r="D48" s="49">
        <f t="shared" si="1"/>
        <v>4300033.9399999995</v>
      </c>
      <c r="P48" s="49">
        <f>4270423.51+29610.43</f>
        <v>4300033.9399999995</v>
      </c>
      <c r="S48" s="8">
        <f t="shared" si="2"/>
        <v>0.034188458261557926</v>
      </c>
    </row>
    <row r="49" spans="1:19" ht="12">
      <c r="A49" s="2" t="s">
        <v>45</v>
      </c>
      <c r="B49" s="2" t="s">
        <v>120</v>
      </c>
      <c r="C49" t="s">
        <v>78</v>
      </c>
      <c r="D49" s="49">
        <f t="shared" si="1"/>
        <v>4085992.21</v>
      </c>
      <c r="P49" s="49">
        <f>6135.54+4079856.67</f>
        <v>4085992.21</v>
      </c>
      <c r="S49" s="8">
        <f t="shared" si="2"/>
        <v>0.03248666779793739</v>
      </c>
    </row>
    <row r="50" spans="1:19" ht="12">
      <c r="A50" s="2" t="s">
        <v>45</v>
      </c>
      <c r="B50" s="2" t="s">
        <v>69</v>
      </c>
      <c r="C50" t="s">
        <v>119</v>
      </c>
      <c r="D50" s="49">
        <f t="shared" si="1"/>
        <v>-209416.4</v>
      </c>
      <c r="P50" s="49">
        <v>-209416.4</v>
      </c>
      <c r="S50" s="8">
        <f t="shared" si="2"/>
        <v>-0.0016650156604777215</v>
      </c>
    </row>
    <row r="51" spans="1:19" ht="12">
      <c r="A51" s="2" t="s">
        <v>45</v>
      </c>
      <c r="B51" s="2" t="s">
        <v>93</v>
      </c>
      <c r="C51" t="s">
        <v>79</v>
      </c>
      <c r="D51" s="49">
        <f t="shared" si="1"/>
        <v>983757.18</v>
      </c>
      <c r="P51" s="49">
        <f>983757.18</f>
        <v>983757.18</v>
      </c>
      <c r="S51" s="8">
        <f t="shared" si="2"/>
        <v>0.007821599028573697</v>
      </c>
    </row>
    <row r="52" spans="1:20" ht="12">
      <c r="A52" s="2" t="s">
        <v>45</v>
      </c>
      <c r="B52" s="2" t="s">
        <v>69</v>
      </c>
      <c r="C52" t="s">
        <v>80</v>
      </c>
      <c r="D52" s="49">
        <f t="shared" si="1"/>
        <v>534518.19</v>
      </c>
      <c r="P52" s="49">
        <f>534518.19</f>
        <v>534518.19</v>
      </c>
      <c r="S52" s="8">
        <f t="shared" si="2"/>
        <v>0.004249815951187234</v>
      </c>
      <c r="T52" s="8"/>
    </row>
    <row r="53" spans="1:20" ht="12">
      <c r="A53" s="2"/>
      <c r="B53" s="2"/>
      <c r="C53" t="s">
        <v>123</v>
      </c>
      <c r="D53" s="49">
        <f>SUM(E53:R53)</f>
        <v>104765975.46000001</v>
      </c>
      <c r="R53" s="49">
        <f>125774432.62-21008457.16</f>
        <v>104765975.46000001</v>
      </c>
      <c r="S53" s="8">
        <f>R53/$D$5</f>
        <v>0.8329671879858725</v>
      </c>
      <c r="T53" s="8"/>
    </row>
    <row r="54" spans="5:19" ht="12"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6"/>
    </row>
    <row r="55" spans="2:19" s="8" customFormat="1" ht="12.75" thickBot="1">
      <c r="B55" s="67"/>
      <c r="C55" s="68" t="s">
        <v>81</v>
      </c>
      <c r="D55" s="69">
        <f>SUM(E55:R55)</f>
        <v>1</v>
      </c>
      <c r="E55" s="70">
        <f>E5/D5</f>
        <v>0.04716130096107286</v>
      </c>
      <c r="F55" s="70">
        <f>F5/D5</f>
        <v>0.003039094448987545</v>
      </c>
      <c r="G55" s="70">
        <f>G5/D5</f>
        <v>3.715381498971615E-05</v>
      </c>
      <c r="H55" s="70">
        <f>H5/D5</f>
        <v>5.247918724421592E-05</v>
      </c>
      <c r="I55" s="70">
        <f>I5/D5</f>
        <v>0.006399784544700893</v>
      </c>
      <c r="J55" s="70">
        <f>J5/D5</f>
        <v>0.0004603476143274054</v>
      </c>
      <c r="K55" s="70">
        <f>K5/D5</f>
        <v>2.487946027515938E-06</v>
      </c>
      <c r="L55" s="70">
        <f>L5/D5</f>
        <v>0.004070549231152636</v>
      </c>
      <c r="M55" s="70">
        <f>M5/D5</f>
        <v>0.0007014338141881733</v>
      </c>
      <c r="N55" s="70">
        <f>N5/D5</f>
        <v>0.0010986468960467173</v>
      </c>
      <c r="O55" s="70">
        <f>O5/D5</f>
        <v>0.00934183701348825</v>
      </c>
      <c r="P55" s="70">
        <f>P5/D5</f>
        <v>0.09421622163704894</v>
      </c>
      <c r="Q55" s="70">
        <f>Q5/D5</f>
        <v>0.0004514749048525662</v>
      </c>
      <c r="R55" s="70">
        <f>R5/D5</f>
        <v>0.8329671879858725</v>
      </c>
      <c r="S55" s="70">
        <f>SUM(S6:S54)</f>
        <v>1</v>
      </c>
    </row>
    <row r="56" spans="1:19" s="8" customFormat="1" ht="12.75" thickTop="1">
      <c r="A56" s="71"/>
      <c r="C56" s="6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printOptions/>
  <pageMargins left="0" right="0" top="0.25" bottom="0.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7" width="11.7109375" style="49" customWidth="1"/>
    <col min="8" max="8" width="10.7109375" style="49" customWidth="1"/>
    <col min="9" max="9" width="13.7109375" style="49" customWidth="1"/>
    <col min="10" max="10" width="11.7109375" style="49" customWidth="1"/>
    <col min="11" max="11" width="12.7109375" style="49" customWidth="1"/>
    <col min="12" max="12" width="13.7109375" style="49" customWidth="1"/>
    <col min="13" max="13" width="12.7109375" style="49" customWidth="1"/>
    <col min="14" max="16" width="13.7109375" style="49" customWidth="1"/>
    <col min="17" max="17" width="11.7109375" style="49" customWidth="1"/>
    <col min="18" max="18" width="12.7109375" style="8" customWidth="1"/>
    <col min="19" max="19" width="10.28125" style="0" bestFit="1" customWidth="1"/>
  </cols>
  <sheetData>
    <row r="1" ht="12">
      <c r="A1" s="48" t="s">
        <v>99</v>
      </c>
    </row>
    <row r="3" spans="1:18" ht="12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30</v>
      </c>
    </row>
    <row r="4" spans="1:18" ht="12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5" t="s">
        <v>47</v>
      </c>
    </row>
    <row r="5" spans="1:18" s="59" customFormat="1" ht="12.75" thickBot="1">
      <c r="A5" s="56"/>
      <c r="B5" s="56"/>
      <c r="C5" s="56" t="s">
        <v>48</v>
      </c>
      <c r="D5" s="57">
        <f>SUM(E5:Q5)</f>
        <v>120493905.11000001</v>
      </c>
      <c r="E5" s="57">
        <f aca="true" t="shared" si="0" ref="E5:Q5">SUM(E6:E49)</f>
        <v>35297726</v>
      </c>
      <c r="F5" s="57">
        <f t="shared" si="0"/>
        <v>1788122.8199999998</v>
      </c>
      <c r="G5" s="57">
        <f t="shared" si="0"/>
        <v>239444.97</v>
      </c>
      <c r="H5" s="57">
        <f t="shared" si="0"/>
        <v>82629.26</v>
      </c>
      <c r="I5" s="57">
        <f t="shared" si="0"/>
        <v>10971655.21</v>
      </c>
      <c r="J5" s="57">
        <f t="shared" si="0"/>
        <v>374939.49</v>
      </c>
      <c r="K5" s="57">
        <f t="shared" si="0"/>
        <v>312.92</v>
      </c>
      <c r="L5" s="57">
        <f t="shared" si="0"/>
        <v>11503936.99</v>
      </c>
      <c r="M5" s="57">
        <f t="shared" si="0"/>
        <v>916986.1900000001</v>
      </c>
      <c r="N5" s="57">
        <f t="shared" si="0"/>
        <v>511589.39</v>
      </c>
      <c r="O5" s="57">
        <f t="shared" si="0"/>
        <v>5972990.77</v>
      </c>
      <c r="P5" s="57">
        <f t="shared" si="0"/>
        <v>52705455.10000001</v>
      </c>
      <c r="Q5" s="57">
        <f t="shared" si="0"/>
        <v>128116</v>
      </c>
      <c r="R5" s="58"/>
    </row>
    <row r="6" spans="1:17" ht="12.7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">
      <c r="A7" s="61" t="s">
        <v>34</v>
      </c>
      <c r="B7" s="61" t="s">
        <v>102</v>
      </c>
      <c r="C7" s="61" t="s">
        <v>50</v>
      </c>
      <c r="D7" s="49">
        <f aca="true" t="shared" si="1" ref="D7:D48">SUM(E7:Q7)</f>
        <v>7549474.93</v>
      </c>
      <c r="E7" s="63">
        <f>5465039.68+1290489.45+793945.8</f>
        <v>7549474.93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8">D7/$D$5</f>
        <v>0.06265441329258947</v>
      </c>
    </row>
    <row r="8" spans="1:18" ht="12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2.765866038583069E-05</v>
      </c>
    </row>
    <row r="9" spans="1:18" ht="12">
      <c r="A9" s="61" t="s">
        <v>35</v>
      </c>
      <c r="B9" s="61" t="s">
        <v>140</v>
      </c>
      <c r="C9" s="61" t="s">
        <v>50</v>
      </c>
      <c r="D9" s="49">
        <f t="shared" si="1"/>
        <v>668855.7699999999</v>
      </c>
      <c r="E9" s="63"/>
      <c r="F9" s="63">
        <f>271847.12+1242.65+320603.41+75162.59</f>
        <v>668855.7699999999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0.0055509510575609215</v>
      </c>
    </row>
    <row r="10" spans="1:18" ht="12">
      <c r="A10" s="61" t="s">
        <v>35</v>
      </c>
      <c r="B10" s="61" t="s">
        <v>51</v>
      </c>
      <c r="C10" s="61" t="s">
        <v>55</v>
      </c>
      <c r="D10" s="49">
        <f t="shared" si="1"/>
        <v>207272.78</v>
      </c>
      <c r="E10" s="63"/>
      <c r="F10" s="63">
        <f>207272.78</f>
        <v>207272.78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0.001720193065456537</v>
      </c>
    </row>
    <row r="11" spans="1:18" ht="12">
      <c r="A11" s="61" t="s">
        <v>35</v>
      </c>
      <c r="B11" s="61" t="s">
        <v>108</v>
      </c>
      <c r="C11" s="61" t="s">
        <v>53</v>
      </c>
      <c r="D11" s="49">
        <f t="shared" si="1"/>
        <v>390235.72</v>
      </c>
      <c r="E11" s="63"/>
      <c r="F11" s="63">
        <f>353280.72+36955</f>
        <v>390235.72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0.0032386345155279855</v>
      </c>
    </row>
    <row r="12" spans="1:18" ht="12">
      <c r="A12" s="61" t="s">
        <v>36</v>
      </c>
      <c r="B12" s="61" t="s">
        <v>54</v>
      </c>
      <c r="C12" s="61" t="s">
        <v>50</v>
      </c>
      <c r="D12" s="49">
        <f t="shared" si="1"/>
        <v>149444.97</v>
      </c>
      <c r="E12" s="63"/>
      <c r="F12" s="63"/>
      <c r="G12" s="63">
        <f>78749.97+70695</f>
        <v>149444.97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0.0012402699527712235</v>
      </c>
    </row>
    <row r="13" spans="1:18" ht="12">
      <c r="A13" s="61" t="s">
        <v>36</v>
      </c>
      <c r="B13" s="61" t="s">
        <v>84</v>
      </c>
      <c r="C13" s="61" t="s">
        <v>53</v>
      </c>
      <c r="D13" s="49">
        <f t="shared" si="1"/>
        <v>90000</v>
      </c>
      <c r="E13" s="63"/>
      <c r="F13" s="63"/>
      <c r="G13" s="63">
        <f>90000</f>
        <v>90000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0.0007469257463092275</v>
      </c>
    </row>
    <row r="14" spans="1:18" ht="12">
      <c r="A14" s="61" t="s">
        <v>37</v>
      </c>
      <c r="B14" s="61" t="s">
        <v>83</v>
      </c>
      <c r="C14" s="61" t="s">
        <v>50</v>
      </c>
      <c r="D14" s="49">
        <f t="shared" si="1"/>
        <v>82629.26</v>
      </c>
      <c r="E14" s="63"/>
      <c r="F14" s="63"/>
      <c r="G14" s="62"/>
      <c r="H14" s="63">
        <f>35172.5+22176.76+25280</f>
        <v>82629.26</v>
      </c>
      <c r="I14" s="62"/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0.000685754685471991</v>
      </c>
    </row>
    <row r="15" spans="1:18" ht="12">
      <c r="A15" s="61" t="s">
        <v>38</v>
      </c>
      <c r="B15" s="61" t="s">
        <v>151</v>
      </c>
      <c r="C15" s="61" t="s">
        <v>50</v>
      </c>
      <c r="D15" s="49">
        <f t="shared" si="1"/>
        <v>1473440.1500000001</v>
      </c>
      <c r="E15" s="63"/>
      <c r="F15" s="63"/>
      <c r="G15" s="62"/>
      <c r="H15" s="63"/>
      <c r="I15" s="63">
        <f>9700+376900.74+600591.65+130744.47+355503.29</f>
        <v>1473440.1500000001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0.012228337596452558</v>
      </c>
    </row>
    <row r="16" spans="1:18" ht="12">
      <c r="A16" s="61" t="s">
        <v>38</v>
      </c>
      <c r="B16" s="61" t="s">
        <v>100</v>
      </c>
      <c r="C16" s="61" t="s">
        <v>101</v>
      </c>
      <c r="D16" s="49">
        <f t="shared" si="1"/>
        <v>682212</v>
      </c>
      <c r="E16" s="63"/>
      <c r="F16" s="63"/>
      <c r="G16" s="62"/>
      <c r="H16" s="63"/>
      <c r="I16" s="63">
        <f>682212</f>
        <v>682212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0.005661796747123452</v>
      </c>
    </row>
    <row r="17" spans="1:18" ht="12">
      <c r="A17" s="61" t="s">
        <v>39</v>
      </c>
      <c r="B17" s="61" t="s">
        <v>152</v>
      </c>
      <c r="C17" s="61" t="s">
        <v>50</v>
      </c>
      <c r="D17" s="49">
        <f t="shared" si="1"/>
        <v>326727.49</v>
      </c>
      <c r="E17" s="63"/>
      <c r="F17" s="63"/>
      <c r="G17" s="62"/>
      <c r="H17" s="63"/>
      <c r="I17" s="62"/>
      <c r="J17" s="63">
        <f>74674+155066.67+39424.28+57562.54</f>
        <v>326727.49</v>
      </c>
      <c r="K17" s="63"/>
      <c r="L17" s="62"/>
      <c r="M17" s="62"/>
      <c r="N17" s="62"/>
      <c r="O17" s="62"/>
      <c r="P17" s="62"/>
      <c r="Q17" s="62"/>
      <c r="R17" s="8">
        <f t="shared" si="2"/>
        <v>0.0027115686034221184</v>
      </c>
    </row>
    <row r="18" spans="1:18" ht="12">
      <c r="A18" s="61" t="s">
        <v>39</v>
      </c>
      <c r="B18" s="61" t="s">
        <v>84</v>
      </c>
      <c r="C18" s="61" t="s">
        <v>53</v>
      </c>
      <c r="D18" s="49">
        <f t="shared" si="1"/>
        <v>48212</v>
      </c>
      <c r="E18" s="63"/>
      <c r="F18" s="63"/>
      <c r="G18" s="62"/>
      <c r="H18" s="63"/>
      <c r="I18" s="62"/>
      <c r="J18" s="63">
        <f>48212</f>
        <v>48212</v>
      </c>
      <c r="K18" s="63"/>
      <c r="L18" s="62"/>
      <c r="M18" s="62"/>
      <c r="N18" s="62"/>
      <c r="O18" s="62"/>
      <c r="P18" s="62"/>
      <c r="Q18" s="62"/>
      <c r="R18" s="8">
        <f t="shared" si="2"/>
        <v>0.00040011982312289417</v>
      </c>
    </row>
    <row r="19" spans="1:18" ht="12">
      <c r="A19" s="61" t="s">
        <v>41</v>
      </c>
      <c r="B19" s="61" t="s">
        <v>153</v>
      </c>
      <c r="C19" s="61" t="s">
        <v>50</v>
      </c>
      <c r="D19" s="49">
        <f t="shared" si="1"/>
        <v>213746.84</v>
      </c>
      <c r="E19" s="63"/>
      <c r="F19" s="63"/>
      <c r="G19" s="62"/>
      <c r="H19" s="63"/>
      <c r="I19" s="62"/>
      <c r="J19" s="63"/>
      <c r="K19" s="63"/>
      <c r="L19" s="63">
        <f>13775+195053.08+4918.76</f>
        <v>213746.84</v>
      </c>
      <c r="M19" s="62"/>
      <c r="N19" s="62"/>
      <c r="O19" s="62"/>
      <c r="P19" s="62"/>
      <c r="Q19" s="62"/>
      <c r="R19" s="8">
        <f t="shared" si="2"/>
        <v>0.001773922422091545</v>
      </c>
    </row>
    <row r="20" spans="1:18" ht="12">
      <c r="A20" s="61" t="s">
        <v>41</v>
      </c>
      <c r="B20" s="61" t="s">
        <v>49</v>
      </c>
      <c r="C20" s="61" t="s">
        <v>58</v>
      </c>
      <c r="D20" s="49">
        <f t="shared" si="1"/>
        <v>29432.82</v>
      </c>
      <c r="E20" s="63"/>
      <c r="F20" s="62"/>
      <c r="G20" s="62"/>
      <c r="H20" s="62"/>
      <c r="I20" s="62"/>
      <c r="J20" s="62"/>
      <c r="K20" s="62"/>
      <c r="L20" s="63">
        <f>29432.82</f>
        <v>29432.82</v>
      </c>
      <c r="M20" s="62"/>
      <c r="N20" s="62"/>
      <c r="O20" s="62"/>
      <c r="P20" s="62"/>
      <c r="Q20" s="62"/>
      <c r="R20" s="8">
        <f t="shared" si="2"/>
        <v>0.00024426812271650174</v>
      </c>
    </row>
    <row r="21" spans="1:18" ht="12">
      <c r="A21" s="61" t="s">
        <v>42</v>
      </c>
      <c r="B21" s="61" t="s">
        <v>139</v>
      </c>
      <c r="C21" s="61" t="s">
        <v>50</v>
      </c>
      <c r="D21" s="49">
        <f t="shared" si="1"/>
        <v>614082.79</v>
      </c>
      <c r="E21" s="63"/>
      <c r="F21" s="62"/>
      <c r="G21" s="62"/>
      <c r="H21" s="62"/>
      <c r="I21" s="62"/>
      <c r="J21" s="62"/>
      <c r="K21" s="62"/>
      <c r="L21" s="63"/>
      <c r="M21" s="63">
        <f>241560+286501.5+68444.01+17577.28</f>
        <v>614082.79</v>
      </c>
      <c r="N21" s="62"/>
      <c r="O21" s="62"/>
      <c r="P21" s="62"/>
      <c r="Q21" s="62"/>
      <c r="R21" s="8">
        <f t="shared" si="2"/>
        <v>0.005096380513515585</v>
      </c>
    </row>
    <row r="22" spans="1:18" ht="12">
      <c r="A22" s="61" t="s">
        <v>42</v>
      </c>
      <c r="B22" s="61" t="s">
        <v>57</v>
      </c>
      <c r="C22" s="61" t="s">
        <v>59</v>
      </c>
      <c r="D22" s="49">
        <f t="shared" si="1"/>
        <v>118957.11</v>
      </c>
      <c r="E22" s="63"/>
      <c r="F22" s="62"/>
      <c r="G22" s="62"/>
      <c r="H22" s="62"/>
      <c r="I22" s="62"/>
      <c r="J22" s="62"/>
      <c r="K22" s="62"/>
      <c r="L22" s="63"/>
      <c r="M22" s="63">
        <f>118957.11</f>
        <v>118957.11</v>
      </c>
      <c r="N22" s="62"/>
      <c r="O22" s="62"/>
      <c r="P22" s="62"/>
      <c r="Q22" s="62"/>
      <c r="R22" s="8">
        <f t="shared" si="2"/>
        <v>0.0009872458685059875</v>
      </c>
    </row>
    <row r="23" spans="1:18" ht="12">
      <c r="A23" s="61" t="s">
        <v>42</v>
      </c>
      <c r="B23" s="61" t="s">
        <v>60</v>
      </c>
      <c r="C23" s="61" t="s">
        <v>53</v>
      </c>
      <c r="D23" s="49">
        <f t="shared" si="1"/>
        <v>157373.79</v>
      </c>
      <c r="E23" s="63"/>
      <c r="F23" s="62"/>
      <c r="G23" s="62"/>
      <c r="H23" s="62"/>
      <c r="I23" s="62"/>
      <c r="J23" s="62"/>
      <c r="K23" s="62"/>
      <c r="L23" s="63"/>
      <c r="M23" s="63">
        <f>157373.79</f>
        <v>157373.79</v>
      </c>
      <c r="N23" s="62"/>
      <c r="O23" s="62"/>
      <c r="P23" s="62"/>
      <c r="Q23" s="62"/>
      <c r="R23" s="8">
        <f t="shared" si="2"/>
        <v>0.0013060726171695738</v>
      </c>
    </row>
    <row r="24" spans="1:18" ht="12">
      <c r="A24" s="61" t="s">
        <v>43</v>
      </c>
      <c r="B24" s="61" t="s">
        <v>154</v>
      </c>
      <c r="C24" s="61" t="s">
        <v>50</v>
      </c>
      <c r="D24" s="49">
        <f t="shared" si="1"/>
        <v>511589.39</v>
      </c>
      <c r="E24" s="63"/>
      <c r="F24" s="62"/>
      <c r="G24" s="62"/>
      <c r="H24" s="62"/>
      <c r="I24" s="62"/>
      <c r="J24" s="62"/>
      <c r="K24" s="62"/>
      <c r="L24" s="63"/>
      <c r="M24" s="63"/>
      <c r="N24" s="63">
        <f>49796.39+149747.86+312045.14</f>
        <v>511589.39</v>
      </c>
      <c r="O24" s="62"/>
      <c r="P24" s="62"/>
      <c r="Q24" s="62"/>
      <c r="R24" s="8">
        <f t="shared" si="2"/>
        <v>0.004245769854773694</v>
      </c>
    </row>
    <row r="25" spans="1:18" ht="12">
      <c r="A25" s="61" t="s">
        <v>44</v>
      </c>
      <c r="B25" s="61" t="s">
        <v>155</v>
      </c>
      <c r="C25" s="61" t="s">
        <v>50</v>
      </c>
      <c r="D25" s="49">
        <f t="shared" si="1"/>
        <v>300769.35</v>
      </c>
      <c r="E25" s="63"/>
      <c r="F25" s="62"/>
      <c r="G25" s="62"/>
      <c r="H25" s="62"/>
      <c r="I25" s="62"/>
      <c r="J25" s="62"/>
      <c r="K25" s="62"/>
      <c r="L25" s="63"/>
      <c r="M25" s="63"/>
      <c r="N25" s="63"/>
      <c r="O25" s="63">
        <f>9769.18+287299.5+3700.67</f>
        <v>300769.35</v>
      </c>
      <c r="P25" s="62"/>
      <c r="Q25" s="62"/>
      <c r="R25" s="8">
        <f t="shared" si="2"/>
        <v>0.002496137457952125</v>
      </c>
    </row>
    <row r="26" spans="1:18" ht="12">
      <c r="A26" s="61" t="s">
        <v>45</v>
      </c>
      <c r="B26" s="61" t="s">
        <v>138</v>
      </c>
      <c r="C26" s="61" t="s">
        <v>50</v>
      </c>
      <c r="D26" s="49">
        <f t="shared" si="1"/>
        <v>339520.73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2"/>
      <c r="P26" s="63">
        <f>13876.75+322735.38+2483.6+425</f>
        <v>339520.73</v>
      </c>
      <c r="Q26" s="62"/>
      <c r="R26" s="8">
        <f t="shared" si="2"/>
        <v>0.0028177419404744855</v>
      </c>
    </row>
    <row r="27" spans="1:18" ht="12">
      <c r="A27" s="61" t="s">
        <v>45</v>
      </c>
      <c r="B27" s="61" t="s">
        <v>111</v>
      </c>
      <c r="C27" s="61" t="s">
        <v>82</v>
      </c>
      <c r="D27" s="49">
        <f t="shared" si="1"/>
        <v>3930914.5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685640.92+936498+2308775.58</f>
        <v>3930914.5</v>
      </c>
      <c r="Q27" s="62"/>
      <c r="R27" s="8">
        <f t="shared" si="2"/>
        <v>0.032623347184336265</v>
      </c>
    </row>
    <row r="28" spans="1:18" ht="12">
      <c r="A28" s="61" t="s">
        <v>45</v>
      </c>
      <c r="B28" s="61" t="s">
        <v>51</v>
      </c>
      <c r="C28" s="61" t="s">
        <v>110</v>
      </c>
      <c r="D28" s="49">
        <f t="shared" si="1"/>
        <v>144740.3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>
        <f>144740.3</f>
        <v>144740.3</v>
      </c>
      <c r="Q28" s="62"/>
      <c r="R28" s="8">
        <f t="shared" si="2"/>
        <v>0.0012012250733169053</v>
      </c>
    </row>
    <row r="29" spans="1:19" ht="12">
      <c r="A29" s="61" t="s">
        <v>46</v>
      </c>
      <c r="B29" s="61" t="s">
        <v>86</v>
      </c>
      <c r="C29" s="61" t="s">
        <v>50</v>
      </c>
      <c r="D29" s="49">
        <f t="shared" si="1"/>
        <v>128116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/>
      <c r="Q29" s="63">
        <f>128116</f>
        <v>128116</v>
      </c>
      <c r="R29" s="8">
        <f t="shared" si="2"/>
        <v>0.0010632570990461443</v>
      </c>
      <c r="S29" s="8">
        <f>SUM(R7:R29)</f>
        <v>0.15072199190009303</v>
      </c>
    </row>
    <row r="30" spans="1:19" ht="12">
      <c r="A30" s="61" t="s">
        <v>34</v>
      </c>
      <c r="B30" s="61" t="s">
        <v>113</v>
      </c>
      <c r="C30" s="61" t="s">
        <v>114</v>
      </c>
      <c r="D30" s="49">
        <f t="shared" si="1"/>
        <v>4618537.79</v>
      </c>
      <c r="E30" s="63">
        <f>4618537.79</f>
        <v>4618537.79</v>
      </c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/>
      <c r="Q30" s="63"/>
      <c r="R30" s="8">
        <f t="shared" si="2"/>
        <v>0.03833005317392356</v>
      </c>
      <c r="S30" s="8"/>
    </row>
    <row r="31" spans="1:18" ht="12">
      <c r="A31" s="2" t="s">
        <v>34</v>
      </c>
      <c r="B31" s="2" t="s">
        <v>91</v>
      </c>
      <c r="C31" t="s">
        <v>61</v>
      </c>
      <c r="D31" s="49">
        <f t="shared" si="1"/>
        <v>8368993.14</v>
      </c>
      <c r="E31" s="49">
        <f>8367493.14+1500</f>
        <v>8368993.14</v>
      </c>
      <c r="R31" s="8">
        <f t="shared" si="2"/>
        <v>0.06945573829945895</v>
      </c>
    </row>
    <row r="32" spans="1:18" ht="12">
      <c r="A32" s="2" t="s">
        <v>34</v>
      </c>
      <c r="B32" s="2" t="s">
        <v>113</v>
      </c>
      <c r="C32" s="64" t="s">
        <v>63</v>
      </c>
      <c r="D32" s="49">
        <f t="shared" si="1"/>
        <v>8013935.04</v>
      </c>
      <c r="E32" s="49">
        <f>8013935.04</f>
        <v>8013935.04</v>
      </c>
      <c r="R32" s="8">
        <f t="shared" si="2"/>
        <v>0.06650904900695187</v>
      </c>
    </row>
    <row r="33" spans="1:18" ht="12">
      <c r="A33" s="2" t="s">
        <v>34</v>
      </c>
      <c r="B33" s="2" t="s">
        <v>88</v>
      </c>
      <c r="C33" s="64" t="s">
        <v>63</v>
      </c>
      <c r="D33" s="49">
        <f t="shared" si="1"/>
        <v>6743452.4</v>
      </c>
      <c r="E33" s="49">
        <f>6743452.4</f>
        <v>6743452.4</v>
      </c>
      <c r="R33" s="8">
        <f t="shared" si="2"/>
        <v>0.05596509129523057</v>
      </c>
    </row>
    <row r="34" spans="1:18" ht="12">
      <c r="A34" s="2" t="s">
        <v>35</v>
      </c>
      <c r="B34" s="2" t="s">
        <v>113</v>
      </c>
      <c r="C34" s="64" t="s">
        <v>142</v>
      </c>
      <c r="D34" s="49">
        <f t="shared" si="1"/>
        <v>478671.86</v>
      </c>
      <c r="F34" s="49">
        <f>478671.86</f>
        <v>478671.86</v>
      </c>
      <c r="R34" s="8">
        <f t="shared" si="2"/>
        <v>0.003972581514085845</v>
      </c>
    </row>
    <row r="35" spans="1:18" ht="12">
      <c r="A35" s="2" t="s">
        <v>35</v>
      </c>
      <c r="B35" s="2" t="s">
        <v>157</v>
      </c>
      <c r="C35" s="64" t="s">
        <v>156</v>
      </c>
      <c r="D35" s="49">
        <f t="shared" si="1"/>
        <v>43086.69</v>
      </c>
      <c r="F35" s="49">
        <f>121.64+17564.06+25400.99</f>
        <v>43086.69</v>
      </c>
      <c r="R35" s="8">
        <f t="shared" si="2"/>
        <v>0.0003575839787138259</v>
      </c>
    </row>
    <row r="36" spans="1:18" ht="12">
      <c r="A36" s="2" t="s">
        <v>38</v>
      </c>
      <c r="B36" s="2" t="s">
        <v>115</v>
      </c>
      <c r="C36" t="s">
        <v>66</v>
      </c>
      <c r="D36" s="49">
        <f t="shared" si="1"/>
        <v>8816003.06</v>
      </c>
      <c r="I36" s="49">
        <f>8023580.87+792422.19</f>
        <v>8816003.06</v>
      </c>
      <c r="R36" s="8">
        <f t="shared" si="2"/>
        <v>0.0731655518339437</v>
      </c>
    </row>
    <row r="37" spans="1:18" ht="12">
      <c r="A37" s="2" t="s">
        <v>40</v>
      </c>
      <c r="B37" s="2" t="s">
        <v>62</v>
      </c>
      <c r="C37" t="s">
        <v>68</v>
      </c>
      <c r="D37" s="49">
        <f t="shared" si="1"/>
        <v>312.92</v>
      </c>
      <c r="K37" s="49">
        <f>312.92</f>
        <v>312.92</v>
      </c>
      <c r="R37" s="8">
        <f t="shared" si="2"/>
        <v>2.5969778281675943E-06</v>
      </c>
    </row>
    <row r="38" spans="1:18" ht="12">
      <c r="A38" s="2" t="s">
        <v>41</v>
      </c>
      <c r="B38" s="2" t="s">
        <v>116</v>
      </c>
      <c r="C38" t="s">
        <v>70</v>
      </c>
      <c r="D38" s="49">
        <f t="shared" si="1"/>
        <v>11260757.33</v>
      </c>
      <c r="L38" s="49">
        <f>11260757.33</f>
        <v>11260757.33</v>
      </c>
      <c r="R38" s="8">
        <f t="shared" si="2"/>
        <v>0.09345499525241505</v>
      </c>
    </row>
    <row r="39" spans="1:18" ht="12">
      <c r="A39" s="2" t="s">
        <v>42</v>
      </c>
      <c r="B39" s="2" t="s">
        <v>64</v>
      </c>
      <c r="C39" t="s">
        <v>71</v>
      </c>
      <c r="D39" s="49">
        <f t="shared" si="1"/>
        <v>26572.5</v>
      </c>
      <c r="M39" s="49">
        <f>26572.5</f>
        <v>26572.5</v>
      </c>
      <c r="R39" s="8">
        <f t="shared" si="2"/>
        <v>0.00022052982659779942</v>
      </c>
    </row>
    <row r="40" spans="1:18" ht="12">
      <c r="A40" s="2" t="s">
        <v>44</v>
      </c>
      <c r="B40" s="2" t="s">
        <v>117</v>
      </c>
      <c r="C40" t="s">
        <v>72</v>
      </c>
      <c r="D40" s="49">
        <f t="shared" si="1"/>
        <v>4721712.95</v>
      </c>
      <c r="O40" s="49">
        <f>2998782.65+1371385.08+318207.17+33338.05</f>
        <v>4721712.95</v>
      </c>
      <c r="R40" s="8">
        <f t="shared" si="2"/>
        <v>0.03918632187818549</v>
      </c>
    </row>
    <row r="41" spans="1:18" ht="12">
      <c r="A41" s="2" t="s">
        <v>44</v>
      </c>
      <c r="B41" s="2" t="s">
        <v>62</v>
      </c>
      <c r="C41" t="s">
        <v>73</v>
      </c>
      <c r="D41" s="49">
        <f t="shared" si="1"/>
        <v>23833.49</v>
      </c>
      <c r="O41" s="49">
        <f>23833.49</f>
        <v>23833.49</v>
      </c>
      <c r="R41" s="8">
        <f t="shared" si="2"/>
        <v>0.00019779830339337236</v>
      </c>
    </row>
    <row r="42" spans="1:18" ht="12">
      <c r="A42" s="2" t="s">
        <v>44</v>
      </c>
      <c r="B42" s="2" t="s">
        <v>74</v>
      </c>
      <c r="C42" t="s">
        <v>75</v>
      </c>
      <c r="D42" s="49">
        <f t="shared" si="1"/>
        <v>926674.98</v>
      </c>
      <c r="O42" s="49">
        <f>926674.98</f>
        <v>926674.98</v>
      </c>
      <c r="R42" s="8">
        <f t="shared" si="2"/>
        <v>0.007690637789139872</v>
      </c>
    </row>
    <row r="43" spans="1:18" ht="12">
      <c r="A43" s="2" t="s">
        <v>45</v>
      </c>
      <c r="B43" s="2" t="s">
        <v>88</v>
      </c>
      <c r="C43" t="s">
        <v>118</v>
      </c>
      <c r="D43" s="49">
        <f t="shared" si="1"/>
        <v>493340.12</v>
      </c>
      <c r="P43" s="49">
        <f>493340.12</f>
        <v>493340.12</v>
      </c>
      <c r="R43" s="8">
        <f t="shared" si="2"/>
        <v>0.004094315970169821</v>
      </c>
    </row>
    <row r="44" spans="1:18" ht="12">
      <c r="A44" s="2" t="s">
        <v>45</v>
      </c>
      <c r="B44" s="2" t="s">
        <v>76</v>
      </c>
      <c r="C44" t="s">
        <v>77</v>
      </c>
      <c r="D44" s="49">
        <f t="shared" si="1"/>
        <v>1607556.62</v>
      </c>
      <c r="P44" s="49">
        <f>1607556.62</f>
        <v>1607556.62</v>
      </c>
      <c r="R44" s="8">
        <f t="shared" si="2"/>
        <v>0.01334139364586488</v>
      </c>
    </row>
    <row r="45" spans="1:18" ht="12">
      <c r="A45" s="2" t="s">
        <v>45</v>
      </c>
      <c r="B45" s="2" t="s">
        <v>143</v>
      </c>
      <c r="C45" t="s">
        <v>66</v>
      </c>
      <c r="D45" s="49">
        <f t="shared" si="1"/>
        <v>14150528.64</v>
      </c>
      <c r="P45" s="49">
        <f>2427437.11+3400000+8224418.78+98672.75</f>
        <v>14150528.64</v>
      </c>
      <c r="R45" s="8">
        <f t="shared" si="2"/>
        <v>0.11743771294557886</v>
      </c>
    </row>
    <row r="46" spans="1:18" ht="12">
      <c r="A46" s="2" t="s">
        <v>45</v>
      </c>
      <c r="B46" s="2" t="s">
        <v>120</v>
      </c>
      <c r="C46" t="s">
        <v>78</v>
      </c>
      <c r="D46" s="49">
        <f t="shared" si="1"/>
        <v>29296366.57</v>
      </c>
      <c r="P46" s="49">
        <f>22451911.7+6844454.87</f>
        <v>29296366.57</v>
      </c>
      <c r="R46" s="8">
        <f t="shared" si="2"/>
        <v>0.24313567182717727</v>
      </c>
    </row>
    <row r="47" spans="1:18" ht="12">
      <c r="A47" s="2" t="s">
        <v>45</v>
      </c>
      <c r="B47" s="2" t="s">
        <v>93</v>
      </c>
      <c r="C47" t="s">
        <v>79</v>
      </c>
      <c r="D47" s="49">
        <f t="shared" si="1"/>
        <v>1300233.84</v>
      </c>
      <c r="P47" s="49">
        <f>1294883.84+5350</f>
        <v>1300233.84</v>
      </c>
      <c r="R47" s="8">
        <f t="shared" si="2"/>
        <v>0.010790868125761252</v>
      </c>
    </row>
    <row r="48" spans="1:19" ht="12">
      <c r="A48" s="2" t="s">
        <v>45</v>
      </c>
      <c r="B48" s="2" t="s">
        <v>69</v>
      </c>
      <c r="C48" t="s">
        <v>80</v>
      </c>
      <c r="D48" s="49">
        <f t="shared" si="1"/>
        <v>1442253.78</v>
      </c>
      <c r="P48" s="49">
        <f>1442253.78</f>
        <v>1442253.78</v>
      </c>
      <c r="R48" s="8">
        <f t="shared" si="2"/>
        <v>0.011969516455486716</v>
      </c>
      <c r="S48" s="8"/>
    </row>
    <row r="49" spans="5:18" ht="12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6"/>
    </row>
    <row r="50" spans="2:18" s="8" customFormat="1" ht="12.75" thickBot="1">
      <c r="B50" s="67"/>
      <c r="C50" s="68" t="s">
        <v>81</v>
      </c>
      <c r="D50" s="69">
        <f>SUM(E50:Q50)</f>
        <v>1</v>
      </c>
      <c r="E50" s="70">
        <f>E5/D5</f>
        <v>0.29294200372854023</v>
      </c>
      <c r="F50" s="70">
        <f>F5/D5</f>
        <v>0.014839944131345114</v>
      </c>
      <c r="G50" s="70">
        <f>G5/D5</f>
        <v>0.001987195699080451</v>
      </c>
      <c r="H50" s="70">
        <f>H5/D5</f>
        <v>0.000685754685471991</v>
      </c>
      <c r="I50" s="70">
        <f>I5/D5</f>
        <v>0.09105568617751972</v>
      </c>
      <c r="J50" s="70">
        <f>J5/D5</f>
        <v>0.0031116884265450125</v>
      </c>
      <c r="K50" s="70">
        <f>K5/D5</f>
        <v>2.5969778281675943E-06</v>
      </c>
      <c r="L50" s="70">
        <f>L5/D5</f>
        <v>0.0954731857972231</v>
      </c>
      <c r="M50" s="70">
        <f>M5/D5</f>
        <v>0.007610228825788946</v>
      </c>
      <c r="N50" s="70">
        <f>N5/D5</f>
        <v>0.004245769854773694</v>
      </c>
      <c r="O50" s="70">
        <f>O5/D5</f>
        <v>0.04957089542867085</v>
      </c>
      <c r="P50" s="70">
        <f>P5/D5</f>
        <v>0.43741179316816653</v>
      </c>
      <c r="Q50" s="70">
        <f>Q5/D5</f>
        <v>0.0010632570990461443</v>
      </c>
      <c r="R50" s="70">
        <f>SUM(R6:R49)</f>
        <v>1</v>
      </c>
    </row>
    <row r="51" spans="1:18" s="8" customFormat="1" ht="12.75" thickTop="1">
      <c r="A51" s="71"/>
      <c r="C51" s="6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printOptions/>
  <pageMargins left="0" right="0" top="0.5" bottom="0.5" header="0.5" footer="0.25"/>
  <pageSetup horizontalDpi="600" verticalDpi="600" orientation="landscape" paperSize="5" scale="7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2015-02-11T15:07:28Z</cp:lastPrinted>
  <dcterms:created xsi:type="dcterms:W3CDTF">2011-02-21T16:49:07Z</dcterms:created>
  <dcterms:modified xsi:type="dcterms:W3CDTF">2015-02-11T15:07:54Z</dcterms:modified>
  <cp:category/>
  <cp:version/>
  <cp:contentType/>
  <cp:contentStatus/>
</cp:coreProperties>
</file>