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2"/>
  </bookViews>
  <sheets>
    <sheet name="2011A" sheetId="1" r:id="rId1"/>
    <sheet name="Academic Project " sheetId="2" r:id="rId2"/>
    <sheet name="2016B" sheetId="3" r:id="rId3"/>
    <sheet name="2016B Academic" sheetId="4" r:id="rId4"/>
    <sheet name="Percentage-10,2012" sheetId="5" r:id="rId5"/>
    <sheet name="Percentage-04,2012" sheetId="6" r:id="rId6"/>
    <sheet name="Percentage - Final" sheetId="7" r:id="rId7"/>
  </sheets>
  <definedNames>
    <definedName name="_xlnm.Print_Titles" localSheetId="0">'2011A'!$A:$A</definedName>
    <definedName name="_xlnm.Print_Titles" localSheetId="2">'2016B'!$A:$A</definedName>
    <definedName name="_xlnm.Print_Titles" localSheetId="3">'2016B Academic'!$A:$A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<sst xmlns="http://schemas.openxmlformats.org/spreadsheetml/2006/main" count="1237" uniqueCount="168">
  <si>
    <t>Payment</t>
  </si>
  <si>
    <t xml:space="preserve">   UMCP Fraternity/Sorority Houses (Auxiliary)</t>
  </si>
  <si>
    <t xml:space="preserve">   UMBC Resident Hall Renovation (Auxiliary)</t>
  </si>
  <si>
    <t xml:space="preserve"> USMO Shady Grove Parking Garage (Auxiliary)</t>
  </si>
  <si>
    <t xml:space="preserve">         BSU New Student Center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</si>
  <si>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</si>
  <si>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</si>
  <si>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</si>
  <si>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</si>
  <si>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</si>
  <si>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</si>
  <si>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</si>
  <si>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</si>
  <si>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</si>
  <si>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</si>
  <si>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</si>
  <si>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</si>
  <si>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</si>
  <si>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</si>
  <si>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</si>
  <si>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</si>
  <si>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</si>
  <si>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</si>
  <si>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</si>
  <si>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</si>
  <si>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</si>
  <si>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</si>
  <si>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</si>
  <si>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</si>
  <si>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</si>
  <si>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</si>
  <si>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</si>
  <si>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</si>
  <si>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</si>
  <si>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</si>
  <si>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</si>
  <si>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</si>
  <si>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</si>
  <si>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</si>
  <si>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</si>
  <si>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</si>
  <si>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</si>
  <si>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</si>
  <si>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</si>
  <si>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</si>
  <si>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</si>
  <si>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</si>
  <si>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</si>
  <si>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</si>
  <si>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</si>
  <si>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</si>
  <si>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</si>
  <si>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</si>
  <si>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</si>
  <si>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</si>
  <si>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</si>
  <si>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</si>
  <si>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</si>
  <si>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</si>
  <si>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</si>
  <si>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</si>
  <si>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</si>
  <si>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</si>
  <si>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</si>
  <si>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26th Aux</t>
  </si>
  <si>
    <t>Hillcrest Demolition/Parking Lot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</si>
  <si>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</si>
  <si>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</si>
  <si>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</si>
  <si>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</si>
  <si>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</si>
  <si>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</si>
  <si>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</si>
  <si>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</si>
  <si>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</si>
  <si>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</si>
  <si>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</si>
  <si>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</si>
  <si>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</si>
  <si>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</si>
  <si>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</si>
  <si>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</si>
  <si>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College of Liberal Arts Complex</t>
  </si>
  <si>
    <t>26,27,28,29th Acad</t>
  </si>
  <si>
    <t>26th Acad</t>
  </si>
  <si>
    <t>Dental School</t>
  </si>
  <si>
    <t>26,28,29,32th Acad</t>
  </si>
  <si>
    <t>Utilities Upgrade/Site Improvement</t>
  </si>
  <si>
    <t>32nd Aux</t>
  </si>
  <si>
    <t>Parking System Improvements</t>
  </si>
  <si>
    <t>29,32th Aux</t>
  </si>
  <si>
    <t>28,29,32th Aux</t>
  </si>
  <si>
    <t>29,32nd Aux</t>
  </si>
  <si>
    <t>27,28,29th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</si>
  <si>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</si>
  <si>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</si>
  <si>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</si>
  <si>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</si>
  <si>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 xml:space="preserve">   UMCP High Rise Residence - 32nd (Auxiliary)</t>
  </si>
  <si>
    <t>2011 Series A Bonds</t>
  </si>
  <si>
    <t>33rd Acad</t>
  </si>
  <si>
    <t>New Performing Arts &amp; Humanities Facility</t>
  </si>
  <si>
    <t>29, 32, 33 Acad</t>
  </si>
  <si>
    <t>29,32th Acad</t>
  </si>
  <si>
    <t>28,29,32th Acad</t>
  </si>
  <si>
    <t>27,28,29,32th Acad</t>
  </si>
  <si>
    <t>27,28,32th Acad</t>
  </si>
  <si>
    <t>24,25,26,27,28,29,32th Acad</t>
  </si>
  <si>
    <t>19,24,32th Acad</t>
  </si>
  <si>
    <t>28,29,32,33 Acad</t>
  </si>
  <si>
    <t>Campus-Wide Safety &amp; Circulation Improve</t>
  </si>
  <si>
    <t>26,29,32th Acad</t>
  </si>
  <si>
    <t>19th Acad</t>
  </si>
  <si>
    <t>33rd Aux</t>
  </si>
  <si>
    <t>Replace Carroll, Caroline, Wicomico &amp; Sci</t>
  </si>
  <si>
    <t>29,32,33th Aux</t>
  </si>
  <si>
    <t>28,32th Aux</t>
  </si>
  <si>
    <t>28,29,32,33th Aux</t>
  </si>
  <si>
    <t>Burdick PH 2 Air Conditioning</t>
  </si>
  <si>
    <t>Ward Hall Renovation, Health Center</t>
  </si>
  <si>
    <t>26,27,28th Aux</t>
  </si>
  <si>
    <t xml:space="preserve">          Total Debt Services - 2011 Series A </t>
  </si>
  <si>
    <t xml:space="preserve">    2011 Series A Bond Funded Projects</t>
  </si>
  <si>
    <t>2011A Balance</t>
  </si>
  <si>
    <t>2011A</t>
  </si>
  <si>
    <t>Balance</t>
  </si>
  <si>
    <t>UMBC New Performing Arts &amp; Humanities (Acad)</t>
  </si>
  <si>
    <t>BSU Fine and performing Arts Center (Acad)</t>
  </si>
  <si>
    <t xml:space="preserve">  CSU New Physical Edu. Complex (Acad)</t>
  </si>
  <si>
    <t xml:space="preserve">   TU Campus-Wide Safety &amp; Circulation (Acad)</t>
  </si>
  <si>
    <t xml:space="preserve">         Total Academic Projects - 2011A</t>
  </si>
  <si>
    <t xml:space="preserve">        Total Academic Projects - 2011A</t>
  </si>
  <si>
    <t xml:space="preserve"> UMCP Repl Carroll, Caroline, Wicomico (Aux)</t>
  </si>
  <si>
    <t xml:space="preserve">   TU Burdick PH 2 Air Conditioning (Auxiliary)</t>
  </si>
  <si>
    <t>TU West Village Dining Commons (Auxiliary)</t>
  </si>
  <si>
    <t xml:space="preserve">                         2011 A Bonds</t>
  </si>
  <si>
    <t xml:space="preserve">           Total Auxiliary Projects - 2011A</t>
  </si>
  <si>
    <t>29,32,33th Acad</t>
  </si>
  <si>
    <t>24,25,26,27,28,29,32,33th Acad</t>
  </si>
  <si>
    <t>28,29,32,33th Acad</t>
  </si>
  <si>
    <t>26,27,29,32th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</si>
  <si>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</si>
  <si>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</si>
  <si>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</si>
  <si>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</si>
  <si>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</si>
  <si>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</si>
  <si>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</si>
  <si>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</si>
  <si>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</si>
  <si>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     CSU Parking Garage (Auxiliary)</t>
  </si>
  <si>
    <t>28,29,32,33,34 Acad</t>
  </si>
  <si>
    <t>29,32,33,34th Acad</t>
  </si>
  <si>
    <t>27,28,32,33th Acad</t>
  </si>
  <si>
    <t>28,29,32,33,34th Acad</t>
  </si>
  <si>
    <t>27,28,29,32,33th Acad</t>
  </si>
  <si>
    <t>New Campus Center</t>
  </si>
  <si>
    <t>21,25,27th Aux</t>
  </si>
  <si>
    <t xml:space="preserve">      CEES Emergency Funds (Academic)</t>
  </si>
  <si>
    <t>Amort of</t>
  </si>
  <si>
    <t>Premium</t>
  </si>
  <si>
    <t xml:space="preserve">        UMCP/ UMBI Facilities Renewal (Academic) </t>
  </si>
  <si>
    <t xml:space="preserve">      UMCP/ UMBI Emergency Projects (Academic) </t>
  </si>
  <si>
    <t xml:space="preserve">    2011 Series A Bond Funded Projects after 2016B</t>
  </si>
  <si>
    <t xml:space="preserve">          Total Debt Services - 2011 Series A Original after 2016B</t>
  </si>
  <si>
    <t>Loss on Refunding</t>
  </si>
  <si>
    <t xml:space="preserve">          Total Debt Services - 2011 Series A refinanced on 2016B</t>
  </si>
  <si>
    <t xml:space="preserve">    2011 Series A Bond Funded Projects refinanced on 2016B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</si>
</sst>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0000%"/>
  </numFmts>
  <fonts count="37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0" fillId="34" borderId="13" xfId="0" applyNumberFormat="1" applyFont="1" applyFill="1" applyBorder="1" applyAlignment="1">
      <alignment horizontal="right"/>
    </xf>
    <xf numFmtId="38" fontId="2" fillId="0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571"/>
  <sheetViews>
    <sheetView zoomScale="150" zoomScaleNormal="150" zoomScalePageLayoutView="0" workbookViewId="0" topLeftCell="A1">
      <pane xSplit="1" ySplit="7" topLeftCell="B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" sqref="C6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6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6" customWidth="1"/>
    <col min="62" max="62" width="3.7109375" style="6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2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</cols>
  <sheetData>
    <row r="1" spans="1:113" ht="12.75">
      <c r="A1" s="1"/>
      <c r="B1" s="2"/>
      <c r="D1" s="4"/>
      <c r="H1" s="4" t="s">
        <v>95</v>
      </c>
      <c r="M1" s="4"/>
      <c r="W1" s="4" t="s">
        <v>95</v>
      </c>
      <c r="AL1" s="4" t="s">
        <v>95</v>
      </c>
      <c r="BA1" s="4" t="s">
        <v>95</v>
      </c>
      <c r="BK1" s="4"/>
      <c r="BP1" s="4" t="s">
        <v>95</v>
      </c>
      <c r="BU1" s="4"/>
      <c r="CE1" s="4" t="s">
        <v>95</v>
      </c>
      <c r="CJ1" s="4"/>
      <c r="CT1" s="4" t="s">
        <v>95</v>
      </c>
      <c r="DI1" s="4" t="s">
        <v>95</v>
      </c>
    </row>
    <row r="2" spans="1:113" ht="12.75">
      <c r="A2" s="1"/>
      <c r="B2" s="2"/>
      <c r="D2" s="4"/>
      <c r="H2" s="4" t="s">
        <v>94</v>
      </c>
      <c r="M2" s="4"/>
      <c r="W2" s="4" t="s">
        <v>94</v>
      </c>
      <c r="AL2" s="4" t="s">
        <v>94</v>
      </c>
      <c r="BA2" s="4" t="s">
        <v>94</v>
      </c>
      <c r="BK2" s="4"/>
      <c r="BP2" s="4" t="s">
        <v>94</v>
      </c>
      <c r="BU2" s="4"/>
      <c r="CE2" s="4" t="s">
        <v>94</v>
      </c>
      <c r="CJ2" s="4"/>
      <c r="CT2" s="4" t="s">
        <v>94</v>
      </c>
      <c r="DI2" s="4" t="s">
        <v>94</v>
      </c>
    </row>
    <row r="3" spans="1:113" ht="12.75">
      <c r="A3" s="1"/>
      <c r="B3" s="2"/>
      <c r="D3" s="7"/>
      <c r="H3" s="4" t="s">
        <v>163</v>
      </c>
      <c r="M3" s="4"/>
      <c r="N3" s="8"/>
      <c r="W3" s="4" t="str">
        <f>H3</f>
        <v>    2011 Series A Bond Funded Projects after 2016B</v>
      </c>
      <c r="AL3" s="4" t="s">
        <v>122</v>
      </c>
      <c r="BA3" s="4" t="s">
        <v>122</v>
      </c>
      <c r="BK3" s="4"/>
      <c r="BP3" s="4" t="s">
        <v>122</v>
      </c>
      <c r="BU3" s="4"/>
      <c r="CE3" s="4" t="s">
        <v>122</v>
      </c>
      <c r="CJ3" s="4"/>
      <c r="CT3" s="4" t="s">
        <v>122</v>
      </c>
      <c r="DI3" s="4" t="s">
        <v>122</v>
      </c>
    </row>
    <row r="4" spans="1:4" ht="12.75">
      <c r="A4" s="1"/>
      <c r="B4" s="2"/>
      <c r="C4" s="7"/>
      <c r="D4" s="4"/>
    </row>
    <row r="5" spans="1:116" ht="12.75">
      <c r="A5" s="9" t="s">
        <v>0</v>
      </c>
      <c r="C5" s="10" t="s">
        <v>164</v>
      </c>
      <c r="D5" s="11"/>
      <c r="E5" s="12"/>
      <c r="F5" s="12"/>
      <c r="H5" s="13" t="s">
        <v>131</v>
      </c>
      <c r="I5" s="14"/>
      <c r="J5" s="15"/>
      <c r="K5" s="74"/>
      <c r="M5" s="13" t="s">
        <v>136</v>
      </c>
      <c r="N5" s="16"/>
      <c r="O5" s="15"/>
      <c r="P5" s="74"/>
      <c r="R5" s="20" t="s">
        <v>132</v>
      </c>
      <c r="S5" s="18"/>
      <c r="T5" s="19"/>
      <c r="U5" s="74"/>
      <c r="W5" s="17" t="s">
        <v>1</v>
      </c>
      <c r="X5" s="18"/>
      <c r="Y5" s="19"/>
      <c r="Z5" s="74"/>
      <c r="AB5" s="20" t="s">
        <v>98</v>
      </c>
      <c r="AC5" s="18"/>
      <c r="AD5" s="19"/>
      <c r="AE5" s="74"/>
      <c r="AG5" s="20" t="s">
        <v>147</v>
      </c>
      <c r="AH5" s="18"/>
      <c r="AI5" s="19"/>
      <c r="AJ5" s="74"/>
      <c r="AL5" s="17" t="s">
        <v>148</v>
      </c>
      <c r="AM5" s="18"/>
      <c r="AN5" s="19"/>
      <c r="AO5" s="74"/>
      <c r="AQ5" s="20" t="s">
        <v>149</v>
      </c>
      <c r="AR5" s="18"/>
      <c r="AS5" s="19"/>
      <c r="AT5" s="74"/>
      <c r="AV5" s="17" t="s">
        <v>2</v>
      </c>
      <c r="AW5" s="18"/>
      <c r="AX5" s="19"/>
      <c r="AY5" s="74"/>
      <c r="BA5" s="17" t="s">
        <v>3</v>
      </c>
      <c r="BB5" s="18"/>
      <c r="BC5" s="19"/>
      <c r="BD5" s="74"/>
      <c r="BE5" s="21"/>
      <c r="BF5" s="17" t="s">
        <v>4</v>
      </c>
      <c r="BG5" s="18"/>
      <c r="BH5" s="19"/>
      <c r="BI5" s="74"/>
      <c r="BK5" s="20" t="s">
        <v>150</v>
      </c>
      <c r="BL5" s="18"/>
      <c r="BM5" s="19"/>
      <c r="BN5" s="74"/>
      <c r="BP5" s="17" t="s">
        <v>5</v>
      </c>
      <c r="BQ5" s="18"/>
      <c r="BR5" s="19"/>
      <c r="BS5" s="74"/>
      <c r="BU5" s="17" t="s">
        <v>6</v>
      </c>
      <c r="BV5" s="18"/>
      <c r="BW5" s="19"/>
      <c r="BX5" s="74"/>
      <c r="BZ5" s="20" t="s">
        <v>7</v>
      </c>
      <c r="CA5" s="18"/>
      <c r="CB5" s="19"/>
      <c r="CC5" s="74"/>
      <c r="CE5" s="17" t="s">
        <v>133</v>
      </c>
      <c r="CF5" s="18"/>
      <c r="CG5" s="19"/>
      <c r="CH5" s="74"/>
      <c r="CJ5" s="20" t="s">
        <v>8</v>
      </c>
      <c r="CK5" s="18"/>
      <c r="CL5" s="19"/>
      <c r="CM5" s="74"/>
      <c r="CO5" s="20" t="s">
        <v>9</v>
      </c>
      <c r="CP5" s="18"/>
      <c r="CQ5" s="19"/>
      <c r="CR5" s="74"/>
      <c r="CT5" s="20" t="s">
        <v>10</v>
      </c>
      <c r="CU5" s="18"/>
      <c r="CV5" s="19"/>
      <c r="CW5" s="74"/>
      <c r="CY5" s="20" t="s">
        <v>134</v>
      </c>
      <c r="CZ5" s="18"/>
      <c r="DA5" s="19"/>
      <c r="DB5" s="74"/>
      <c r="DD5" s="17" t="s">
        <v>11</v>
      </c>
      <c r="DE5" s="18"/>
      <c r="DF5" s="19"/>
      <c r="DG5" s="74"/>
      <c r="DI5" s="20" t="s">
        <v>12</v>
      </c>
      <c r="DJ5" s="18"/>
      <c r="DK5" s="19"/>
      <c r="DL5" s="21"/>
    </row>
    <row r="6" spans="1:116" s="8" customFormat="1" ht="12.75">
      <c r="A6" s="22" t="s">
        <v>13</v>
      </c>
      <c r="C6" s="42" t="s">
        <v>135</v>
      </c>
      <c r="D6" s="14"/>
      <c r="E6" s="41"/>
      <c r="F6" s="31" t="s">
        <v>159</v>
      </c>
      <c r="G6" s="5"/>
      <c r="H6" s="23">
        <v>0.0276096</v>
      </c>
      <c r="I6" s="24">
        <v>0.1184027</v>
      </c>
      <c r="J6" s="25">
        <v>0.150722</v>
      </c>
      <c r="K6" s="31" t="s">
        <v>159</v>
      </c>
      <c r="L6" s="5"/>
      <c r="M6" s="23">
        <f>R6+W6+AB6+AG6+AL6+AQ6+AV6+BA6+BF6+BP6+BU6+BZ6+CE6+CJ6+CO6+CT6+CY6+DD6+DI6+BK6</f>
        <v>0.977088</v>
      </c>
      <c r="N6" s="26">
        <f>S6+AM6+AR6+CA6+DE6+DJ6+X6+AW6+BQ6+BV6+CK6+CU6+CZ6+AC6+AH6+BB6+CF6+CP6+BG6+BL6</f>
        <v>0.8815973000000001</v>
      </c>
      <c r="O6" s="25">
        <f>T6+Y6+AD6+AI6+AN6+AS6+AX6+BC6+BH6+BM6+BR6+BW6+CB6+CG6+CL6+CQ6+CV6+DA6+DF6+DK6</f>
        <v>0.8492780000000001</v>
      </c>
      <c r="P6" s="31" t="s">
        <v>159</v>
      </c>
      <c r="Q6" s="5"/>
      <c r="R6" s="27">
        <v>0.0027577</v>
      </c>
      <c r="S6" s="28">
        <v>0.0225364</v>
      </c>
      <c r="T6" s="25">
        <v>0.0383301</v>
      </c>
      <c r="U6" s="31" t="s">
        <v>159</v>
      </c>
      <c r="V6" s="5"/>
      <c r="W6" s="27">
        <v>0.0314922</v>
      </c>
      <c r="X6" s="28">
        <v>0.0639529</v>
      </c>
      <c r="Y6" s="25">
        <v>0.0694557</v>
      </c>
      <c r="Z6" s="31" t="s">
        <v>159</v>
      </c>
      <c r="AA6" s="5"/>
      <c r="AB6" s="27">
        <v>0.0028391</v>
      </c>
      <c r="AC6" s="28">
        <v>0.0537729</v>
      </c>
      <c r="AD6" s="25">
        <v>0.0559651</v>
      </c>
      <c r="AE6" s="31" t="s">
        <v>159</v>
      </c>
      <c r="AF6" s="5"/>
      <c r="AG6" s="27">
        <v>0</v>
      </c>
      <c r="AH6" s="28">
        <v>0.0405662</v>
      </c>
      <c r="AI6" s="25">
        <v>0.066509</v>
      </c>
      <c r="AJ6" s="31" t="s">
        <v>159</v>
      </c>
      <c r="AK6" s="5"/>
      <c r="AL6" s="27">
        <v>0</v>
      </c>
      <c r="AM6" s="28">
        <v>0.00163</v>
      </c>
      <c r="AN6" s="25">
        <v>0.0039726</v>
      </c>
      <c r="AO6" s="31" t="s">
        <v>159</v>
      </c>
      <c r="AP6" s="5"/>
      <c r="AQ6" s="27">
        <v>0</v>
      </c>
      <c r="AR6" s="28">
        <v>0.0003304</v>
      </c>
      <c r="AS6" s="25">
        <v>0.0003576</v>
      </c>
      <c r="AT6" s="31" t="s">
        <v>159</v>
      </c>
      <c r="AV6" s="27">
        <v>0.0037598</v>
      </c>
      <c r="AW6" s="28">
        <v>0.0424374</v>
      </c>
      <c r="AX6" s="25">
        <v>0.0731656</v>
      </c>
      <c r="AY6" s="31" t="s">
        <v>159</v>
      </c>
      <c r="BA6" s="27">
        <v>2.5E-06</v>
      </c>
      <c r="BB6" s="28">
        <v>2.5E-06</v>
      </c>
      <c r="BC6" s="25">
        <v>2.6E-06</v>
      </c>
      <c r="BD6" s="31" t="s">
        <v>159</v>
      </c>
      <c r="BE6" s="72"/>
      <c r="BF6" s="27">
        <v>0.0031753</v>
      </c>
      <c r="BG6" s="28">
        <v>0.0638023</v>
      </c>
      <c r="BH6" s="25">
        <v>0.093455</v>
      </c>
      <c r="BI6" s="31" t="s">
        <v>159</v>
      </c>
      <c r="BK6" s="27">
        <v>0</v>
      </c>
      <c r="BL6" s="28">
        <v>1.49E-05</v>
      </c>
      <c r="BM6" s="25">
        <v>0.0002205</v>
      </c>
      <c r="BN6" s="31" t="s">
        <v>159</v>
      </c>
      <c r="BP6" s="27">
        <v>0.0072025</v>
      </c>
      <c r="BQ6" s="28">
        <v>0.0214144</v>
      </c>
      <c r="BR6" s="25">
        <v>0.0391863</v>
      </c>
      <c r="BS6" s="31" t="s">
        <v>159</v>
      </c>
      <c r="BU6" s="27">
        <v>8.66E-05</v>
      </c>
      <c r="BV6" s="28">
        <v>0.0001901</v>
      </c>
      <c r="BW6" s="25">
        <v>0.0001978</v>
      </c>
      <c r="BX6" s="31" t="s">
        <v>159</v>
      </c>
      <c r="BZ6" s="27">
        <v>0.0004635</v>
      </c>
      <c r="CA6" s="28">
        <v>0.0049698</v>
      </c>
      <c r="CB6" s="25">
        <v>0.0076906</v>
      </c>
      <c r="CC6" s="31" t="s">
        <v>159</v>
      </c>
      <c r="CE6" s="27">
        <v>0.0021123</v>
      </c>
      <c r="CF6" s="28">
        <v>0.0024687</v>
      </c>
      <c r="CG6" s="25">
        <v>0.0040943</v>
      </c>
      <c r="CH6" s="31" t="s">
        <v>159</v>
      </c>
      <c r="CJ6" s="27">
        <v>0.0114827</v>
      </c>
      <c r="CK6" s="28">
        <v>0.0127301</v>
      </c>
      <c r="CL6" s="25">
        <v>0.0133414</v>
      </c>
      <c r="CM6" s="31" t="s">
        <v>159</v>
      </c>
      <c r="CO6" s="27">
        <v>0.0341885</v>
      </c>
      <c r="CP6" s="28">
        <v>0.0945673</v>
      </c>
      <c r="CQ6" s="25">
        <v>0.1174377</v>
      </c>
      <c r="CR6" s="31" t="s">
        <v>159</v>
      </c>
      <c r="CT6" s="27">
        <v>0.0324867</v>
      </c>
      <c r="CU6" s="28">
        <v>0.1778921</v>
      </c>
      <c r="CV6" s="25">
        <v>0.2431357</v>
      </c>
      <c r="CW6" s="31" t="s">
        <v>159</v>
      </c>
      <c r="CY6" s="27">
        <v>0.0078216</v>
      </c>
      <c r="CZ6" s="28">
        <v>0.0102824</v>
      </c>
      <c r="DA6" s="25">
        <v>0.0107909</v>
      </c>
      <c r="DB6" s="31" t="s">
        <v>159</v>
      </c>
      <c r="DD6" s="27">
        <v>0.0042498</v>
      </c>
      <c r="DE6" s="28">
        <v>0.0114622</v>
      </c>
      <c r="DF6" s="25">
        <v>0.0119695</v>
      </c>
      <c r="DG6" s="31" t="s">
        <v>159</v>
      </c>
      <c r="DI6" s="27">
        <v>0.8329672</v>
      </c>
      <c r="DJ6" s="28">
        <v>0.2565743</v>
      </c>
      <c r="DK6" s="25"/>
      <c r="DL6" s="72"/>
    </row>
    <row r="7" spans="1:116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2" t="s">
        <v>14</v>
      </c>
      <c r="S7" s="32" t="s">
        <v>15</v>
      </c>
      <c r="T7" s="32" t="s">
        <v>16</v>
      </c>
      <c r="U7" s="31" t="s">
        <v>160</v>
      </c>
      <c r="W7" s="32" t="s">
        <v>14</v>
      </c>
      <c r="X7" s="32" t="s">
        <v>15</v>
      </c>
      <c r="Y7" s="32" t="s">
        <v>16</v>
      </c>
      <c r="Z7" s="31" t="s">
        <v>160</v>
      </c>
      <c r="AB7" s="32" t="s">
        <v>14</v>
      </c>
      <c r="AC7" s="32" t="s">
        <v>15</v>
      </c>
      <c r="AD7" s="32" t="s">
        <v>16</v>
      </c>
      <c r="AE7" s="31" t="s">
        <v>160</v>
      </c>
      <c r="AG7" s="32" t="s">
        <v>14</v>
      </c>
      <c r="AH7" s="32" t="s">
        <v>15</v>
      </c>
      <c r="AI7" s="32" t="s">
        <v>16</v>
      </c>
      <c r="AJ7" s="31" t="s">
        <v>160</v>
      </c>
      <c r="AL7" s="32" t="s">
        <v>14</v>
      </c>
      <c r="AM7" s="32" t="s">
        <v>15</v>
      </c>
      <c r="AN7" s="32" t="s">
        <v>16</v>
      </c>
      <c r="AO7" s="31" t="s">
        <v>160</v>
      </c>
      <c r="AQ7" s="32" t="s">
        <v>14</v>
      </c>
      <c r="AR7" s="32" t="s">
        <v>15</v>
      </c>
      <c r="AS7" s="32" t="s">
        <v>16</v>
      </c>
      <c r="AT7" s="31" t="s">
        <v>160</v>
      </c>
      <c r="AV7" s="32" t="s">
        <v>14</v>
      </c>
      <c r="AW7" s="32" t="s">
        <v>15</v>
      </c>
      <c r="AX7" s="32" t="s">
        <v>16</v>
      </c>
      <c r="AY7" s="31" t="s">
        <v>160</v>
      </c>
      <c r="BA7" s="32" t="s">
        <v>14</v>
      </c>
      <c r="BB7" s="32" t="s">
        <v>15</v>
      </c>
      <c r="BC7" s="32" t="s">
        <v>16</v>
      </c>
      <c r="BD7" s="31" t="s">
        <v>160</v>
      </c>
      <c r="BE7" s="33"/>
      <c r="BF7" s="32" t="s">
        <v>14</v>
      </c>
      <c r="BG7" s="32" t="s">
        <v>15</v>
      </c>
      <c r="BH7" s="32" t="s">
        <v>16</v>
      </c>
      <c r="BI7" s="31" t="s">
        <v>160</v>
      </c>
      <c r="BK7" s="32" t="s">
        <v>14</v>
      </c>
      <c r="BL7" s="32" t="s">
        <v>15</v>
      </c>
      <c r="BM7" s="32" t="s">
        <v>16</v>
      </c>
      <c r="BN7" s="31" t="s">
        <v>160</v>
      </c>
      <c r="BP7" s="32" t="s">
        <v>14</v>
      </c>
      <c r="BQ7" s="32" t="s">
        <v>15</v>
      </c>
      <c r="BR7" s="32" t="s">
        <v>16</v>
      </c>
      <c r="BS7" s="31" t="s">
        <v>160</v>
      </c>
      <c r="BU7" s="32" t="s">
        <v>14</v>
      </c>
      <c r="BV7" s="32" t="s">
        <v>15</v>
      </c>
      <c r="BW7" s="32" t="s">
        <v>16</v>
      </c>
      <c r="BX7" s="31" t="s">
        <v>160</v>
      </c>
      <c r="BZ7" s="32" t="s">
        <v>14</v>
      </c>
      <c r="CA7" s="32" t="s">
        <v>15</v>
      </c>
      <c r="CB7" s="32" t="s">
        <v>16</v>
      </c>
      <c r="CC7" s="31" t="s">
        <v>160</v>
      </c>
      <c r="CE7" s="32" t="s">
        <v>14</v>
      </c>
      <c r="CF7" s="32" t="s">
        <v>15</v>
      </c>
      <c r="CG7" s="32" t="s">
        <v>16</v>
      </c>
      <c r="CH7" s="31" t="s">
        <v>160</v>
      </c>
      <c r="CJ7" s="32" t="s">
        <v>14</v>
      </c>
      <c r="CK7" s="32" t="s">
        <v>15</v>
      </c>
      <c r="CL7" s="32" t="s">
        <v>16</v>
      </c>
      <c r="CM7" s="31" t="s">
        <v>160</v>
      </c>
      <c r="CO7" s="32" t="s">
        <v>14</v>
      </c>
      <c r="CP7" s="32" t="s">
        <v>15</v>
      </c>
      <c r="CQ7" s="32" t="s">
        <v>16</v>
      </c>
      <c r="CR7" s="31" t="s">
        <v>160</v>
      </c>
      <c r="CT7" s="32" t="s">
        <v>14</v>
      </c>
      <c r="CU7" s="32" t="s">
        <v>15</v>
      </c>
      <c r="CV7" s="32" t="s">
        <v>16</v>
      </c>
      <c r="CW7" s="31" t="s">
        <v>160</v>
      </c>
      <c r="CY7" s="32" t="s">
        <v>14</v>
      </c>
      <c r="CZ7" s="32" t="s">
        <v>15</v>
      </c>
      <c r="DA7" s="32" t="s">
        <v>16</v>
      </c>
      <c r="DB7" s="31" t="s">
        <v>160</v>
      </c>
      <c r="DD7" s="32" t="s">
        <v>14</v>
      </c>
      <c r="DE7" s="32" t="s">
        <v>15</v>
      </c>
      <c r="DF7" s="32" t="s">
        <v>16</v>
      </c>
      <c r="DG7" s="31" t="s">
        <v>160</v>
      </c>
      <c r="DI7" s="32" t="s">
        <v>14</v>
      </c>
      <c r="DJ7" s="32" t="s">
        <v>15</v>
      </c>
      <c r="DK7" s="32" t="s">
        <v>16</v>
      </c>
      <c r="DL7" s="33"/>
    </row>
    <row r="8" spans="1:131" ht="12.75">
      <c r="A8" s="37">
        <v>42278</v>
      </c>
      <c r="D8" s="3">
        <v>2278875</v>
      </c>
      <c r="E8" s="35">
        <f aca="true" t="shared" si="0" ref="E8:E39">C8+D8</f>
        <v>2278875</v>
      </c>
      <c r="F8" s="35">
        <v>280412</v>
      </c>
      <c r="H8" s="36"/>
      <c r="I8" s="36">
        <f>'Academic Project '!I8</f>
        <v>343476.5977499999</v>
      </c>
      <c r="J8" s="36">
        <f>H8+I8</f>
        <v>343476.5977499999</v>
      </c>
      <c r="K8" s="36">
        <f>'Academic Project '!K8</f>
        <v>42264.25746400001</v>
      </c>
      <c r="M8" s="36"/>
      <c r="N8" s="35">
        <f aca="true" t="shared" si="1" ref="N8:N39">S8+X8+AC8+AH8+AM8+AR8+AW8+BB8+BG8+BL8+BQ8+BV8+CA8+CF8+CK8+CP8+CU8+CZ8+DE8+DJ8</f>
        <v>1935398.4022499998</v>
      </c>
      <c r="O8" s="5">
        <f aca="true" t="shared" si="2" ref="O8:O39">M8+N8</f>
        <v>1935398.4022499998</v>
      </c>
      <c r="P8" s="35">
        <f aca="true" t="shared" si="3" ref="P8:P39">U8+Z8+AE8+AJ8+AO8+AT8+AY8+BD8+BI8+BN8+BS8+BX8+CC8+CH8+CM8+CR8+CW8+DB8+DG8+DL8</f>
        <v>238147.74253599998</v>
      </c>
      <c r="R8" s="36"/>
      <c r="S8" s="36">
        <f aca="true" t="shared" si="4" ref="S8:S39">D8*$T$6</f>
        <v>87349.5066375</v>
      </c>
      <c r="T8" s="5">
        <f aca="true" t="shared" si="5" ref="T8:T39">R8+S8</f>
        <v>87349.5066375</v>
      </c>
      <c r="U8" s="36">
        <f aca="true" t="shared" si="6" ref="U8:U39">T$6*$F8</f>
        <v>10748.2200012</v>
      </c>
      <c r="X8" s="36">
        <f aca="true" t="shared" si="7" ref="X8:X39">D8*$Y$6</f>
        <v>158280.8583375</v>
      </c>
      <c r="Y8" s="36">
        <f aca="true" t="shared" si="8" ref="Y8:Y39">W8+X8</f>
        <v>158280.8583375</v>
      </c>
      <c r="Z8" s="36">
        <f aca="true" t="shared" si="9" ref="Z8:Z39">Y$6*$F8</f>
        <v>19476.211748399997</v>
      </c>
      <c r="AC8" s="5">
        <f aca="true" t="shared" si="10" ref="AC8:AC39">D8*$AD$6</f>
        <v>127537.4672625</v>
      </c>
      <c r="AD8" s="5">
        <f aca="true" t="shared" si="11" ref="AD8:AD39">AB8+AC8</f>
        <v>127537.4672625</v>
      </c>
      <c r="AE8" s="36">
        <f aca="true" t="shared" si="12" ref="AE8:AE39">AD$6*$F8</f>
        <v>15693.285621199999</v>
      </c>
      <c r="AH8" s="5">
        <f aca="true" t="shared" si="13" ref="AH8:AH39">D8*$AI$6</f>
        <v>151565.697375</v>
      </c>
      <c r="AI8" s="5">
        <f aca="true" t="shared" si="14" ref="AI8:AI39">AG8+AH8</f>
        <v>151565.697375</v>
      </c>
      <c r="AJ8" s="36">
        <f aca="true" t="shared" si="15" ref="AJ8:AJ39">AI$6*$F8</f>
        <v>18649.921707999998</v>
      </c>
      <c r="AL8" s="36"/>
      <c r="AM8" s="36">
        <f aca="true" t="shared" si="16" ref="AM8:AM39">D8*$AN$6</f>
        <v>9053.058825</v>
      </c>
      <c r="AN8" s="5">
        <f aca="true" t="shared" si="17" ref="AN8:AN39">AL8+AM8</f>
        <v>9053.058825</v>
      </c>
      <c r="AO8" s="36">
        <f aca="true" t="shared" si="18" ref="AO8:AO39">AN$6*$F8</f>
        <v>1113.9647112</v>
      </c>
      <c r="AQ8" s="36"/>
      <c r="AR8" s="36">
        <f aca="true" t="shared" si="19" ref="AR8:AR39">D8*$AS$6</f>
        <v>814.9257</v>
      </c>
      <c r="AS8" s="5">
        <f aca="true" t="shared" si="20" ref="AS8:AS39">AQ8+AR8</f>
        <v>814.9257</v>
      </c>
      <c r="AT8" s="36">
        <f aca="true" t="shared" si="21" ref="AT8:AT39">AS$6*$F8</f>
        <v>100.27533120000001</v>
      </c>
      <c r="AU8" s="5"/>
      <c r="AV8" s="36"/>
      <c r="AW8" s="36">
        <f aca="true" t="shared" si="22" ref="AW8:AW39">D8*$AX$6</f>
        <v>166735.2567</v>
      </c>
      <c r="AX8" s="5">
        <f aca="true" t="shared" si="23" ref="AX8:AX39">AV8+AW8</f>
        <v>166735.2567</v>
      </c>
      <c r="AY8" s="36">
        <f aca="true" t="shared" si="24" ref="AY8:AY39">AX$6*$F8</f>
        <v>20516.5122272</v>
      </c>
      <c r="AZ8" s="5"/>
      <c r="BA8" s="36"/>
      <c r="BB8" s="36">
        <f aca="true" t="shared" si="25" ref="BB8:BB39">D8*$BC$6</f>
        <v>5.9250750000000005</v>
      </c>
      <c r="BC8" s="5">
        <f aca="true" t="shared" si="26" ref="BC8:BC39">BA8+BB8</f>
        <v>5.9250750000000005</v>
      </c>
      <c r="BD8" s="36">
        <f aca="true" t="shared" si="27" ref="BD8:BD39">BC$6*$F8</f>
        <v>0.7290712</v>
      </c>
      <c r="BE8" s="5"/>
      <c r="BF8" s="36"/>
      <c r="BG8" s="36">
        <f aca="true" t="shared" si="28" ref="BG8:BG39">D8*$BH$6</f>
        <v>212972.263125</v>
      </c>
      <c r="BH8" s="5">
        <f aca="true" t="shared" si="29" ref="BH8:BH39">BF8+BG8</f>
        <v>212972.263125</v>
      </c>
      <c r="BI8" s="36">
        <f aca="true" t="shared" si="30" ref="BI8:BI39">BH$6*$F8</f>
        <v>26205.903459999998</v>
      </c>
      <c r="BJ8" s="5"/>
      <c r="BK8" s="36"/>
      <c r="BL8" s="36">
        <f aca="true" t="shared" si="31" ref="BL8:BL39">D8*$BM$6</f>
        <v>502.4919375</v>
      </c>
      <c r="BM8" s="5">
        <f aca="true" t="shared" si="32" ref="BM8:BM39">BK8+BL8</f>
        <v>502.4919375</v>
      </c>
      <c r="BN8" s="36">
        <f aca="true" t="shared" si="33" ref="BN8:BN39">BM$6*$F8</f>
        <v>61.830846</v>
      </c>
      <c r="BO8" s="5"/>
      <c r="BP8" s="36"/>
      <c r="BQ8" s="36">
        <f aca="true" t="shared" si="34" ref="BQ8:BQ39">D8*$BR$6</f>
        <v>89300.6794125</v>
      </c>
      <c r="BR8" s="5">
        <f aca="true" t="shared" si="35" ref="BR8:BR39">BP8+BQ8</f>
        <v>89300.6794125</v>
      </c>
      <c r="BS8" s="36">
        <f aca="true" t="shared" si="36" ref="BS8:BS39">BR$6*$F8</f>
        <v>10988.308755600001</v>
      </c>
      <c r="BT8" s="5"/>
      <c r="BU8" s="5"/>
      <c r="BV8" s="5">
        <f aca="true" t="shared" si="37" ref="BV8:BV39">D8*$BW$6</f>
        <v>450.761475</v>
      </c>
      <c r="BW8" s="5">
        <f aca="true" t="shared" si="38" ref="BW8:BW39">BU8+BV8</f>
        <v>450.761475</v>
      </c>
      <c r="BX8" s="36">
        <f aca="true" t="shared" si="39" ref="BX8:BX39">BW$6*$F8</f>
        <v>55.4654936</v>
      </c>
      <c r="BY8" s="5"/>
      <c r="BZ8" s="36"/>
      <c r="CA8" s="36">
        <f aca="true" t="shared" si="40" ref="CA8:CA39">D8*$CB$6</f>
        <v>17525.916075</v>
      </c>
      <c r="CB8" s="5">
        <f aca="true" t="shared" si="41" ref="CB8:CB39">BZ8+CA8</f>
        <v>17525.916075</v>
      </c>
      <c r="CC8" s="36">
        <f aca="true" t="shared" si="42" ref="CC8:CC39">CB$6*$F8</f>
        <v>2156.5365272</v>
      </c>
      <c r="CD8" s="5"/>
      <c r="CE8" s="36"/>
      <c r="CF8" s="36">
        <f aca="true" t="shared" si="43" ref="CF8:CF39">D8*$CG$6</f>
        <v>9330.3979125</v>
      </c>
      <c r="CG8" s="5">
        <f aca="true" t="shared" si="44" ref="CG8:CG39">CE8+CF8</f>
        <v>9330.3979125</v>
      </c>
      <c r="CH8" s="36">
        <f aca="true" t="shared" si="45" ref="CH8:CH39">CG$6*$F8</f>
        <v>1148.0908516000002</v>
      </c>
      <c r="CI8" s="5"/>
      <c r="CJ8" s="5"/>
      <c r="CK8" s="36">
        <f aca="true" t="shared" si="46" ref="CK8:CK39">D8*$CL$6</f>
        <v>30403.382924999998</v>
      </c>
      <c r="CL8" s="36">
        <f aca="true" t="shared" si="47" ref="CL8:CL39">CJ8+CK8</f>
        <v>30403.382924999998</v>
      </c>
      <c r="CM8" s="36">
        <f aca="true" t="shared" si="48" ref="CM8:CM39">CL$6*$F8</f>
        <v>3741.0886568</v>
      </c>
      <c r="CN8" s="5"/>
      <c r="CO8" s="5"/>
      <c r="CP8" s="36">
        <f aca="true" t="shared" si="49" ref="CP8:CP39">D8*$CQ$6</f>
        <v>267625.83858750004</v>
      </c>
      <c r="CQ8" s="36">
        <f aca="true" t="shared" si="50" ref="CQ8:CQ39">CO8+CP8</f>
        <v>267625.83858750004</v>
      </c>
      <c r="CR8" s="36">
        <f aca="true" t="shared" si="51" ref="CR8:CR39">CQ$6*$F8</f>
        <v>32930.9403324</v>
      </c>
      <c r="CS8" s="5"/>
      <c r="CT8" s="36"/>
      <c r="CU8" s="36">
        <f aca="true" t="shared" si="52" ref="CU8:CU39">D8*$CV$6</f>
        <v>554075.8683375</v>
      </c>
      <c r="CV8" s="5">
        <f aca="true" t="shared" si="53" ref="CV8:CV39">CT8+CU8</f>
        <v>554075.8683375</v>
      </c>
      <c r="CW8" s="36">
        <f aca="true" t="shared" si="54" ref="CW8:CW39">CV$6*$F8</f>
        <v>68178.1679084</v>
      </c>
      <c r="CX8" s="5"/>
      <c r="CY8" s="5"/>
      <c r="CZ8" s="5">
        <f aca="true" t="shared" si="55" ref="CZ8:CZ39">D8*$DA$6</f>
        <v>24591.1122375</v>
      </c>
      <c r="DA8" s="5">
        <f aca="true" t="shared" si="56" ref="DA8:DA39">CY8+CZ8</f>
        <v>24591.1122375</v>
      </c>
      <c r="DB8" s="36">
        <f aca="true" t="shared" si="57" ref="DB8:DB39">DA$6*$F8</f>
        <v>3025.8978508</v>
      </c>
      <c r="DC8" s="5"/>
      <c r="DD8" s="36"/>
      <c r="DE8" s="36">
        <f aca="true" t="shared" si="58" ref="DE8:DE39">D8*$DF$6</f>
        <v>27276.9943125</v>
      </c>
      <c r="DF8" s="5">
        <f aca="true" t="shared" si="59" ref="DF8:DF39">DD8+DE8</f>
        <v>27276.9943125</v>
      </c>
      <c r="DG8" s="36">
        <f aca="true" t="shared" si="60" ref="DG8:DG39">DF$6*$F8</f>
        <v>3356.3914339999997</v>
      </c>
      <c r="DH8" s="5"/>
      <c r="DI8" s="36"/>
      <c r="DJ8" s="36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</row>
    <row r="9" spans="1:131" ht="12.75">
      <c r="A9" s="37">
        <v>42461</v>
      </c>
      <c r="C9" s="3">
        <v>4295000</v>
      </c>
      <c r="D9" s="3">
        <v>2278875</v>
      </c>
      <c r="E9" s="35">
        <f t="shared" si="0"/>
        <v>6573875</v>
      </c>
      <c r="F9" s="35">
        <v>145958</v>
      </c>
      <c r="H9" s="36">
        <f>'Academic Project '!H9</f>
        <v>647350.9899999999</v>
      </c>
      <c r="I9" s="36">
        <f>'Academic Project '!I9</f>
        <v>343476.5977499999</v>
      </c>
      <c r="J9" s="36">
        <f aca="true" t="shared" si="61" ref="J9:J39">H9+I9</f>
        <v>990827.5877499997</v>
      </c>
      <c r="K9" s="36">
        <f>'Academic Project '!K9</f>
        <v>21999.081675999998</v>
      </c>
      <c r="M9" s="36">
        <f aca="true" t="shared" si="62" ref="M9:M39">R9+W9+AB9+AG9+AL9+AQ9+AV9+BA9+BF9+BK9+BP9+BU9+BZ9+CA120+CE9+CJ9+CO9+CT9+CY9+DD9+DI9</f>
        <v>3647649.0100000002</v>
      </c>
      <c r="N9" s="35">
        <f t="shared" si="1"/>
        <v>1935398.4022499998</v>
      </c>
      <c r="O9" s="5">
        <f t="shared" si="2"/>
        <v>5583047.41225</v>
      </c>
      <c r="P9" s="35">
        <f t="shared" si="3"/>
        <v>123958.91832399998</v>
      </c>
      <c r="R9" s="36">
        <f aca="true" t="shared" si="63" ref="R9:R39">C9*$T$6</f>
        <v>164627.7795</v>
      </c>
      <c r="S9" s="36">
        <f t="shared" si="4"/>
        <v>87349.5066375</v>
      </c>
      <c r="T9" s="5">
        <f t="shared" si="5"/>
        <v>251977.28613750002</v>
      </c>
      <c r="U9" s="36">
        <f t="shared" si="6"/>
        <v>5594.5847358</v>
      </c>
      <c r="W9" s="5">
        <f aca="true" t="shared" si="64" ref="W9:W39">C9*$Y$6</f>
        <v>298312.2315</v>
      </c>
      <c r="X9" s="36">
        <f t="shared" si="7"/>
        <v>158280.8583375</v>
      </c>
      <c r="Y9" s="36">
        <f t="shared" si="8"/>
        <v>456593.0898375</v>
      </c>
      <c r="Z9" s="36">
        <f t="shared" si="9"/>
        <v>10137.6150606</v>
      </c>
      <c r="AB9" s="5">
        <f aca="true" t="shared" si="65" ref="AB9:AB39">C9*$AD$6</f>
        <v>240370.1045</v>
      </c>
      <c r="AC9" s="5">
        <f t="shared" si="10"/>
        <v>127537.4672625</v>
      </c>
      <c r="AD9" s="5">
        <f t="shared" si="11"/>
        <v>367907.5717625</v>
      </c>
      <c r="AE9" s="36">
        <f t="shared" si="12"/>
        <v>8168.554065799999</v>
      </c>
      <c r="AG9" s="5">
        <f aca="true" t="shared" si="66" ref="AG9:AG39">C9*$AI$6</f>
        <v>285656.15499999997</v>
      </c>
      <c r="AH9" s="5">
        <f t="shared" si="13"/>
        <v>151565.697375</v>
      </c>
      <c r="AI9" s="5">
        <f t="shared" si="14"/>
        <v>437221.85237499996</v>
      </c>
      <c r="AJ9" s="36">
        <f t="shared" si="15"/>
        <v>9707.520622</v>
      </c>
      <c r="AL9" s="36">
        <f aca="true" t="shared" si="67" ref="AL9:AL39">C9*$AN$6</f>
        <v>17062.317</v>
      </c>
      <c r="AM9" s="36">
        <f t="shared" si="16"/>
        <v>9053.058825</v>
      </c>
      <c r="AN9" s="5">
        <f t="shared" si="17"/>
        <v>26115.375825</v>
      </c>
      <c r="AO9" s="36">
        <f t="shared" si="18"/>
        <v>579.8327508</v>
      </c>
      <c r="AQ9" s="36">
        <f aca="true" t="shared" si="68" ref="AQ9:AQ39">C9*$AS$6</f>
        <v>1535.892</v>
      </c>
      <c r="AR9" s="36">
        <f t="shared" si="19"/>
        <v>814.9257</v>
      </c>
      <c r="AS9" s="5">
        <f t="shared" si="20"/>
        <v>2350.8177</v>
      </c>
      <c r="AT9" s="36">
        <f t="shared" si="21"/>
        <v>52.194580800000004</v>
      </c>
      <c r="AU9" s="5"/>
      <c r="AV9" s="36">
        <f aca="true" t="shared" si="69" ref="AV9:AV39">C9*$AX$6</f>
        <v>314246.252</v>
      </c>
      <c r="AW9" s="36">
        <f t="shared" si="22"/>
        <v>166735.2567</v>
      </c>
      <c r="AX9" s="5">
        <f t="shared" si="23"/>
        <v>480981.5087</v>
      </c>
      <c r="AY9" s="36">
        <f t="shared" si="24"/>
        <v>10679.1046448</v>
      </c>
      <c r="AZ9" s="5"/>
      <c r="BA9" s="36">
        <f aca="true" t="shared" si="70" ref="BA9:BA39">C9*$BC$6</f>
        <v>11.167</v>
      </c>
      <c r="BB9" s="36">
        <f t="shared" si="25"/>
        <v>5.9250750000000005</v>
      </c>
      <c r="BC9" s="5">
        <f t="shared" si="26"/>
        <v>17.092075</v>
      </c>
      <c r="BD9" s="36">
        <f t="shared" si="27"/>
        <v>0.3794908</v>
      </c>
      <c r="BE9" s="5"/>
      <c r="BF9" s="36">
        <f aca="true" t="shared" si="71" ref="BF9:BF39">C9*$BH$6</f>
        <v>401389.225</v>
      </c>
      <c r="BG9" s="36">
        <f t="shared" si="28"/>
        <v>212972.263125</v>
      </c>
      <c r="BH9" s="5">
        <f t="shared" si="29"/>
        <v>614361.4881249999</v>
      </c>
      <c r="BI9" s="36">
        <f t="shared" si="30"/>
        <v>13640.50489</v>
      </c>
      <c r="BJ9" s="5"/>
      <c r="BK9" s="36">
        <f aca="true" t="shared" si="72" ref="BK9:BK39">C9*$BM$6</f>
        <v>947.0475</v>
      </c>
      <c r="BL9" s="36">
        <f t="shared" si="31"/>
        <v>502.4919375</v>
      </c>
      <c r="BM9" s="5">
        <f t="shared" si="32"/>
        <v>1449.5394375</v>
      </c>
      <c r="BN9" s="36">
        <f t="shared" si="33"/>
        <v>32.183738999999996</v>
      </c>
      <c r="BO9" s="5"/>
      <c r="BP9" s="36">
        <f aca="true" t="shared" si="73" ref="BP9:BP39">C9*$BR$6</f>
        <v>168305.1585</v>
      </c>
      <c r="BQ9" s="36">
        <f t="shared" si="34"/>
        <v>89300.6794125</v>
      </c>
      <c r="BR9" s="5">
        <f t="shared" si="35"/>
        <v>257605.8379125</v>
      </c>
      <c r="BS9" s="36">
        <f t="shared" si="36"/>
        <v>5719.5539754</v>
      </c>
      <c r="BT9" s="5"/>
      <c r="BU9" s="5">
        <f aca="true" t="shared" si="74" ref="BU9:BU39">C9*$BW$6</f>
        <v>849.551</v>
      </c>
      <c r="BV9" s="5">
        <f t="shared" si="37"/>
        <v>450.761475</v>
      </c>
      <c r="BW9" s="5">
        <f t="shared" si="38"/>
        <v>1300.3124750000002</v>
      </c>
      <c r="BX9" s="36">
        <f t="shared" si="39"/>
        <v>28.8704924</v>
      </c>
      <c r="BY9" s="5"/>
      <c r="BZ9" s="36">
        <f aca="true" t="shared" si="75" ref="BZ9:BZ39">C9*$CB$6</f>
        <v>33031.127</v>
      </c>
      <c r="CA9" s="36">
        <f t="shared" si="40"/>
        <v>17525.916075</v>
      </c>
      <c r="CB9" s="5">
        <f t="shared" si="41"/>
        <v>50557.043075</v>
      </c>
      <c r="CC9" s="36">
        <f t="shared" si="42"/>
        <v>1122.5045948</v>
      </c>
      <c r="CD9" s="5"/>
      <c r="CE9" s="36">
        <f aca="true" t="shared" si="76" ref="CE9:CE39">C9*$CG$6</f>
        <v>17585.018500000002</v>
      </c>
      <c r="CF9" s="36">
        <f t="shared" si="43"/>
        <v>9330.3979125</v>
      </c>
      <c r="CG9" s="5">
        <f t="shared" si="44"/>
        <v>26915.416412500002</v>
      </c>
      <c r="CH9" s="36">
        <f t="shared" si="45"/>
        <v>597.5958394</v>
      </c>
      <c r="CI9" s="5"/>
      <c r="CJ9" s="5">
        <f aca="true" t="shared" si="77" ref="CJ9:CJ39">C9*$CL$6</f>
        <v>57301.313</v>
      </c>
      <c r="CK9" s="36">
        <f t="shared" si="46"/>
        <v>30403.382924999998</v>
      </c>
      <c r="CL9" s="36">
        <f t="shared" si="47"/>
        <v>87704.695925</v>
      </c>
      <c r="CM9" s="36">
        <f t="shared" si="48"/>
        <v>1947.2840612</v>
      </c>
      <c r="CN9" s="5"/>
      <c r="CO9" s="5">
        <f aca="true" t="shared" si="78" ref="CO9:CO39">C9*$CQ$6</f>
        <v>504394.9215</v>
      </c>
      <c r="CP9" s="36">
        <f t="shared" si="49"/>
        <v>267625.83858750004</v>
      </c>
      <c r="CQ9" s="36">
        <f t="shared" si="50"/>
        <v>772020.7600875001</v>
      </c>
      <c r="CR9" s="36">
        <f t="shared" si="51"/>
        <v>17140.971816600002</v>
      </c>
      <c r="CS9" s="5"/>
      <c r="CT9" s="36">
        <f aca="true" t="shared" si="79" ref="CT9:CT39">C9*$CV$6</f>
        <v>1044267.8315000001</v>
      </c>
      <c r="CU9" s="36">
        <f t="shared" si="52"/>
        <v>554075.8683375</v>
      </c>
      <c r="CV9" s="5">
        <f t="shared" si="53"/>
        <v>1598343.6998375002</v>
      </c>
      <c r="CW9" s="36">
        <f t="shared" si="54"/>
        <v>35487.600500600005</v>
      </c>
      <c r="CX9" s="5"/>
      <c r="CY9" s="5">
        <f aca="true" t="shared" si="80" ref="CY9:CY39">C9*$DA$6</f>
        <v>46346.9155</v>
      </c>
      <c r="CZ9" s="5">
        <f t="shared" si="55"/>
        <v>24591.1122375</v>
      </c>
      <c r="DA9" s="5">
        <f t="shared" si="56"/>
        <v>70938.0277375</v>
      </c>
      <c r="DB9" s="36">
        <f t="shared" si="57"/>
        <v>1575.0181822000002</v>
      </c>
      <c r="DC9" s="5"/>
      <c r="DD9" s="36">
        <f aca="true" t="shared" si="81" ref="DD9:DD39">C9*$DF$6</f>
        <v>51409.002499999995</v>
      </c>
      <c r="DE9" s="36">
        <f t="shared" si="58"/>
        <v>27276.9943125</v>
      </c>
      <c r="DF9" s="5">
        <f t="shared" si="59"/>
        <v>78685.9968125</v>
      </c>
      <c r="DG9" s="36">
        <f t="shared" si="60"/>
        <v>1747.044281</v>
      </c>
      <c r="DH9" s="5"/>
      <c r="DI9" s="36"/>
      <c r="DJ9" s="36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</row>
    <row r="10" spans="1:131" ht="12.75">
      <c r="A10" s="37">
        <v>42644</v>
      </c>
      <c r="D10" s="3">
        <v>1037600</v>
      </c>
      <c r="E10" s="35">
        <f t="shared" si="0"/>
        <v>1037600</v>
      </c>
      <c r="F10" s="35">
        <v>145958</v>
      </c>
      <c r="H10" s="36"/>
      <c r="I10" s="36">
        <f>'Academic Project '!I10</f>
        <v>156389.14720000004</v>
      </c>
      <c r="J10" s="36">
        <f t="shared" si="61"/>
        <v>156389.14720000004</v>
      </c>
      <c r="K10" s="36">
        <f>'Academic Project '!K10</f>
        <v>21999.081675999998</v>
      </c>
      <c r="M10" s="36"/>
      <c r="N10" s="35">
        <f t="shared" si="1"/>
        <v>881210.8528</v>
      </c>
      <c r="O10" s="5">
        <f t="shared" si="2"/>
        <v>881210.8528</v>
      </c>
      <c r="P10" s="35">
        <f t="shared" si="3"/>
        <v>123958.91832399998</v>
      </c>
      <c r="R10" s="36"/>
      <c r="S10" s="36">
        <f t="shared" si="4"/>
        <v>39771.31176</v>
      </c>
      <c r="T10" s="5">
        <f t="shared" si="5"/>
        <v>39771.31176</v>
      </c>
      <c r="U10" s="36">
        <f t="shared" si="6"/>
        <v>5594.5847358</v>
      </c>
      <c r="X10" s="36">
        <f t="shared" si="7"/>
        <v>72067.23431999999</v>
      </c>
      <c r="Y10" s="36">
        <f t="shared" si="8"/>
        <v>72067.23431999999</v>
      </c>
      <c r="Z10" s="36">
        <f t="shared" si="9"/>
        <v>10137.6150606</v>
      </c>
      <c r="AC10" s="5">
        <f t="shared" si="10"/>
        <v>58069.38776</v>
      </c>
      <c r="AD10" s="5">
        <f t="shared" si="11"/>
        <v>58069.38776</v>
      </c>
      <c r="AE10" s="36">
        <f t="shared" si="12"/>
        <v>8168.554065799999</v>
      </c>
      <c r="AH10" s="5">
        <f t="shared" si="13"/>
        <v>69009.7384</v>
      </c>
      <c r="AI10" s="5">
        <f t="shared" si="14"/>
        <v>69009.7384</v>
      </c>
      <c r="AJ10" s="36">
        <f t="shared" si="15"/>
        <v>9707.520622</v>
      </c>
      <c r="AL10" s="36"/>
      <c r="AM10" s="36">
        <f t="shared" si="16"/>
        <v>4121.96976</v>
      </c>
      <c r="AN10" s="5">
        <f t="shared" si="17"/>
        <v>4121.96976</v>
      </c>
      <c r="AO10" s="36">
        <f t="shared" si="18"/>
        <v>579.8327508</v>
      </c>
      <c r="AQ10" s="36"/>
      <c r="AR10" s="36">
        <f t="shared" si="19"/>
        <v>371.04576000000003</v>
      </c>
      <c r="AS10" s="5">
        <f t="shared" si="20"/>
        <v>371.04576000000003</v>
      </c>
      <c r="AT10" s="36">
        <f t="shared" si="21"/>
        <v>52.194580800000004</v>
      </c>
      <c r="AU10" s="5"/>
      <c r="AV10" s="36"/>
      <c r="AW10" s="36">
        <f t="shared" si="22"/>
        <v>75916.62656</v>
      </c>
      <c r="AX10" s="5">
        <f t="shared" si="23"/>
        <v>75916.62656</v>
      </c>
      <c r="AY10" s="36">
        <f t="shared" si="24"/>
        <v>10679.1046448</v>
      </c>
      <c r="AZ10" s="5"/>
      <c r="BA10" s="36"/>
      <c r="BB10" s="36">
        <f t="shared" si="25"/>
        <v>2.69776</v>
      </c>
      <c r="BC10" s="5">
        <f t="shared" si="26"/>
        <v>2.69776</v>
      </c>
      <c r="BD10" s="36">
        <f t="shared" si="27"/>
        <v>0.3794908</v>
      </c>
      <c r="BE10" s="5"/>
      <c r="BF10" s="36"/>
      <c r="BG10" s="36">
        <f t="shared" si="28"/>
        <v>96968.908</v>
      </c>
      <c r="BH10" s="5">
        <f t="shared" si="29"/>
        <v>96968.908</v>
      </c>
      <c r="BI10" s="36">
        <f t="shared" si="30"/>
        <v>13640.50489</v>
      </c>
      <c r="BJ10" s="5"/>
      <c r="BK10" s="36"/>
      <c r="BL10" s="36">
        <f t="shared" si="31"/>
        <v>228.7908</v>
      </c>
      <c r="BM10" s="5">
        <f t="shared" si="32"/>
        <v>228.7908</v>
      </c>
      <c r="BN10" s="36">
        <f t="shared" si="33"/>
        <v>32.183738999999996</v>
      </c>
      <c r="BO10" s="5"/>
      <c r="BP10" s="36"/>
      <c r="BQ10" s="36">
        <f t="shared" si="34"/>
        <v>40659.70488</v>
      </c>
      <c r="BR10" s="5">
        <f t="shared" si="35"/>
        <v>40659.70488</v>
      </c>
      <c r="BS10" s="36">
        <f t="shared" si="36"/>
        <v>5719.5539754</v>
      </c>
      <c r="BT10" s="5"/>
      <c r="BU10" s="5"/>
      <c r="BV10" s="5">
        <f t="shared" si="37"/>
        <v>205.23728</v>
      </c>
      <c r="BW10" s="5">
        <f t="shared" si="38"/>
        <v>205.23728</v>
      </c>
      <c r="BX10" s="36">
        <f t="shared" si="39"/>
        <v>28.8704924</v>
      </c>
      <c r="BY10" s="5"/>
      <c r="BZ10" s="36"/>
      <c r="CA10" s="36">
        <f t="shared" si="40"/>
        <v>7979.76656</v>
      </c>
      <c r="CB10" s="5">
        <f t="shared" si="41"/>
        <v>7979.76656</v>
      </c>
      <c r="CC10" s="36">
        <f t="shared" si="42"/>
        <v>1122.5045948</v>
      </c>
      <c r="CD10" s="5"/>
      <c r="CE10" s="36"/>
      <c r="CF10" s="36">
        <f t="shared" si="43"/>
        <v>4248.24568</v>
      </c>
      <c r="CG10" s="5">
        <f t="shared" si="44"/>
        <v>4248.24568</v>
      </c>
      <c r="CH10" s="36">
        <f t="shared" si="45"/>
        <v>597.5958394</v>
      </c>
      <c r="CI10" s="5"/>
      <c r="CJ10" s="5"/>
      <c r="CK10" s="36">
        <f t="shared" si="46"/>
        <v>13843.03664</v>
      </c>
      <c r="CL10" s="36">
        <f t="shared" si="47"/>
        <v>13843.03664</v>
      </c>
      <c r="CM10" s="36">
        <f t="shared" si="48"/>
        <v>1947.2840612</v>
      </c>
      <c r="CN10" s="5"/>
      <c r="CO10" s="5"/>
      <c r="CP10" s="36">
        <f t="shared" si="49"/>
        <v>121853.35752</v>
      </c>
      <c r="CQ10" s="36">
        <f t="shared" si="50"/>
        <v>121853.35752</v>
      </c>
      <c r="CR10" s="36">
        <f t="shared" si="51"/>
        <v>17140.971816600002</v>
      </c>
      <c r="CS10" s="5"/>
      <c r="CT10" s="36"/>
      <c r="CU10" s="36">
        <f t="shared" si="52"/>
        <v>252277.60232</v>
      </c>
      <c r="CV10" s="5">
        <f t="shared" si="53"/>
        <v>252277.60232</v>
      </c>
      <c r="CW10" s="36">
        <f t="shared" si="54"/>
        <v>35487.600500600005</v>
      </c>
      <c r="CX10" s="5"/>
      <c r="CY10" s="5"/>
      <c r="CZ10" s="5">
        <f t="shared" si="55"/>
        <v>11196.637840000001</v>
      </c>
      <c r="DA10" s="5">
        <f t="shared" si="56"/>
        <v>11196.637840000001</v>
      </c>
      <c r="DB10" s="36">
        <f t="shared" si="57"/>
        <v>1575.0181822000002</v>
      </c>
      <c r="DC10" s="5"/>
      <c r="DD10" s="36"/>
      <c r="DE10" s="36">
        <f t="shared" si="58"/>
        <v>12419.553199999998</v>
      </c>
      <c r="DF10" s="5">
        <f t="shared" si="59"/>
        <v>12419.553199999998</v>
      </c>
      <c r="DG10" s="36">
        <f t="shared" si="60"/>
        <v>1747.044281</v>
      </c>
      <c r="DH10" s="5"/>
      <c r="DI10" s="36"/>
      <c r="DJ10" s="36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ht="12.75">
      <c r="A11" s="37">
        <v>42826</v>
      </c>
      <c r="C11" s="3">
        <v>4470000</v>
      </c>
      <c r="D11" s="3">
        <v>1037600</v>
      </c>
      <c r="E11" s="35">
        <f t="shared" si="0"/>
        <v>5507600</v>
      </c>
      <c r="F11" s="35">
        <v>145958</v>
      </c>
      <c r="H11" s="36">
        <f>'Academic Project '!H11</f>
        <v>673727.3400000001</v>
      </c>
      <c r="I11" s="36">
        <f>'Academic Project '!I11</f>
        <v>156389.14720000004</v>
      </c>
      <c r="J11" s="36">
        <f t="shared" si="61"/>
        <v>830116.4872000001</v>
      </c>
      <c r="K11" s="36">
        <f>'Academic Project '!K11</f>
        <v>21999.081675999998</v>
      </c>
      <c r="M11" s="36">
        <f t="shared" si="62"/>
        <v>3796272.66</v>
      </c>
      <c r="N11" s="35">
        <f t="shared" si="1"/>
        <v>881210.8528</v>
      </c>
      <c r="O11" s="5">
        <f t="shared" si="2"/>
        <v>4677483.512800001</v>
      </c>
      <c r="P11" s="35">
        <f t="shared" si="3"/>
        <v>123958.91832399998</v>
      </c>
      <c r="R11" s="36">
        <f t="shared" si="63"/>
        <v>171335.547</v>
      </c>
      <c r="S11" s="36">
        <f t="shared" si="4"/>
        <v>39771.31176</v>
      </c>
      <c r="T11" s="5">
        <f t="shared" si="5"/>
        <v>211106.85875999997</v>
      </c>
      <c r="U11" s="36">
        <f t="shared" si="6"/>
        <v>5594.5847358</v>
      </c>
      <c r="W11" s="5">
        <f t="shared" si="64"/>
        <v>310466.979</v>
      </c>
      <c r="X11" s="36">
        <f t="shared" si="7"/>
        <v>72067.23431999999</v>
      </c>
      <c r="Y11" s="36">
        <f t="shared" si="8"/>
        <v>382534.21332</v>
      </c>
      <c r="Z11" s="36">
        <f t="shared" si="9"/>
        <v>10137.6150606</v>
      </c>
      <c r="AB11" s="5">
        <f t="shared" si="65"/>
        <v>250163.99699999997</v>
      </c>
      <c r="AC11" s="5">
        <f t="shared" si="10"/>
        <v>58069.38776</v>
      </c>
      <c r="AD11" s="5">
        <f t="shared" si="11"/>
        <v>308233.38476</v>
      </c>
      <c r="AE11" s="36">
        <f t="shared" si="12"/>
        <v>8168.554065799999</v>
      </c>
      <c r="AG11" s="5">
        <f t="shared" si="66"/>
        <v>297295.23</v>
      </c>
      <c r="AH11" s="5">
        <f t="shared" si="13"/>
        <v>69009.7384</v>
      </c>
      <c r="AI11" s="5">
        <f t="shared" si="14"/>
        <v>366304.9684</v>
      </c>
      <c r="AJ11" s="36">
        <f t="shared" si="15"/>
        <v>9707.520622</v>
      </c>
      <c r="AL11" s="36">
        <f t="shared" si="67"/>
        <v>17757.521999999997</v>
      </c>
      <c r="AM11" s="36">
        <f t="shared" si="16"/>
        <v>4121.96976</v>
      </c>
      <c r="AN11" s="5">
        <f t="shared" si="17"/>
        <v>21879.491759999997</v>
      </c>
      <c r="AO11" s="36">
        <f t="shared" si="18"/>
        <v>579.8327508</v>
      </c>
      <c r="AQ11" s="36">
        <f t="shared" si="68"/>
        <v>1598.472</v>
      </c>
      <c r="AR11" s="36">
        <f t="shared" si="19"/>
        <v>371.04576000000003</v>
      </c>
      <c r="AS11" s="5">
        <f t="shared" si="20"/>
        <v>1969.51776</v>
      </c>
      <c r="AT11" s="36">
        <f t="shared" si="21"/>
        <v>52.194580800000004</v>
      </c>
      <c r="AU11" s="5"/>
      <c r="AV11" s="36">
        <f t="shared" si="69"/>
        <v>327050.23199999996</v>
      </c>
      <c r="AW11" s="36">
        <f t="shared" si="22"/>
        <v>75916.62656</v>
      </c>
      <c r="AX11" s="5">
        <f t="shared" si="23"/>
        <v>402966.85855999996</v>
      </c>
      <c r="AY11" s="36">
        <f t="shared" si="24"/>
        <v>10679.1046448</v>
      </c>
      <c r="AZ11" s="5"/>
      <c r="BA11" s="36">
        <f t="shared" si="70"/>
        <v>11.622</v>
      </c>
      <c r="BB11" s="36">
        <f t="shared" si="25"/>
        <v>2.69776</v>
      </c>
      <c r="BC11" s="5">
        <f t="shared" si="26"/>
        <v>14.31976</v>
      </c>
      <c r="BD11" s="36">
        <f t="shared" si="27"/>
        <v>0.3794908</v>
      </c>
      <c r="BE11" s="5"/>
      <c r="BF11" s="36">
        <f t="shared" si="71"/>
        <v>417743.85</v>
      </c>
      <c r="BG11" s="36">
        <f t="shared" si="28"/>
        <v>96968.908</v>
      </c>
      <c r="BH11" s="5">
        <f t="shared" si="29"/>
        <v>514712.758</v>
      </c>
      <c r="BI11" s="36">
        <f t="shared" si="30"/>
        <v>13640.50489</v>
      </c>
      <c r="BJ11" s="5"/>
      <c r="BK11" s="36">
        <f t="shared" si="72"/>
        <v>985.635</v>
      </c>
      <c r="BL11" s="36">
        <f t="shared" si="31"/>
        <v>228.7908</v>
      </c>
      <c r="BM11" s="5">
        <f t="shared" si="32"/>
        <v>1214.4258</v>
      </c>
      <c r="BN11" s="36">
        <f t="shared" si="33"/>
        <v>32.183738999999996</v>
      </c>
      <c r="BO11" s="5"/>
      <c r="BP11" s="36">
        <f t="shared" si="73"/>
        <v>175162.761</v>
      </c>
      <c r="BQ11" s="36">
        <f t="shared" si="34"/>
        <v>40659.70488</v>
      </c>
      <c r="BR11" s="5">
        <f t="shared" si="35"/>
        <v>215822.46588</v>
      </c>
      <c r="BS11" s="36">
        <f t="shared" si="36"/>
        <v>5719.5539754</v>
      </c>
      <c r="BT11" s="5"/>
      <c r="BU11" s="5">
        <f t="shared" si="74"/>
        <v>884.166</v>
      </c>
      <c r="BV11" s="5">
        <f t="shared" si="37"/>
        <v>205.23728</v>
      </c>
      <c r="BW11" s="5">
        <f t="shared" si="38"/>
        <v>1089.40328</v>
      </c>
      <c r="BX11" s="36">
        <f t="shared" si="39"/>
        <v>28.8704924</v>
      </c>
      <c r="BY11" s="5"/>
      <c r="BZ11" s="36">
        <f t="shared" si="75"/>
        <v>34376.981999999996</v>
      </c>
      <c r="CA11" s="36">
        <f t="shared" si="40"/>
        <v>7979.76656</v>
      </c>
      <c r="CB11" s="5">
        <f t="shared" si="41"/>
        <v>42356.74855999999</v>
      </c>
      <c r="CC11" s="36">
        <f t="shared" si="42"/>
        <v>1122.5045948</v>
      </c>
      <c r="CD11" s="5"/>
      <c r="CE11" s="36">
        <f t="shared" si="76"/>
        <v>18301.521</v>
      </c>
      <c r="CF11" s="36">
        <f t="shared" si="43"/>
        <v>4248.24568</v>
      </c>
      <c r="CG11" s="5">
        <f t="shared" si="44"/>
        <v>22549.76668</v>
      </c>
      <c r="CH11" s="36">
        <f t="shared" si="45"/>
        <v>597.5958394</v>
      </c>
      <c r="CI11" s="5"/>
      <c r="CJ11" s="5">
        <f t="shared" si="77"/>
        <v>59636.058</v>
      </c>
      <c r="CK11" s="36">
        <f t="shared" si="46"/>
        <v>13843.03664</v>
      </c>
      <c r="CL11" s="36">
        <f t="shared" si="47"/>
        <v>73479.09464</v>
      </c>
      <c r="CM11" s="36">
        <f t="shared" si="48"/>
        <v>1947.2840612</v>
      </c>
      <c r="CN11" s="5"/>
      <c r="CO11" s="5">
        <f t="shared" si="78"/>
        <v>524946.519</v>
      </c>
      <c r="CP11" s="36">
        <f t="shared" si="49"/>
        <v>121853.35752</v>
      </c>
      <c r="CQ11" s="36">
        <f t="shared" si="50"/>
        <v>646799.8765199999</v>
      </c>
      <c r="CR11" s="36">
        <f t="shared" si="51"/>
        <v>17140.971816600002</v>
      </c>
      <c r="CS11" s="5"/>
      <c r="CT11" s="36">
        <f t="shared" si="79"/>
        <v>1086816.5790000001</v>
      </c>
      <c r="CU11" s="36">
        <f t="shared" si="52"/>
        <v>252277.60232</v>
      </c>
      <c r="CV11" s="5">
        <f t="shared" si="53"/>
        <v>1339094.1813200002</v>
      </c>
      <c r="CW11" s="36">
        <f t="shared" si="54"/>
        <v>35487.600500600005</v>
      </c>
      <c r="CX11" s="5"/>
      <c r="CY11" s="5">
        <f t="shared" si="80"/>
        <v>48235.323000000004</v>
      </c>
      <c r="CZ11" s="5">
        <f t="shared" si="55"/>
        <v>11196.637840000001</v>
      </c>
      <c r="DA11" s="5">
        <f t="shared" si="56"/>
        <v>59431.96084000001</v>
      </c>
      <c r="DB11" s="36">
        <f t="shared" si="57"/>
        <v>1575.0181822000002</v>
      </c>
      <c r="DC11" s="5"/>
      <c r="DD11" s="36">
        <f t="shared" si="81"/>
        <v>53503.66499999999</v>
      </c>
      <c r="DE11" s="36">
        <f t="shared" si="58"/>
        <v>12419.553199999998</v>
      </c>
      <c r="DF11" s="5">
        <f t="shared" si="59"/>
        <v>65923.21819999999</v>
      </c>
      <c r="DG11" s="36">
        <f t="shared" si="60"/>
        <v>1747.044281</v>
      </c>
      <c r="DH11" s="5"/>
      <c r="DI11" s="36"/>
      <c r="DJ11" s="36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</row>
    <row r="12" spans="1:131" ht="12.75">
      <c r="A12" s="37">
        <v>43009</v>
      </c>
      <c r="B12" s="38"/>
      <c r="D12" s="3">
        <v>925850</v>
      </c>
      <c r="E12" s="35">
        <f t="shared" si="0"/>
        <v>925850</v>
      </c>
      <c r="F12" s="35">
        <v>145958</v>
      </c>
      <c r="H12" s="36"/>
      <c r="I12" s="36">
        <f>'Academic Project '!I12</f>
        <v>139545.96370000005</v>
      </c>
      <c r="J12" s="36">
        <f t="shared" si="61"/>
        <v>139545.96370000005</v>
      </c>
      <c r="K12" s="36">
        <f>'Academic Project '!K12</f>
        <v>21999.081675999998</v>
      </c>
      <c r="M12" s="36"/>
      <c r="N12" s="35">
        <f t="shared" si="1"/>
        <v>786304.0362999999</v>
      </c>
      <c r="O12" s="5">
        <f t="shared" si="2"/>
        <v>786304.0362999999</v>
      </c>
      <c r="P12" s="35">
        <f t="shared" si="3"/>
        <v>123958.91832399998</v>
      </c>
      <c r="R12" s="36"/>
      <c r="S12" s="36">
        <f t="shared" si="4"/>
        <v>35487.923085</v>
      </c>
      <c r="T12" s="5">
        <f t="shared" si="5"/>
        <v>35487.923085</v>
      </c>
      <c r="U12" s="36">
        <f t="shared" si="6"/>
        <v>5594.5847358</v>
      </c>
      <c r="X12" s="36">
        <f t="shared" si="7"/>
        <v>64305.559844999996</v>
      </c>
      <c r="Y12" s="36">
        <f t="shared" si="8"/>
        <v>64305.559844999996</v>
      </c>
      <c r="Z12" s="36">
        <f t="shared" si="9"/>
        <v>10137.6150606</v>
      </c>
      <c r="AC12" s="5">
        <f t="shared" si="10"/>
        <v>51815.287834999996</v>
      </c>
      <c r="AD12" s="5">
        <f t="shared" si="11"/>
        <v>51815.287834999996</v>
      </c>
      <c r="AE12" s="36">
        <f t="shared" si="12"/>
        <v>8168.554065799999</v>
      </c>
      <c r="AH12" s="5">
        <f t="shared" si="13"/>
        <v>61577.35765</v>
      </c>
      <c r="AI12" s="5">
        <f t="shared" si="14"/>
        <v>61577.35765</v>
      </c>
      <c r="AJ12" s="36">
        <f t="shared" si="15"/>
        <v>9707.520622</v>
      </c>
      <c r="AL12" s="36"/>
      <c r="AM12" s="36">
        <f t="shared" si="16"/>
        <v>3678.0317099999997</v>
      </c>
      <c r="AN12" s="5">
        <f t="shared" si="17"/>
        <v>3678.0317099999997</v>
      </c>
      <c r="AO12" s="36">
        <f t="shared" si="18"/>
        <v>579.8327508</v>
      </c>
      <c r="AQ12" s="36"/>
      <c r="AR12" s="36">
        <f t="shared" si="19"/>
        <v>331.08396</v>
      </c>
      <c r="AS12" s="5">
        <f t="shared" si="20"/>
        <v>331.08396</v>
      </c>
      <c r="AT12" s="36">
        <f t="shared" si="21"/>
        <v>52.194580800000004</v>
      </c>
      <c r="AU12" s="5"/>
      <c r="AV12" s="36"/>
      <c r="AW12" s="36">
        <f t="shared" si="22"/>
        <v>67740.37075999999</v>
      </c>
      <c r="AX12" s="5">
        <f t="shared" si="23"/>
        <v>67740.37075999999</v>
      </c>
      <c r="AY12" s="36">
        <f t="shared" si="24"/>
        <v>10679.1046448</v>
      </c>
      <c r="AZ12" s="5"/>
      <c r="BA12" s="36"/>
      <c r="BB12" s="36">
        <f t="shared" si="25"/>
        <v>2.40721</v>
      </c>
      <c r="BC12" s="5">
        <f t="shared" si="26"/>
        <v>2.40721</v>
      </c>
      <c r="BD12" s="36">
        <f t="shared" si="27"/>
        <v>0.3794908</v>
      </c>
      <c r="BE12" s="5"/>
      <c r="BF12" s="36"/>
      <c r="BG12" s="36">
        <f t="shared" si="28"/>
        <v>86525.31175</v>
      </c>
      <c r="BH12" s="5">
        <f t="shared" si="29"/>
        <v>86525.31175</v>
      </c>
      <c r="BI12" s="36">
        <f t="shared" si="30"/>
        <v>13640.50489</v>
      </c>
      <c r="BJ12" s="5"/>
      <c r="BK12" s="36"/>
      <c r="BL12" s="36">
        <f t="shared" si="31"/>
        <v>204.149925</v>
      </c>
      <c r="BM12" s="5">
        <f t="shared" si="32"/>
        <v>204.149925</v>
      </c>
      <c r="BN12" s="36">
        <f t="shared" si="33"/>
        <v>32.183738999999996</v>
      </c>
      <c r="BO12" s="5"/>
      <c r="BP12" s="36"/>
      <c r="BQ12" s="36">
        <f t="shared" si="34"/>
        <v>36280.635855</v>
      </c>
      <c r="BR12" s="5">
        <f t="shared" si="35"/>
        <v>36280.635855</v>
      </c>
      <c r="BS12" s="36">
        <f t="shared" si="36"/>
        <v>5719.5539754</v>
      </c>
      <c r="BT12" s="5"/>
      <c r="BU12" s="5"/>
      <c r="BV12" s="5">
        <f t="shared" si="37"/>
        <v>183.13313000000002</v>
      </c>
      <c r="BW12" s="5">
        <f t="shared" si="38"/>
        <v>183.13313000000002</v>
      </c>
      <c r="BX12" s="36">
        <f t="shared" si="39"/>
        <v>28.8704924</v>
      </c>
      <c r="BY12" s="5"/>
      <c r="BZ12" s="36"/>
      <c r="CA12" s="36">
        <f t="shared" si="40"/>
        <v>7120.342009999999</v>
      </c>
      <c r="CB12" s="5">
        <f t="shared" si="41"/>
        <v>7120.342009999999</v>
      </c>
      <c r="CC12" s="36">
        <f t="shared" si="42"/>
        <v>1122.5045948</v>
      </c>
      <c r="CD12" s="5"/>
      <c r="CE12" s="36"/>
      <c r="CF12" s="36">
        <f t="shared" si="43"/>
        <v>3790.707655</v>
      </c>
      <c r="CG12" s="5">
        <f t="shared" si="44"/>
        <v>3790.707655</v>
      </c>
      <c r="CH12" s="36">
        <f t="shared" si="45"/>
        <v>597.5958394</v>
      </c>
      <c r="CI12" s="5"/>
      <c r="CJ12" s="5"/>
      <c r="CK12" s="36">
        <f t="shared" si="46"/>
        <v>12352.135189999999</v>
      </c>
      <c r="CL12" s="36">
        <f t="shared" si="47"/>
        <v>12352.135189999999</v>
      </c>
      <c r="CM12" s="36">
        <f t="shared" si="48"/>
        <v>1947.2840612</v>
      </c>
      <c r="CN12" s="5"/>
      <c r="CO12" s="5"/>
      <c r="CP12" s="36">
        <f t="shared" si="49"/>
        <v>108729.694545</v>
      </c>
      <c r="CQ12" s="36">
        <f t="shared" si="50"/>
        <v>108729.694545</v>
      </c>
      <c r="CR12" s="36">
        <f t="shared" si="51"/>
        <v>17140.971816600002</v>
      </c>
      <c r="CS12" s="5"/>
      <c r="CT12" s="36"/>
      <c r="CU12" s="36">
        <f t="shared" si="52"/>
        <v>225107.187845</v>
      </c>
      <c r="CV12" s="5">
        <f t="shared" si="53"/>
        <v>225107.187845</v>
      </c>
      <c r="CW12" s="36">
        <f t="shared" si="54"/>
        <v>35487.600500600005</v>
      </c>
      <c r="CX12" s="5"/>
      <c r="CY12" s="5"/>
      <c r="CZ12" s="5">
        <f t="shared" si="55"/>
        <v>9990.754765000001</v>
      </c>
      <c r="DA12" s="5">
        <f t="shared" si="56"/>
        <v>9990.754765000001</v>
      </c>
      <c r="DB12" s="36">
        <f t="shared" si="57"/>
        <v>1575.0181822000002</v>
      </c>
      <c r="DC12" s="5"/>
      <c r="DD12" s="36"/>
      <c r="DE12" s="36">
        <f t="shared" si="58"/>
        <v>11081.961575</v>
      </c>
      <c r="DF12" s="5">
        <f t="shared" si="59"/>
        <v>11081.961575</v>
      </c>
      <c r="DG12" s="36">
        <f t="shared" si="60"/>
        <v>1747.044281</v>
      </c>
      <c r="DH12" s="5"/>
      <c r="DI12" s="36"/>
      <c r="DJ12" s="36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</row>
    <row r="13" spans="1:131" ht="12.75">
      <c r="A13" s="37">
        <v>43191</v>
      </c>
      <c r="C13" s="3">
        <v>4690000</v>
      </c>
      <c r="D13" s="3">
        <v>925850</v>
      </c>
      <c r="E13" s="35">
        <f t="shared" si="0"/>
        <v>5615850</v>
      </c>
      <c r="F13" s="35">
        <v>145958</v>
      </c>
      <c r="H13" s="36">
        <f>'Academic Project '!H13</f>
        <v>706886.18</v>
      </c>
      <c r="I13" s="36">
        <f>'Academic Project '!I13</f>
        <v>139545.96370000005</v>
      </c>
      <c r="J13" s="36">
        <f t="shared" si="61"/>
        <v>846432.1437000001</v>
      </c>
      <c r="K13" s="36">
        <f>'Academic Project '!K13</f>
        <v>21999.081675999998</v>
      </c>
      <c r="M13" s="36">
        <f t="shared" si="62"/>
        <v>3983113.82</v>
      </c>
      <c r="N13" s="35">
        <f t="shared" si="1"/>
        <v>786304.0362999999</v>
      </c>
      <c r="O13" s="5">
        <f t="shared" si="2"/>
        <v>4769417.8563</v>
      </c>
      <c r="P13" s="35">
        <f t="shared" si="3"/>
        <v>123958.91832399998</v>
      </c>
      <c r="R13" s="36">
        <f t="shared" si="63"/>
        <v>179768.169</v>
      </c>
      <c r="S13" s="36">
        <f t="shared" si="4"/>
        <v>35487.923085</v>
      </c>
      <c r="T13" s="5">
        <f t="shared" si="5"/>
        <v>215256.092085</v>
      </c>
      <c r="U13" s="36">
        <f t="shared" si="6"/>
        <v>5594.5847358</v>
      </c>
      <c r="W13" s="5">
        <f t="shared" si="64"/>
        <v>325747.23299999995</v>
      </c>
      <c r="X13" s="36">
        <f t="shared" si="7"/>
        <v>64305.559844999996</v>
      </c>
      <c r="Y13" s="36">
        <f t="shared" si="8"/>
        <v>390052.79284499993</v>
      </c>
      <c r="Z13" s="36">
        <f t="shared" si="9"/>
        <v>10137.6150606</v>
      </c>
      <c r="AB13" s="5">
        <f t="shared" si="65"/>
        <v>262476.31899999996</v>
      </c>
      <c r="AC13" s="5">
        <f t="shared" si="10"/>
        <v>51815.287834999996</v>
      </c>
      <c r="AD13" s="5">
        <f t="shared" si="11"/>
        <v>314291.606835</v>
      </c>
      <c r="AE13" s="36">
        <f t="shared" si="12"/>
        <v>8168.554065799999</v>
      </c>
      <c r="AG13" s="5">
        <f t="shared" si="66"/>
        <v>311927.21</v>
      </c>
      <c r="AH13" s="5">
        <f t="shared" si="13"/>
        <v>61577.35765</v>
      </c>
      <c r="AI13" s="5">
        <f t="shared" si="14"/>
        <v>373504.56765000004</v>
      </c>
      <c r="AJ13" s="36">
        <f t="shared" si="15"/>
        <v>9707.520622</v>
      </c>
      <c r="AL13" s="36">
        <f t="shared" si="67"/>
        <v>18631.494</v>
      </c>
      <c r="AM13" s="36">
        <f t="shared" si="16"/>
        <v>3678.0317099999997</v>
      </c>
      <c r="AN13" s="5">
        <f t="shared" si="17"/>
        <v>22309.525709999998</v>
      </c>
      <c r="AO13" s="36">
        <f t="shared" si="18"/>
        <v>579.8327508</v>
      </c>
      <c r="AQ13" s="36">
        <f t="shared" si="68"/>
        <v>1677.144</v>
      </c>
      <c r="AR13" s="36">
        <f t="shared" si="19"/>
        <v>331.08396</v>
      </c>
      <c r="AS13" s="5">
        <f t="shared" si="20"/>
        <v>2008.22796</v>
      </c>
      <c r="AT13" s="36">
        <f t="shared" si="21"/>
        <v>52.194580800000004</v>
      </c>
      <c r="AU13" s="5"/>
      <c r="AV13" s="36">
        <f t="shared" si="69"/>
        <v>343146.664</v>
      </c>
      <c r="AW13" s="36">
        <f t="shared" si="22"/>
        <v>67740.37075999999</v>
      </c>
      <c r="AX13" s="5">
        <f t="shared" si="23"/>
        <v>410887.03475999995</v>
      </c>
      <c r="AY13" s="36">
        <f t="shared" si="24"/>
        <v>10679.1046448</v>
      </c>
      <c r="AZ13" s="5"/>
      <c r="BA13" s="36">
        <f t="shared" si="70"/>
        <v>12.194</v>
      </c>
      <c r="BB13" s="36">
        <f t="shared" si="25"/>
        <v>2.40721</v>
      </c>
      <c r="BC13" s="5">
        <f t="shared" si="26"/>
        <v>14.601210000000002</v>
      </c>
      <c r="BD13" s="36">
        <f t="shared" si="27"/>
        <v>0.3794908</v>
      </c>
      <c r="BE13" s="5"/>
      <c r="BF13" s="36">
        <f t="shared" si="71"/>
        <v>438303.95</v>
      </c>
      <c r="BG13" s="36">
        <f t="shared" si="28"/>
        <v>86525.31175</v>
      </c>
      <c r="BH13" s="5">
        <f t="shared" si="29"/>
        <v>524829.2617500001</v>
      </c>
      <c r="BI13" s="36">
        <f t="shared" si="30"/>
        <v>13640.50489</v>
      </c>
      <c r="BJ13" s="5"/>
      <c r="BK13" s="36">
        <f t="shared" si="72"/>
        <v>1034.145</v>
      </c>
      <c r="BL13" s="36">
        <f t="shared" si="31"/>
        <v>204.149925</v>
      </c>
      <c r="BM13" s="5">
        <f t="shared" si="32"/>
        <v>1238.294925</v>
      </c>
      <c r="BN13" s="36">
        <f t="shared" si="33"/>
        <v>32.183738999999996</v>
      </c>
      <c r="BO13" s="5"/>
      <c r="BP13" s="36">
        <f t="shared" si="73"/>
        <v>183783.747</v>
      </c>
      <c r="BQ13" s="36">
        <f t="shared" si="34"/>
        <v>36280.635855</v>
      </c>
      <c r="BR13" s="5">
        <f t="shared" si="35"/>
        <v>220064.382855</v>
      </c>
      <c r="BS13" s="36">
        <f t="shared" si="36"/>
        <v>5719.5539754</v>
      </c>
      <c r="BT13" s="5"/>
      <c r="BU13" s="5">
        <f t="shared" si="74"/>
        <v>927.682</v>
      </c>
      <c r="BV13" s="5">
        <f t="shared" si="37"/>
        <v>183.13313000000002</v>
      </c>
      <c r="BW13" s="5">
        <f t="shared" si="38"/>
        <v>1110.81513</v>
      </c>
      <c r="BX13" s="36">
        <f t="shared" si="39"/>
        <v>28.8704924</v>
      </c>
      <c r="BY13" s="5"/>
      <c r="BZ13" s="36">
        <f t="shared" si="75"/>
        <v>36068.914</v>
      </c>
      <c r="CA13" s="36">
        <f t="shared" si="40"/>
        <v>7120.342009999999</v>
      </c>
      <c r="CB13" s="5">
        <f t="shared" si="41"/>
        <v>43189.25601</v>
      </c>
      <c r="CC13" s="36">
        <f t="shared" si="42"/>
        <v>1122.5045948</v>
      </c>
      <c r="CD13" s="5"/>
      <c r="CE13" s="36">
        <f t="shared" si="76"/>
        <v>19202.267000000003</v>
      </c>
      <c r="CF13" s="36">
        <f t="shared" si="43"/>
        <v>3790.707655</v>
      </c>
      <c r="CG13" s="5">
        <f t="shared" si="44"/>
        <v>22992.974655000005</v>
      </c>
      <c r="CH13" s="36">
        <f t="shared" si="45"/>
        <v>597.5958394</v>
      </c>
      <c r="CI13" s="5"/>
      <c r="CJ13" s="5">
        <f t="shared" si="77"/>
        <v>62571.166</v>
      </c>
      <c r="CK13" s="36">
        <f t="shared" si="46"/>
        <v>12352.135189999999</v>
      </c>
      <c r="CL13" s="36">
        <f t="shared" si="47"/>
        <v>74923.30119</v>
      </c>
      <c r="CM13" s="36">
        <f t="shared" si="48"/>
        <v>1947.2840612</v>
      </c>
      <c r="CN13" s="5"/>
      <c r="CO13" s="5">
        <f t="shared" si="78"/>
        <v>550782.8130000001</v>
      </c>
      <c r="CP13" s="36">
        <f t="shared" si="49"/>
        <v>108729.694545</v>
      </c>
      <c r="CQ13" s="36">
        <f t="shared" si="50"/>
        <v>659512.5075450001</v>
      </c>
      <c r="CR13" s="36">
        <f t="shared" si="51"/>
        <v>17140.971816600002</v>
      </c>
      <c r="CS13" s="5"/>
      <c r="CT13" s="36">
        <f t="shared" si="79"/>
        <v>1140306.433</v>
      </c>
      <c r="CU13" s="36">
        <f t="shared" si="52"/>
        <v>225107.187845</v>
      </c>
      <c r="CV13" s="5">
        <f t="shared" si="53"/>
        <v>1365413.620845</v>
      </c>
      <c r="CW13" s="36">
        <f t="shared" si="54"/>
        <v>35487.600500600005</v>
      </c>
      <c r="CX13" s="5"/>
      <c r="CY13" s="5">
        <f t="shared" si="80"/>
        <v>50609.321</v>
      </c>
      <c r="CZ13" s="5">
        <f t="shared" si="55"/>
        <v>9990.754765000001</v>
      </c>
      <c r="DA13" s="5">
        <f t="shared" si="56"/>
        <v>60600.075765</v>
      </c>
      <c r="DB13" s="36">
        <f t="shared" si="57"/>
        <v>1575.0181822000002</v>
      </c>
      <c r="DC13" s="5"/>
      <c r="DD13" s="36">
        <f t="shared" si="81"/>
        <v>56136.954999999994</v>
      </c>
      <c r="DE13" s="36">
        <f t="shared" si="58"/>
        <v>11081.961575</v>
      </c>
      <c r="DF13" s="5">
        <f t="shared" si="59"/>
        <v>67218.916575</v>
      </c>
      <c r="DG13" s="36">
        <f t="shared" si="60"/>
        <v>1747.044281</v>
      </c>
      <c r="DH13" s="5"/>
      <c r="DI13" s="36"/>
      <c r="DJ13" s="36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</row>
    <row r="14" spans="1:131" ht="12.75">
      <c r="A14" s="37">
        <v>43374</v>
      </c>
      <c r="D14" s="3">
        <v>808600</v>
      </c>
      <c r="E14" s="35">
        <f t="shared" si="0"/>
        <v>808600</v>
      </c>
      <c r="F14" s="35">
        <v>145958</v>
      </c>
      <c r="H14" s="36"/>
      <c r="I14" s="36">
        <f>'Academic Project '!I14</f>
        <v>121873.8092</v>
      </c>
      <c r="J14" s="36">
        <f t="shared" si="61"/>
        <v>121873.8092</v>
      </c>
      <c r="K14" s="36">
        <f>'Academic Project '!K14</f>
        <v>21999.081675999998</v>
      </c>
      <c r="M14" s="36"/>
      <c r="N14" s="35">
        <f t="shared" si="1"/>
        <v>686726.1908</v>
      </c>
      <c r="O14" s="5">
        <f t="shared" si="2"/>
        <v>686726.1908</v>
      </c>
      <c r="P14" s="35">
        <f t="shared" si="3"/>
        <v>123958.91832399998</v>
      </c>
      <c r="R14" s="36"/>
      <c r="S14" s="36">
        <f t="shared" si="4"/>
        <v>30993.71886</v>
      </c>
      <c r="T14" s="5">
        <f t="shared" si="5"/>
        <v>30993.71886</v>
      </c>
      <c r="U14" s="36">
        <f t="shared" si="6"/>
        <v>5594.5847358</v>
      </c>
      <c r="X14" s="36">
        <f t="shared" si="7"/>
        <v>56161.87901999999</v>
      </c>
      <c r="Y14" s="36">
        <f t="shared" si="8"/>
        <v>56161.87901999999</v>
      </c>
      <c r="Z14" s="36">
        <f t="shared" si="9"/>
        <v>10137.6150606</v>
      </c>
      <c r="AC14" s="5">
        <f t="shared" si="10"/>
        <v>45253.37986</v>
      </c>
      <c r="AD14" s="5">
        <f t="shared" si="11"/>
        <v>45253.37986</v>
      </c>
      <c r="AE14" s="36">
        <f t="shared" si="12"/>
        <v>8168.554065799999</v>
      </c>
      <c r="AH14" s="5">
        <f t="shared" si="13"/>
        <v>53779.1774</v>
      </c>
      <c r="AI14" s="5">
        <f t="shared" si="14"/>
        <v>53779.1774</v>
      </c>
      <c r="AJ14" s="36">
        <f t="shared" si="15"/>
        <v>9707.520622</v>
      </c>
      <c r="AL14" s="36"/>
      <c r="AM14" s="36">
        <f t="shared" si="16"/>
        <v>3212.2443599999997</v>
      </c>
      <c r="AN14" s="5">
        <f t="shared" si="17"/>
        <v>3212.2443599999997</v>
      </c>
      <c r="AO14" s="36">
        <f t="shared" si="18"/>
        <v>579.8327508</v>
      </c>
      <c r="AQ14" s="36"/>
      <c r="AR14" s="36">
        <f t="shared" si="19"/>
        <v>289.15536000000003</v>
      </c>
      <c r="AS14" s="5">
        <f t="shared" si="20"/>
        <v>289.15536000000003</v>
      </c>
      <c r="AT14" s="36">
        <f t="shared" si="21"/>
        <v>52.194580800000004</v>
      </c>
      <c r="AU14" s="5"/>
      <c r="AV14" s="36"/>
      <c r="AW14" s="36">
        <f t="shared" si="22"/>
        <v>59161.70416</v>
      </c>
      <c r="AX14" s="5">
        <f t="shared" si="23"/>
        <v>59161.70416</v>
      </c>
      <c r="AY14" s="36">
        <f t="shared" si="24"/>
        <v>10679.1046448</v>
      </c>
      <c r="AZ14" s="5"/>
      <c r="BA14" s="36"/>
      <c r="BB14" s="36">
        <f t="shared" si="25"/>
        <v>2.10236</v>
      </c>
      <c r="BC14" s="5">
        <f t="shared" si="26"/>
        <v>2.10236</v>
      </c>
      <c r="BD14" s="36">
        <f t="shared" si="27"/>
        <v>0.3794908</v>
      </c>
      <c r="BE14" s="5"/>
      <c r="BF14" s="36"/>
      <c r="BG14" s="36">
        <f t="shared" si="28"/>
        <v>75567.713</v>
      </c>
      <c r="BH14" s="5">
        <f t="shared" si="29"/>
        <v>75567.713</v>
      </c>
      <c r="BI14" s="36">
        <f t="shared" si="30"/>
        <v>13640.50489</v>
      </c>
      <c r="BJ14" s="5"/>
      <c r="BK14" s="36"/>
      <c r="BL14" s="36">
        <f t="shared" si="31"/>
        <v>178.2963</v>
      </c>
      <c r="BM14" s="5">
        <f t="shared" si="32"/>
        <v>178.2963</v>
      </c>
      <c r="BN14" s="36">
        <f t="shared" si="33"/>
        <v>32.183738999999996</v>
      </c>
      <c r="BO14" s="5"/>
      <c r="BP14" s="36"/>
      <c r="BQ14" s="36">
        <f t="shared" si="34"/>
        <v>31686.04218</v>
      </c>
      <c r="BR14" s="5">
        <f t="shared" si="35"/>
        <v>31686.04218</v>
      </c>
      <c r="BS14" s="36">
        <f t="shared" si="36"/>
        <v>5719.5539754</v>
      </c>
      <c r="BT14" s="5"/>
      <c r="BU14" s="5"/>
      <c r="BV14" s="5">
        <f t="shared" si="37"/>
        <v>159.94108</v>
      </c>
      <c r="BW14" s="5">
        <f t="shared" si="38"/>
        <v>159.94108</v>
      </c>
      <c r="BX14" s="36">
        <f t="shared" si="39"/>
        <v>28.8704924</v>
      </c>
      <c r="BY14" s="5"/>
      <c r="BZ14" s="36"/>
      <c r="CA14" s="36">
        <f t="shared" si="40"/>
        <v>6218.61916</v>
      </c>
      <c r="CB14" s="5">
        <f t="shared" si="41"/>
        <v>6218.61916</v>
      </c>
      <c r="CC14" s="36">
        <f t="shared" si="42"/>
        <v>1122.5045948</v>
      </c>
      <c r="CD14" s="5"/>
      <c r="CE14" s="36"/>
      <c r="CF14" s="36">
        <f t="shared" si="43"/>
        <v>3310.6509800000003</v>
      </c>
      <c r="CG14" s="5">
        <f t="shared" si="44"/>
        <v>3310.6509800000003</v>
      </c>
      <c r="CH14" s="36">
        <f t="shared" si="45"/>
        <v>597.5958394</v>
      </c>
      <c r="CI14" s="5"/>
      <c r="CJ14" s="5"/>
      <c r="CK14" s="36">
        <f t="shared" si="46"/>
        <v>10787.85604</v>
      </c>
      <c r="CL14" s="36">
        <f t="shared" si="47"/>
        <v>10787.85604</v>
      </c>
      <c r="CM14" s="36">
        <f t="shared" si="48"/>
        <v>1947.2840612</v>
      </c>
      <c r="CN14" s="5"/>
      <c r="CO14" s="5"/>
      <c r="CP14" s="36">
        <f t="shared" si="49"/>
        <v>94960.12422</v>
      </c>
      <c r="CQ14" s="36">
        <f t="shared" si="50"/>
        <v>94960.12422</v>
      </c>
      <c r="CR14" s="36">
        <f t="shared" si="51"/>
        <v>17140.971816600002</v>
      </c>
      <c r="CS14" s="5"/>
      <c r="CT14" s="36"/>
      <c r="CU14" s="36">
        <f t="shared" si="52"/>
        <v>196599.52702</v>
      </c>
      <c r="CV14" s="5">
        <f t="shared" si="53"/>
        <v>196599.52702</v>
      </c>
      <c r="CW14" s="36">
        <f t="shared" si="54"/>
        <v>35487.600500600005</v>
      </c>
      <c r="CX14" s="5"/>
      <c r="CY14" s="5"/>
      <c r="CZ14" s="5">
        <f t="shared" si="55"/>
        <v>8725.52174</v>
      </c>
      <c r="DA14" s="5">
        <f t="shared" si="56"/>
        <v>8725.52174</v>
      </c>
      <c r="DB14" s="36">
        <f t="shared" si="57"/>
        <v>1575.0181822000002</v>
      </c>
      <c r="DC14" s="5"/>
      <c r="DD14" s="36"/>
      <c r="DE14" s="36">
        <f t="shared" si="58"/>
        <v>9678.537699999999</v>
      </c>
      <c r="DF14" s="5">
        <f t="shared" si="59"/>
        <v>9678.537699999999</v>
      </c>
      <c r="DG14" s="36">
        <f t="shared" si="60"/>
        <v>1747.044281</v>
      </c>
      <c r="DH14" s="5"/>
      <c r="DI14" s="36"/>
      <c r="DJ14" s="36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</row>
    <row r="15" spans="1:131" ht="12.75">
      <c r="A15" s="37">
        <v>43556</v>
      </c>
      <c r="C15" s="3">
        <v>4925000</v>
      </c>
      <c r="D15" s="3">
        <v>808600</v>
      </c>
      <c r="E15" s="35">
        <f t="shared" si="0"/>
        <v>5733600</v>
      </c>
      <c r="F15" s="35">
        <v>145958</v>
      </c>
      <c r="H15" s="36">
        <f>'Academic Project '!H15</f>
        <v>742305.8499999999</v>
      </c>
      <c r="I15" s="36">
        <f>'Academic Project '!I15</f>
        <v>121873.8092</v>
      </c>
      <c r="J15" s="36">
        <f t="shared" si="61"/>
        <v>864179.6591999999</v>
      </c>
      <c r="K15" s="36">
        <f>'Academic Project '!K15</f>
        <v>21999.081675999998</v>
      </c>
      <c r="M15" s="36">
        <f t="shared" si="62"/>
        <v>4182694.15</v>
      </c>
      <c r="N15" s="35">
        <f t="shared" si="1"/>
        <v>686726.1908</v>
      </c>
      <c r="O15" s="5">
        <f t="shared" si="2"/>
        <v>4869420.3408</v>
      </c>
      <c r="P15" s="35">
        <f t="shared" si="3"/>
        <v>123958.91832399998</v>
      </c>
      <c r="R15" s="36">
        <f t="shared" si="63"/>
        <v>188775.7425</v>
      </c>
      <c r="S15" s="36">
        <f t="shared" si="4"/>
        <v>30993.71886</v>
      </c>
      <c r="T15" s="5">
        <f t="shared" si="5"/>
        <v>219769.46136</v>
      </c>
      <c r="U15" s="36">
        <f t="shared" si="6"/>
        <v>5594.5847358</v>
      </c>
      <c r="W15" s="5">
        <f t="shared" si="64"/>
        <v>342069.32249999995</v>
      </c>
      <c r="X15" s="36">
        <f t="shared" si="7"/>
        <v>56161.87901999999</v>
      </c>
      <c r="Y15" s="36">
        <f t="shared" si="8"/>
        <v>398231.20151999994</v>
      </c>
      <c r="Z15" s="36">
        <f t="shared" si="9"/>
        <v>10137.6150606</v>
      </c>
      <c r="AB15" s="5">
        <f t="shared" si="65"/>
        <v>275628.1175</v>
      </c>
      <c r="AC15" s="5">
        <f t="shared" si="10"/>
        <v>45253.37986</v>
      </c>
      <c r="AD15" s="5">
        <f t="shared" si="11"/>
        <v>320881.49736</v>
      </c>
      <c r="AE15" s="36">
        <f t="shared" si="12"/>
        <v>8168.554065799999</v>
      </c>
      <c r="AG15" s="5">
        <f t="shared" si="66"/>
        <v>327556.825</v>
      </c>
      <c r="AH15" s="5">
        <f t="shared" si="13"/>
        <v>53779.1774</v>
      </c>
      <c r="AI15" s="5">
        <f t="shared" si="14"/>
        <v>381336.0024</v>
      </c>
      <c r="AJ15" s="36">
        <f t="shared" si="15"/>
        <v>9707.520622</v>
      </c>
      <c r="AL15" s="36">
        <f t="shared" si="67"/>
        <v>19565.055</v>
      </c>
      <c r="AM15" s="36">
        <f t="shared" si="16"/>
        <v>3212.2443599999997</v>
      </c>
      <c r="AN15" s="5">
        <f t="shared" si="17"/>
        <v>22777.29936</v>
      </c>
      <c r="AO15" s="36">
        <f t="shared" si="18"/>
        <v>579.8327508</v>
      </c>
      <c r="AQ15" s="36">
        <f t="shared" si="68"/>
        <v>1761.18</v>
      </c>
      <c r="AR15" s="36">
        <f t="shared" si="19"/>
        <v>289.15536000000003</v>
      </c>
      <c r="AS15" s="5">
        <f t="shared" si="20"/>
        <v>2050.33536</v>
      </c>
      <c r="AT15" s="36">
        <f t="shared" si="21"/>
        <v>52.194580800000004</v>
      </c>
      <c r="AU15" s="5"/>
      <c r="AV15" s="36">
        <f t="shared" si="69"/>
        <v>360340.57999999996</v>
      </c>
      <c r="AW15" s="36">
        <f t="shared" si="22"/>
        <v>59161.70416</v>
      </c>
      <c r="AX15" s="5">
        <f t="shared" si="23"/>
        <v>419502.28416</v>
      </c>
      <c r="AY15" s="36">
        <f t="shared" si="24"/>
        <v>10679.1046448</v>
      </c>
      <c r="AZ15" s="5"/>
      <c r="BA15" s="36">
        <f t="shared" si="70"/>
        <v>12.805</v>
      </c>
      <c r="BB15" s="36">
        <f t="shared" si="25"/>
        <v>2.10236</v>
      </c>
      <c r="BC15" s="5">
        <f t="shared" si="26"/>
        <v>14.90736</v>
      </c>
      <c r="BD15" s="36">
        <f t="shared" si="27"/>
        <v>0.3794908</v>
      </c>
      <c r="BE15" s="5"/>
      <c r="BF15" s="36">
        <f t="shared" si="71"/>
        <v>460265.875</v>
      </c>
      <c r="BG15" s="36">
        <f t="shared" si="28"/>
        <v>75567.713</v>
      </c>
      <c r="BH15" s="5">
        <f t="shared" si="29"/>
        <v>535833.588</v>
      </c>
      <c r="BI15" s="36">
        <f t="shared" si="30"/>
        <v>13640.50489</v>
      </c>
      <c r="BJ15" s="5"/>
      <c r="BK15" s="36">
        <f t="shared" si="72"/>
        <v>1085.9624999999999</v>
      </c>
      <c r="BL15" s="36">
        <f t="shared" si="31"/>
        <v>178.2963</v>
      </c>
      <c r="BM15" s="5">
        <f t="shared" si="32"/>
        <v>1264.2587999999998</v>
      </c>
      <c r="BN15" s="36">
        <f t="shared" si="33"/>
        <v>32.183738999999996</v>
      </c>
      <c r="BO15" s="5"/>
      <c r="BP15" s="36">
        <f t="shared" si="73"/>
        <v>192992.5275</v>
      </c>
      <c r="BQ15" s="36">
        <f t="shared" si="34"/>
        <v>31686.04218</v>
      </c>
      <c r="BR15" s="5">
        <f t="shared" si="35"/>
        <v>224678.56968</v>
      </c>
      <c r="BS15" s="36">
        <f t="shared" si="36"/>
        <v>5719.5539754</v>
      </c>
      <c r="BT15" s="5"/>
      <c r="BU15" s="5">
        <f t="shared" si="74"/>
        <v>974.1650000000001</v>
      </c>
      <c r="BV15" s="5">
        <f t="shared" si="37"/>
        <v>159.94108</v>
      </c>
      <c r="BW15" s="5">
        <f t="shared" si="38"/>
        <v>1134.10608</v>
      </c>
      <c r="BX15" s="36">
        <f t="shared" si="39"/>
        <v>28.8704924</v>
      </c>
      <c r="BY15" s="5"/>
      <c r="BZ15" s="36">
        <f t="shared" si="75"/>
        <v>37876.205</v>
      </c>
      <c r="CA15" s="36">
        <f t="shared" si="40"/>
        <v>6218.61916</v>
      </c>
      <c r="CB15" s="5">
        <f t="shared" si="41"/>
        <v>44094.824160000004</v>
      </c>
      <c r="CC15" s="36">
        <f t="shared" si="42"/>
        <v>1122.5045948</v>
      </c>
      <c r="CD15" s="5"/>
      <c r="CE15" s="36">
        <f t="shared" si="76"/>
        <v>20164.4275</v>
      </c>
      <c r="CF15" s="36">
        <f t="shared" si="43"/>
        <v>3310.6509800000003</v>
      </c>
      <c r="CG15" s="5">
        <f t="shared" si="44"/>
        <v>23475.078480000004</v>
      </c>
      <c r="CH15" s="36">
        <f t="shared" si="45"/>
        <v>597.5958394</v>
      </c>
      <c r="CI15" s="5"/>
      <c r="CJ15" s="5">
        <f t="shared" si="77"/>
        <v>65706.395</v>
      </c>
      <c r="CK15" s="36">
        <f t="shared" si="46"/>
        <v>10787.85604</v>
      </c>
      <c r="CL15" s="36">
        <f t="shared" si="47"/>
        <v>76494.25104</v>
      </c>
      <c r="CM15" s="36">
        <f t="shared" si="48"/>
        <v>1947.2840612</v>
      </c>
      <c r="CN15" s="5"/>
      <c r="CO15" s="5">
        <f t="shared" si="78"/>
        <v>578380.6725</v>
      </c>
      <c r="CP15" s="36">
        <f t="shared" si="49"/>
        <v>94960.12422</v>
      </c>
      <c r="CQ15" s="36">
        <f t="shared" si="50"/>
        <v>673340.79672</v>
      </c>
      <c r="CR15" s="36">
        <f t="shared" si="51"/>
        <v>17140.971816600002</v>
      </c>
      <c r="CS15" s="5"/>
      <c r="CT15" s="36">
        <f t="shared" si="79"/>
        <v>1197443.3225</v>
      </c>
      <c r="CU15" s="36">
        <f t="shared" si="52"/>
        <v>196599.52702</v>
      </c>
      <c r="CV15" s="5">
        <f t="shared" si="53"/>
        <v>1394042.84952</v>
      </c>
      <c r="CW15" s="36">
        <f t="shared" si="54"/>
        <v>35487.600500600005</v>
      </c>
      <c r="CX15" s="5"/>
      <c r="CY15" s="5">
        <f t="shared" si="80"/>
        <v>53145.1825</v>
      </c>
      <c r="CZ15" s="5">
        <f t="shared" si="55"/>
        <v>8725.52174</v>
      </c>
      <c r="DA15" s="5">
        <f t="shared" si="56"/>
        <v>61870.70424000001</v>
      </c>
      <c r="DB15" s="36">
        <f t="shared" si="57"/>
        <v>1575.0181822000002</v>
      </c>
      <c r="DC15" s="5"/>
      <c r="DD15" s="36">
        <f t="shared" si="81"/>
        <v>58949.7875</v>
      </c>
      <c r="DE15" s="36">
        <f t="shared" si="58"/>
        <v>9678.537699999999</v>
      </c>
      <c r="DF15" s="5">
        <f t="shared" si="59"/>
        <v>68628.32519999999</v>
      </c>
      <c r="DG15" s="36">
        <f t="shared" si="60"/>
        <v>1747.044281</v>
      </c>
      <c r="DH15" s="5"/>
      <c r="DI15" s="36"/>
      <c r="DJ15" s="36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</row>
    <row r="16" spans="1:131" ht="12.75">
      <c r="A16" s="37">
        <v>43739</v>
      </c>
      <c r="D16" s="3">
        <v>685475</v>
      </c>
      <c r="E16" s="35">
        <f t="shared" si="0"/>
        <v>685475</v>
      </c>
      <c r="F16" s="35">
        <v>145958</v>
      </c>
      <c r="H16" s="36"/>
      <c r="I16" s="36">
        <f>'Academic Project '!I16</f>
        <v>103316.16295000001</v>
      </c>
      <c r="J16" s="36">
        <f t="shared" si="61"/>
        <v>103316.16295000001</v>
      </c>
      <c r="K16" s="36">
        <f>'Academic Project '!K16</f>
        <v>21999.081675999998</v>
      </c>
      <c r="M16" s="36"/>
      <c r="N16" s="35">
        <f t="shared" si="1"/>
        <v>582158.83705</v>
      </c>
      <c r="O16" s="5">
        <f t="shared" si="2"/>
        <v>582158.83705</v>
      </c>
      <c r="P16" s="35">
        <f t="shared" si="3"/>
        <v>123958.91832399998</v>
      </c>
      <c r="R16" s="36"/>
      <c r="S16" s="36">
        <f t="shared" si="4"/>
        <v>26274.3252975</v>
      </c>
      <c r="T16" s="5">
        <f t="shared" si="5"/>
        <v>26274.3252975</v>
      </c>
      <c r="U16" s="36">
        <f t="shared" si="6"/>
        <v>5594.5847358</v>
      </c>
      <c r="X16" s="36">
        <f t="shared" si="7"/>
        <v>47610.1459575</v>
      </c>
      <c r="Y16" s="36">
        <f t="shared" si="8"/>
        <v>47610.1459575</v>
      </c>
      <c r="Z16" s="36">
        <f t="shared" si="9"/>
        <v>10137.6150606</v>
      </c>
      <c r="AC16" s="5">
        <f t="shared" si="10"/>
        <v>38362.676922499995</v>
      </c>
      <c r="AD16" s="5">
        <f t="shared" si="11"/>
        <v>38362.676922499995</v>
      </c>
      <c r="AE16" s="36">
        <f t="shared" si="12"/>
        <v>8168.554065799999</v>
      </c>
      <c r="AH16" s="5">
        <f t="shared" si="13"/>
        <v>45590.256775</v>
      </c>
      <c r="AI16" s="5">
        <f t="shared" si="14"/>
        <v>45590.256775</v>
      </c>
      <c r="AJ16" s="36">
        <f t="shared" si="15"/>
        <v>9707.520622</v>
      </c>
      <c r="AL16" s="36"/>
      <c r="AM16" s="36">
        <f t="shared" si="16"/>
        <v>2723.117985</v>
      </c>
      <c r="AN16" s="5">
        <f t="shared" si="17"/>
        <v>2723.117985</v>
      </c>
      <c r="AO16" s="36">
        <f t="shared" si="18"/>
        <v>579.8327508</v>
      </c>
      <c r="AQ16" s="36"/>
      <c r="AR16" s="36">
        <f t="shared" si="19"/>
        <v>245.12586000000002</v>
      </c>
      <c r="AS16" s="5">
        <f t="shared" si="20"/>
        <v>245.12586000000002</v>
      </c>
      <c r="AT16" s="36">
        <f t="shared" si="21"/>
        <v>52.194580800000004</v>
      </c>
      <c r="AU16" s="5"/>
      <c r="AV16" s="36"/>
      <c r="AW16" s="36">
        <f t="shared" si="22"/>
        <v>50153.18966</v>
      </c>
      <c r="AX16" s="5">
        <f t="shared" si="23"/>
        <v>50153.18966</v>
      </c>
      <c r="AY16" s="36">
        <f t="shared" si="24"/>
        <v>10679.1046448</v>
      </c>
      <c r="AZ16" s="5"/>
      <c r="BA16" s="36"/>
      <c r="BB16" s="36">
        <f t="shared" si="25"/>
        <v>1.782235</v>
      </c>
      <c r="BC16" s="5">
        <f t="shared" si="26"/>
        <v>1.782235</v>
      </c>
      <c r="BD16" s="36">
        <f t="shared" si="27"/>
        <v>0.3794908</v>
      </c>
      <c r="BE16" s="5"/>
      <c r="BF16" s="36"/>
      <c r="BG16" s="36">
        <f t="shared" si="28"/>
        <v>64061.066125</v>
      </c>
      <c r="BH16" s="5">
        <f t="shared" si="29"/>
        <v>64061.066125</v>
      </c>
      <c r="BI16" s="36">
        <f t="shared" si="30"/>
        <v>13640.50489</v>
      </c>
      <c r="BJ16" s="5"/>
      <c r="BK16" s="36"/>
      <c r="BL16" s="36">
        <f t="shared" si="31"/>
        <v>151.1472375</v>
      </c>
      <c r="BM16" s="5">
        <f t="shared" si="32"/>
        <v>151.1472375</v>
      </c>
      <c r="BN16" s="36">
        <f t="shared" si="33"/>
        <v>32.183738999999996</v>
      </c>
      <c r="BO16" s="5"/>
      <c r="BP16" s="36"/>
      <c r="BQ16" s="36">
        <f t="shared" si="34"/>
        <v>26861.2289925</v>
      </c>
      <c r="BR16" s="5">
        <f t="shared" si="35"/>
        <v>26861.2289925</v>
      </c>
      <c r="BS16" s="36">
        <f t="shared" si="36"/>
        <v>5719.5539754</v>
      </c>
      <c r="BT16" s="5"/>
      <c r="BU16" s="5"/>
      <c r="BV16" s="5">
        <f t="shared" si="37"/>
        <v>135.58695500000002</v>
      </c>
      <c r="BW16" s="5">
        <f t="shared" si="38"/>
        <v>135.58695500000002</v>
      </c>
      <c r="BX16" s="36">
        <f t="shared" si="39"/>
        <v>28.8704924</v>
      </c>
      <c r="BY16" s="5"/>
      <c r="BZ16" s="36"/>
      <c r="CA16" s="36">
        <f t="shared" si="40"/>
        <v>5271.714035</v>
      </c>
      <c r="CB16" s="5">
        <f t="shared" si="41"/>
        <v>5271.714035</v>
      </c>
      <c r="CC16" s="36">
        <f t="shared" si="42"/>
        <v>1122.5045948</v>
      </c>
      <c r="CD16" s="5"/>
      <c r="CE16" s="36"/>
      <c r="CF16" s="36">
        <f t="shared" si="43"/>
        <v>2806.5402925000003</v>
      </c>
      <c r="CG16" s="5">
        <f t="shared" si="44"/>
        <v>2806.5402925000003</v>
      </c>
      <c r="CH16" s="36">
        <f t="shared" si="45"/>
        <v>597.5958394</v>
      </c>
      <c r="CI16" s="5"/>
      <c r="CJ16" s="5"/>
      <c r="CK16" s="36">
        <f t="shared" si="46"/>
        <v>9145.196165</v>
      </c>
      <c r="CL16" s="36">
        <f t="shared" si="47"/>
        <v>9145.196165</v>
      </c>
      <c r="CM16" s="36">
        <f t="shared" si="48"/>
        <v>1947.2840612</v>
      </c>
      <c r="CN16" s="5"/>
      <c r="CO16" s="5"/>
      <c r="CP16" s="36">
        <f t="shared" si="49"/>
        <v>80500.6074075</v>
      </c>
      <c r="CQ16" s="36">
        <f t="shared" si="50"/>
        <v>80500.6074075</v>
      </c>
      <c r="CR16" s="36">
        <f t="shared" si="51"/>
        <v>17140.971816600002</v>
      </c>
      <c r="CS16" s="5"/>
      <c r="CT16" s="36"/>
      <c r="CU16" s="36">
        <f t="shared" si="52"/>
        <v>166663.4439575</v>
      </c>
      <c r="CV16" s="5">
        <f t="shared" si="53"/>
        <v>166663.4439575</v>
      </c>
      <c r="CW16" s="36">
        <f t="shared" si="54"/>
        <v>35487.600500600005</v>
      </c>
      <c r="CX16" s="5"/>
      <c r="CY16" s="5"/>
      <c r="CZ16" s="5">
        <f t="shared" si="55"/>
        <v>7396.892177500001</v>
      </c>
      <c r="DA16" s="5">
        <f t="shared" si="56"/>
        <v>7396.892177500001</v>
      </c>
      <c r="DB16" s="36">
        <f t="shared" si="57"/>
        <v>1575.0181822000002</v>
      </c>
      <c r="DC16" s="5"/>
      <c r="DD16" s="36"/>
      <c r="DE16" s="36">
        <f t="shared" si="58"/>
        <v>8204.7930125</v>
      </c>
      <c r="DF16" s="5">
        <f t="shared" si="59"/>
        <v>8204.7930125</v>
      </c>
      <c r="DG16" s="36">
        <f t="shared" si="60"/>
        <v>1747.044281</v>
      </c>
      <c r="DH16" s="5"/>
      <c r="DI16" s="36"/>
      <c r="DJ16" s="36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</row>
    <row r="17" spans="1:131" ht="12.75">
      <c r="A17" s="37">
        <v>43922</v>
      </c>
      <c r="C17" s="3">
        <v>5170000</v>
      </c>
      <c r="D17" s="3">
        <v>685475</v>
      </c>
      <c r="E17" s="35">
        <f t="shared" si="0"/>
        <v>5855475</v>
      </c>
      <c r="F17" s="35">
        <v>145958</v>
      </c>
      <c r="H17" s="36">
        <f>'Academic Project '!H17</f>
        <v>779232.7400000001</v>
      </c>
      <c r="I17" s="36">
        <f>'Academic Project '!I17</f>
        <v>103316.16295000001</v>
      </c>
      <c r="J17" s="36">
        <f t="shared" si="61"/>
        <v>882548.9029500001</v>
      </c>
      <c r="K17" s="36">
        <f>'Academic Project '!K17</f>
        <v>21999.081675999998</v>
      </c>
      <c r="M17" s="36">
        <f t="shared" si="62"/>
        <v>4390767.260000001</v>
      </c>
      <c r="N17" s="35">
        <f t="shared" si="1"/>
        <v>582158.83705</v>
      </c>
      <c r="O17" s="5">
        <f t="shared" si="2"/>
        <v>4972926.097050001</v>
      </c>
      <c r="P17" s="35">
        <f t="shared" si="3"/>
        <v>123958.91832399998</v>
      </c>
      <c r="R17" s="36">
        <f t="shared" si="63"/>
        <v>198166.617</v>
      </c>
      <c r="S17" s="36">
        <f t="shared" si="4"/>
        <v>26274.3252975</v>
      </c>
      <c r="T17" s="5">
        <f t="shared" si="5"/>
        <v>224440.9422975</v>
      </c>
      <c r="U17" s="36">
        <f t="shared" si="6"/>
        <v>5594.5847358</v>
      </c>
      <c r="W17" s="5">
        <f t="shared" si="64"/>
        <v>359085.969</v>
      </c>
      <c r="X17" s="36">
        <f t="shared" si="7"/>
        <v>47610.1459575</v>
      </c>
      <c r="Y17" s="36">
        <f t="shared" si="8"/>
        <v>406696.11495749996</v>
      </c>
      <c r="Z17" s="36">
        <f t="shared" si="9"/>
        <v>10137.6150606</v>
      </c>
      <c r="AB17" s="5">
        <f t="shared" si="65"/>
        <v>289339.567</v>
      </c>
      <c r="AC17" s="5">
        <f t="shared" si="10"/>
        <v>38362.676922499995</v>
      </c>
      <c r="AD17" s="5">
        <f t="shared" si="11"/>
        <v>327702.2439225</v>
      </c>
      <c r="AE17" s="36">
        <f t="shared" si="12"/>
        <v>8168.554065799999</v>
      </c>
      <c r="AG17" s="5">
        <f t="shared" si="66"/>
        <v>343851.52999999997</v>
      </c>
      <c r="AH17" s="5">
        <f t="shared" si="13"/>
        <v>45590.256775</v>
      </c>
      <c r="AI17" s="5">
        <f t="shared" si="14"/>
        <v>389441.786775</v>
      </c>
      <c r="AJ17" s="36">
        <f t="shared" si="15"/>
        <v>9707.520622</v>
      </c>
      <c r="AL17" s="36">
        <f t="shared" si="67"/>
        <v>20538.341999999997</v>
      </c>
      <c r="AM17" s="36">
        <f t="shared" si="16"/>
        <v>2723.117985</v>
      </c>
      <c r="AN17" s="5">
        <f t="shared" si="17"/>
        <v>23261.459984999998</v>
      </c>
      <c r="AO17" s="36">
        <f t="shared" si="18"/>
        <v>579.8327508</v>
      </c>
      <c r="AQ17" s="36">
        <f t="shared" si="68"/>
        <v>1848.7920000000001</v>
      </c>
      <c r="AR17" s="36">
        <f t="shared" si="19"/>
        <v>245.12586000000002</v>
      </c>
      <c r="AS17" s="5">
        <f t="shared" si="20"/>
        <v>2093.91786</v>
      </c>
      <c r="AT17" s="36">
        <f t="shared" si="21"/>
        <v>52.194580800000004</v>
      </c>
      <c r="AU17" s="5"/>
      <c r="AV17" s="36">
        <f t="shared" si="69"/>
        <v>378266.152</v>
      </c>
      <c r="AW17" s="36">
        <f t="shared" si="22"/>
        <v>50153.18966</v>
      </c>
      <c r="AX17" s="5">
        <f t="shared" si="23"/>
        <v>428419.34166</v>
      </c>
      <c r="AY17" s="36">
        <f t="shared" si="24"/>
        <v>10679.1046448</v>
      </c>
      <c r="AZ17" s="5"/>
      <c r="BA17" s="36">
        <f t="shared" si="70"/>
        <v>13.442</v>
      </c>
      <c r="BB17" s="36">
        <f t="shared" si="25"/>
        <v>1.782235</v>
      </c>
      <c r="BC17" s="5">
        <f t="shared" si="26"/>
        <v>15.224235</v>
      </c>
      <c r="BD17" s="36">
        <f t="shared" si="27"/>
        <v>0.3794908</v>
      </c>
      <c r="BE17" s="5"/>
      <c r="BF17" s="36">
        <f t="shared" si="71"/>
        <v>483162.35</v>
      </c>
      <c r="BG17" s="36">
        <f t="shared" si="28"/>
        <v>64061.066125</v>
      </c>
      <c r="BH17" s="5">
        <f t="shared" si="29"/>
        <v>547223.416125</v>
      </c>
      <c r="BI17" s="36">
        <f t="shared" si="30"/>
        <v>13640.50489</v>
      </c>
      <c r="BJ17" s="5"/>
      <c r="BK17" s="36">
        <f t="shared" si="72"/>
        <v>1139.985</v>
      </c>
      <c r="BL17" s="36">
        <f t="shared" si="31"/>
        <v>151.1472375</v>
      </c>
      <c r="BM17" s="5">
        <f t="shared" si="32"/>
        <v>1291.1322375</v>
      </c>
      <c r="BN17" s="36">
        <f t="shared" si="33"/>
        <v>32.183738999999996</v>
      </c>
      <c r="BO17" s="5"/>
      <c r="BP17" s="36">
        <f t="shared" si="73"/>
        <v>202593.171</v>
      </c>
      <c r="BQ17" s="36">
        <f t="shared" si="34"/>
        <v>26861.2289925</v>
      </c>
      <c r="BR17" s="5">
        <f t="shared" si="35"/>
        <v>229454.3999925</v>
      </c>
      <c r="BS17" s="36">
        <f t="shared" si="36"/>
        <v>5719.5539754</v>
      </c>
      <c r="BT17" s="5"/>
      <c r="BU17" s="5">
        <f t="shared" si="74"/>
        <v>1022.6260000000001</v>
      </c>
      <c r="BV17" s="5">
        <f t="shared" si="37"/>
        <v>135.58695500000002</v>
      </c>
      <c r="BW17" s="5">
        <f t="shared" si="38"/>
        <v>1158.2129550000002</v>
      </c>
      <c r="BX17" s="36">
        <f t="shared" si="39"/>
        <v>28.8704924</v>
      </c>
      <c r="BY17" s="5"/>
      <c r="BZ17" s="36">
        <f t="shared" si="75"/>
        <v>39760.402</v>
      </c>
      <c r="CA17" s="36">
        <f t="shared" si="40"/>
        <v>5271.714035</v>
      </c>
      <c r="CB17" s="5">
        <f t="shared" si="41"/>
        <v>45032.116035</v>
      </c>
      <c r="CC17" s="36">
        <f t="shared" si="42"/>
        <v>1122.5045948</v>
      </c>
      <c r="CD17" s="5"/>
      <c r="CE17" s="36">
        <f t="shared" si="76"/>
        <v>21167.531000000003</v>
      </c>
      <c r="CF17" s="36">
        <f t="shared" si="43"/>
        <v>2806.5402925000003</v>
      </c>
      <c r="CG17" s="5">
        <f t="shared" si="44"/>
        <v>23974.071292500004</v>
      </c>
      <c r="CH17" s="36">
        <f t="shared" si="45"/>
        <v>597.5958394</v>
      </c>
      <c r="CI17" s="5"/>
      <c r="CJ17" s="5">
        <f t="shared" si="77"/>
        <v>68975.038</v>
      </c>
      <c r="CK17" s="36">
        <f t="shared" si="46"/>
        <v>9145.196165</v>
      </c>
      <c r="CL17" s="36">
        <f t="shared" si="47"/>
        <v>78120.234165</v>
      </c>
      <c r="CM17" s="36">
        <f t="shared" si="48"/>
        <v>1947.2840612</v>
      </c>
      <c r="CN17" s="5"/>
      <c r="CO17" s="5">
        <f t="shared" si="78"/>
        <v>607152.909</v>
      </c>
      <c r="CP17" s="36">
        <f t="shared" si="49"/>
        <v>80500.6074075</v>
      </c>
      <c r="CQ17" s="36">
        <f t="shared" si="50"/>
        <v>687653.5164075</v>
      </c>
      <c r="CR17" s="36">
        <f t="shared" si="51"/>
        <v>17140.971816600002</v>
      </c>
      <c r="CS17" s="5"/>
      <c r="CT17" s="36">
        <f t="shared" si="79"/>
        <v>1257011.5690000001</v>
      </c>
      <c r="CU17" s="36">
        <f t="shared" si="52"/>
        <v>166663.4439575</v>
      </c>
      <c r="CV17" s="5">
        <f t="shared" si="53"/>
        <v>1423675.0129575</v>
      </c>
      <c r="CW17" s="36">
        <f t="shared" si="54"/>
        <v>35487.600500600005</v>
      </c>
      <c r="CX17" s="5"/>
      <c r="CY17" s="5">
        <f t="shared" si="80"/>
        <v>55788.953</v>
      </c>
      <c r="CZ17" s="5">
        <f t="shared" si="55"/>
        <v>7396.892177500001</v>
      </c>
      <c r="DA17" s="5">
        <f t="shared" si="56"/>
        <v>63185.8451775</v>
      </c>
      <c r="DB17" s="36">
        <f t="shared" si="57"/>
        <v>1575.0181822000002</v>
      </c>
      <c r="DC17" s="5"/>
      <c r="DD17" s="36">
        <f t="shared" si="81"/>
        <v>61882.314999999995</v>
      </c>
      <c r="DE17" s="36">
        <f t="shared" si="58"/>
        <v>8204.7930125</v>
      </c>
      <c r="DF17" s="5">
        <f t="shared" si="59"/>
        <v>70087.1080125</v>
      </c>
      <c r="DG17" s="36">
        <f t="shared" si="60"/>
        <v>1747.044281</v>
      </c>
      <c r="DH17" s="5"/>
      <c r="DI17" s="36"/>
      <c r="DJ17" s="36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</row>
    <row r="18" spans="1:131" ht="12.75">
      <c r="A18" s="37">
        <v>44105</v>
      </c>
      <c r="D18" s="3">
        <v>556225</v>
      </c>
      <c r="E18" s="35">
        <f t="shared" si="0"/>
        <v>556225</v>
      </c>
      <c r="F18" s="35">
        <v>145958</v>
      </c>
      <c r="H18" s="36"/>
      <c r="I18" s="36">
        <f>'Academic Project '!I18</f>
        <v>83835.34445</v>
      </c>
      <c r="J18" s="36">
        <f t="shared" si="61"/>
        <v>83835.34445</v>
      </c>
      <c r="K18" s="36">
        <f>'Academic Project '!K18</f>
        <v>21999.081675999998</v>
      </c>
      <c r="M18" s="36"/>
      <c r="N18" s="35">
        <f t="shared" si="1"/>
        <v>472389.65554999997</v>
      </c>
      <c r="O18" s="5">
        <f t="shared" si="2"/>
        <v>472389.65554999997</v>
      </c>
      <c r="P18" s="35">
        <f t="shared" si="3"/>
        <v>123958.91832399998</v>
      </c>
      <c r="R18" s="36"/>
      <c r="S18" s="36">
        <f t="shared" si="4"/>
        <v>21320.1598725</v>
      </c>
      <c r="T18" s="5">
        <f t="shared" si="5"/>
        <v>21320.1598725</v>
      </c>
      <c r="U18" s="36">
        <f t="shared" si="6"/>
        <v>5594.5847358</v>
      </c>
      <c r="X18" s="36">
        <f t="shared" si="7"/>
        <v>38632.996732499996</v>
      </c>
      <c r="Y18" s="36">
        <f t="shared" si="8"/>
        <v>38632.996732499996</v>
      </c>
      <c r="Z18" s="36">
        <f t="shared" si="9"/>
        <v>10137.6150606</v>
      </c>
      <c r="AC18" s="5">
        <f t="shared" si="10"/>
        <v>31129.187747499996</v>
      </c>
      <c r="AD18" s="5">
        <f t="shared" si="11"/>
        <v>31129.187747499996</v>
      </c>
      <c r="AE18" s="36">
        <f t="shared" si="12"/>
        <v>8168.554065799999</v>
      </c>
      <c r="AH18" s="5">
        <f t="shared" si="13"/>
        <v>36993.968525</v>
      </c>
      <c r="AI18" s="5">
        <f t="shared" si="14"/>
        <v>36993.968525</v>
      </c>
      <c r="AJ18" s="36">
        <f t="shared" si="15"/>
        <v>9707.520622</v>
      </c>
      <c r="AL18" s="36"/>
      <c r="AM18" s="36">
        <f t="shared" si="16"/>
        <v>2209.659435</v>
      </c>
      <c r="AN18" s="5">
        <f t="shared" si="17"/>
        <v>2209.659435</v>
      </c>
      <c r="AO18" s="36">
        <f t="shared" si="18"/>
        <v>579.8327508</v>
      </c>
      <c r="AQ18" s="36"/>
      <c r="AR18" s="36">
        <f t="shared" si="19"/>
        <v>198.90606</v>
      </c>
      <c r="AS18" s="5">
        <f t="shared" si="20"/>
        <v>198.90606</v>
      </c>
      <c r="AT18" s="36">
        <f t="shared" si="21"/>
        <v>52.194580800000004</v>
      </c>
      <c r="AU18" s="5"/>
      <c r="AV18" s="36"/>
      <c r="AW18" s="36">
        <f t="shared" si="22"/>
        <v>40696.535859999996</v>
      </c>
      <c r="AX18" s="5">
        <f t="shared" si="23"/>
        <v>40696.535859999996</v>
      </c>
      <c r="AY18" s="36">
        <f t="shared" si="24"/>
        <v>10679.1046448</v>
      </c>
      <c r="AZ18" s="5"/>
      <c r="BA18" s="36"/>
      <c r="BB18" s="36">
        <f t="shared" si="25"/>
        <v>1.446185</v>
      </c>
      <c r="BC18" s="5">
        <f t="shared" si="26"/>
        <v>1.446185</v>
      </c>
      <c r="BD18" s="36">
        <f t="shared" si="27"/>
        <v>0.3794908</v>
      </c>
      <c r="BE18" s="5"/>
      <c r="BF18" s="36"/>
      <c r="BG18" s="36">
        <f t="shared" si="28"/>
        <v>51982.007375</v>
      </c>
      <c r="BH18" s="5">
        <f t="shared" si="29"/>
        <v>51982.007375</v>
      </c>
      <c r="BI18" s="36">
        <f t="shared" si="30"/>
        <v>13640.50489</v>
      </c>
      <c r="BJ18" s="5"/>
      <c r="BK18" s="36"/>
      <c r="BL18" s="36">
        <f t="shared" si="31"/>
        <v>122.6476125</v>
      </c>
      <c r="BM18" s="5">
        <f t="shared" si="32"/>
        <v>122.6476125</v>
      </c>
      <c r="BN18" s="36">
        <f t="shared" si="33"/>
        <v>32.183738999999996</v>
      </c>
      <c r="BO18" s="5"/>
      <c r="BP18" s="36"/>
      <c r="BQ18" s="36">
        <f t="shared" si="34"/>
        <v>21796.3997175</v>
      </c>
      <c r="BR18" s="5">
        <f t="shared" si="35"/>
        <v>21796.3997175</v>
      </c>
      <c r="BS18" s="36">
        <f t="shared" si="36"/>
        <v>5719.5539754</v>
      </c>
      <c r="BT18" s="5"/>
      <c r="BU18" s="5"/>
      <c r="BV18" s="5">
        <f t="shared" si="37"/>
        <v>110.02130500000001</v>
      </c>
      <c r="BW18" s="5">
        <f t="shared" si="38"/>
        <v>110.02130500000001</v>
      </c>
      <c r="BX18" s="36">
        <f t="shared" si="39"/>
        <v>28.8704924</v>
      </c>
      <c r="BY18" s="5"/>
      <c r="BZ18" s="36"/>
      <c r="CA18" s="36">
        <f t="shared" si="40"/>
        <v>4277.703985</v>
      </c>
      <c r="CB18" s="5">
        <f t="shared" si="41"/>
        <v>4277.703985</v>
      </c>
      <c r="CC18" s="36">
        <f t="shared" si="42"/>
        <v>1122.5045948</v>
      </c>
      <c r="CD18" s="5"/>
      <c r="CE18" s="36"/>
      <c r="CF18" s="36">
        <f t="shared" si="43"/>
        <v>2277.3520175000003</v>
      </c>
      <c r="CG18" s="5">
        <f t="shared" si="44"/>
        <v>2277.3520175000003</v>
      </c>
      <c r="CH18" s="36">
        <f t="shared" si="45"/>
        <v>597.5958394</v>
      </c>
      <c r="CI18" s="5"/>
      <c r="CJ18" s="5"/>
      <c r="CK18" s="36">
        <f t="shared" si="46"/>
        <v>7420.820215</v>
      </c>
      <c r="CL18" s="36">
        <f t="shared" si="47"/>
        <v>7420.820215</v>
      </c>
      <c r="CM18" s="36">
        <f t="shared" si="48"/>
        <v>1947.2840612</v>
      </c>
      <c r="CN18" s="5"/>
      <c r="CO18" s="5"/>
      <c r="CP18" s="36">
        <f t="shared" si="49"/>
        <v>65321.7846825</v>
      </c>
      <c r="CQ18" s="36">
        <f t="shared" si="50"/>
        <v>65321.7846825</v>
      </c>
      <c r="CR18" s="36">
        <f t="shared" si="51"/>
        <v>17140.971816600002</v>
      </c>
      <c r="CS18" s="5"/>
      <c r="CT18" s="36"/>
      <c r="CU18" s="36">
        <f t="shared" si="52"/>
        <v>135238.1547325</v>
      </c>
      <c r="CV18" s="5">
        <f t="shared" si="53"/>
        <v>135238.1547325</v>
      </c>
      <c r="CW18" s="36">
        <f t="shared" si="54"/>
        <v>35487.600500600005</v>
      </c>
      <c r="CX18" s="5"/>
      <c r="CY18" s="5"/>
      <c r="CZ18" s="5">
        <f t="shared" si="55"/>
        <v>6002.168352500001</v>
      </c>
      <c r="DA18" s="5">
        <f t="shared" si="56"/>
        <v>6002.168352500001</v>
      </c>
      <c r="DB18" s="36">
        <f t="shared" si="57"/>
        <v>1575.0181822000002</v>
      </c>
      <c r="DC18" s="5"/>
      <c r="DD18" s="36"/>
      <c r="DE18" s="36">
        <f t="shared" si="58"/>
        <v>6657.7351375</v>
      </c>
      <c r="DF18" s="5">
        <f t="shared" si="59"/>
        <v>6657.7351375</v>
      </c>
      <c r="DG18" s="36">
        <f t="shared" si="60"/>
        <v>1747.044281</v>
      </c>
      <c r="DH18" s="5"/>
      <c r="DI18" s="36"/>
      <c r="DJ18" s="36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</row>
    <row r="19" spans="1:131" ht="12.75">
      <c r="A19" s="37">
        <v>44287</v>
      </c>
      <c r="C19" s="3">
        <v>5430000</v>
      </c>
      <c r="D19" s="3">
        <v>556225</v>
      </c>
      <c r="E19" s="35">
        <f t="shared" si="0"/>
        <v>5986225</v>
      </c>
      <c r="F19" s="35">
        <v>145958</v>
      </c>
      <c r="H19" s="36">
        <f>'Academic Project '!H19</f>
        <v>818420.4600000001</v>
      </c>
      <c r="I19" s="36">
        <f>'Academic Project '!I19</f>
        <v>83835.34445</v>
      </c>
      <c r="J19" s="36">
        <f t="shared" si="61"/>
        <v>902255.80445</v>
      </c>
      <c r="K19" s="36">
        <f>'Academic Project '!K19</f>
        <v>21999.081675999998</v>
      </c>
      <c r="M19" s="36">
        <f t="shared" si="62"/>
        <v>4611579.540000001</v>
      </c>
      <c r="N19" s="35">
        <f t="shared" si="1"/>
        <v>472389.65554999997</v>
      </c>
      <c r="O19" s="5">
        <f t="shared" si="2"/>
        <v>5083969.195550001</v>
      </c>
      <c r="P19" s="35">
        <f t="shared" si="3"/>
        <v>123958.91832399998</v>
      </c>
      <c r="R19" s="36">
        <f t="shared" si="63"/>
        <v>208132.443</v>
      </c>
      <c r="S19" s="36">
        <f t="shared" si="4"/>
        <v>21320.1598725</v>
      </c>
      <c r="T19" s="5">
        <f t="shared" si="5"/>
        <v>229452.6028725</v>
      </c>
      <c r="U19" s="36">
        <f t="shared" si="6"/>
        <v>5594.5847358</v>
      </c>
      <c r="W19" s="5">
        <f t="shared" si="64"/>
        <v>377144.451</v>
      </c>
      <c r="X19" s="36">
        <f t="shared" si="7"/>
        <v>38632.996732499996</v>
      </c>
      <c r="Y19" s="36">
        <f t="shared" si="8"/>
        <v>415777.4477325</v>
      </c>
      <c r="Z19" s="36">
        <f t="shared" si="9"/>
        <v>10137.6150606</v>
      </c>
      <c r="AB19" s="5">
        <f t="shared" si="65"/>
        <v>303890.49299999996</v>
      </c>
      <c r="AC19" s="5">
        <f t="shared" si="10"/>
        <v>31129.187747499996</v>
      </c>
      <c r="AD19" s="5">
        <f t="shared" si="11"/>
        <v>335019.6807475</v>
      </c>
      <c r="AE19" s="36">
        <f t="shared" si="12"/>
        <v>8168.554065799999</v>
      </c>
      <c r="AG19" s="5">
        <f t="shared" si="66"/>
        <v>361143.87</v>
      </c>
      <c r="AH19" s="5">
        <f t="shared" si="13"/>
        <v>36993.968525</v>
      </c>
      <c r="AI19" s="5">
        <f t="shared" si="14"/>
        <v>398137.83852499997</v>
      </c>
      <c r="AJ19" s="36">
        <f t="shared" si="15"/>
        <v>9707.520622</v>
      </c>
      <c r="AL19" s="36">
        <f t="shared" si="67"/>
        <v>21571.217999999997</v>
      </c>
      <c r="AM19" s="36">
        <f t="shared" si="16"/>
        <v>2209.659435</v>
      </c>
      <c r="AN19" s="5">
        <f t="shared" si="17"/>
        <v>23780.877435</v>
      </c>
      <c r="AO19" s="36">
        <f t="shared" si="18"/>
        <v>579.8327508</v>
      </c>
      <c r="AQ19" s="36">
        <f t="shared" si="68"/>
        <v>1941.768</v>
      </c>
      <c r="AR19" s="36">
        <f t="shared" si="19"/>
        <v>198.90606</v>
      </c>
      <c r="AS19" s="5">
        <f t="shared" si="20"/>
        <v>2140.67406</v>
      </c>
      <c r="AT19" s="36">
        <f t="shared" si="21"/>
        <v>52.194580800000004</v>
      </c>
      <c r="AU19" s="5"/>
      <c r="AV19" s="36">
        <f t="shared" si="69"/>
        <v>397289.208</v>
      </c>
      <c r="AW19" s="36">
        <f t="shared" si="22"/>
        <v>40696.535859999996</v>
      </c>
      <c r="AX19" s="5">
        <f t="shared" si="23"/>
        <v>437985.74386</v>
      </c>
      <c r="AY19" s="36">
        <f t="shared" si="24"/>
        <v>10679.1046448</v>
      </c>
      <c r="AZ19" s="5"/>
      <c r="BA19" s="36">
        <f t="shared" si="70"/>
        <v>14.118</v>
      </c>
      <c r="BB19" s="36">
        <f t="shared" si="25"/>
        <v>1.446185</v>
      </c>
      <c r="BC19" s="5">
        <f t="shared" si="26"/>
        <v>15.564185</v>
      </c>
      <c r="BD19" s="36">
        <f t="shared" si="27"/>
        <v>0.3794908</v>
      </c>
      <c r="BE19" s="5"/>
      <c r="BF19" s="36">
        <f t="shared" si="71"/>
        <v>507460.64999999997</v>
      </c>
      <c r="BG19" s="36">
        <f t="shared" si="28"/>
        <v>51982.007375</v>
      </c>
      <c r="BH19" s="5">
        <f t="shared" si="29"/>
        <v>559442.657375</v>
      </c>
      <c r="BI19" s="36">
        <f t="shared" si="30"/>
        <v>13640.50489</v>
      </c>
      <c r="BJ19" s="5"/>
      <c r="BK19" s="36">
        <f t="shared" si="72"/>
        <v>1197.315</v>
      </c>
      <c r="BL19" s="36">
        <f t="shared" si="31"/>
        <v>122.6476125</v>
      </c>
      <c r="BM19" s="5">
        <f t="shared" si="32"/>
        <v>1319.9626125</v>
      </c>
      <c r="BN19" s="36">
        <f t="shared" si="33"/>
        <v>32.183738999999996</v>
      </c>
      <c r="BO19" s="5"/>
      <c r="BP19" s="36">
        <f t="shared" si="73"/>
        <v>212781.609</v>
      </c>
      <c r="BQ19" s="36">
        <f t="shared" si="34"/>
        <v>21796.3997175</v>
      </c>
      <c r="BR19" s="5">
        <f t="shared" si="35"/>
        <v>234578.0087175</v>
      </c>
      <c r="BS19" s="36">
        <f t="shared" si="36"/>
        <v>5719.5539754</v>
      </c>
      <c r="BT19" s="5"/>
      <c r="BU19" s="5">
        <f t="shared" si="74"/>
        <v>1074.054</v>
      </c>
      <c r="BV19" s="5">
        <f t="shared" si="37"/>
        <v>110.02130500000001</v>
      </c>
      <c r="BW19" s="5">
        <f t="shared" si="38"/>
        <v>1184.075305</v>
      </c>
      <c r="BX19" s="36">
        <f t="shared" si="39"/>
        <v>28.8704924</v>
      </c>
      <c r="BY19" s="5"/>
      <c r="BZ19" s="36">
        <f t="shared" si="75"/>
        <v>41759.958</v>
      </c>
      <c r="CA19" s="36">
        <f t="shared" si="40"/>
        <v>4277.703985</v>
      </c>
      <c r="CB19" s="5">
        <f t="shared" si="41"/>
        <v>46037.661985</v>
      </c>
      <c r="CC19" s="36">
        <f t="shared" si="42"/>
        <v>1122.5045948</v>
      </c>
      <c r="CD19" s="5"/>
      <c r="CE19" s="36">
        <f t="shared" si="76"/>
        <v>22232.049000000003</v>
      </c>
      <c r="CF19" s="36">
        <f t="shared" si="43"/>
        <v>2277.3520175000003</v>
      </c>
      <c r="CG19" s="5">
        <f t="shared" si="44"/>
        <v>24509.401017500004</v>
      </c>
      <c r="CH19" s="36">
        <f t="shared" si="45"/>
        <v>597.5958394</v>
      </c>
      <c r="CI19" s="5"/>
      <c r="CJ19" s="5">
        <f t="shared" si="77"/>
        <v>72443.802</v>
      </c>
      <c r="CK19" s="36">
        <f t="shared" si="46"/>
        <v>7420.820215</v>
      </c>
      <c r="CL19" s="36">
        <f t="shared" si="47"/>
        <v>79864.622215</v>
      </c>
      <c r="CM19" s="36">
        <f t="shared" si="48"/>
        <v>1947.2840612</v>
      </c>
      <c r="CN19" s="5"/>
      <c r="CO19" s="5">
        <f t="shared" si="78"/>
        <v>637686.711</v>
      </c>
      <c r="CP19" s="36">
        <f t="shared" si="49"/>
        <v>65321.7846825</v>
      </c>
      <c r="CQ19" s="36">
        <f t="shared" si="50"/>
        <v>703008.4956825001</v>
      </c>
      <c r="CR19" s="36">
        <f t="shared" si="51"/>
        <v>17140.971816600002</v>
      </c>
      <c r="CS19" s="5"/>
      <c r="CT19" s="36">
        <f t="shared" si="79"/>
        <v>1320226.851</v>
      </c>
      <c r="CU19" s="36">
        <f t="shared" si="52"/>
        <v>135238.1547325</v>
      </c>
      <c r="CV19" s="5">
        <f t="shared" si="53"/>
        <v>1455465.0057325</v>
      </c>
      <c r="CW19" s="36">
        <f t="shared" si="54"/>
        <v>35487.600500600005</v>
      </c>
      <c r="CX19" s="5"/>
      <c r="CY19" s="5">
        <f t="shared" si="80"/>
        <v>58594.58700000001</v>
      </c>
      <c r="CZ19" s="5">
        <f t="shared" si="55"/>
        <v>6002.168352500001</v>
      </c>
      <c r="DA19" s="5">
        <f t="shared" si="56"/>
        <v>64596.75535250001</v>
      </c>
      <c r="DB19" s="36">
        <f t="shared" si="57"/>
        <v>1575.0181822000002</v>
      </c>
      <c r="DC19" s="5"/>
      <c r="DD19" s="36">
        <f t="shared" si="81"/>
        <v>64994.384999999995</v>
      </c>
      <c r="DE19" s="36">
        <f t="shared" si="58"/>
        <v>6657.7351375</v>
      </c>
      <c r="DF19" s="5">
        <f t="shared" si="59"/>
        <v>71652.1201375</v>
      </c>
      <c r="DG19" s="36">
        <f t="shared" si="60"/>
        <v>1747.044281</v>
      </c>
      <c r="DH19" s="5"/>
      <c r="DI19" s="36"/>
      <c r="DJ19" s="36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</row>
    <row r="20" spans="1:131" ht="12.75">
      <c r="A20" s="37">
        <v>44470</v>
      </c>
      <c r="D20" s="3">
        <v>420475</v>
      </c>
      <c r="E20" s="35">
        <f t="shared" si="0"/>
        <v>420475</v>
      </c>
      <c r="F20" s="35">
        <v>145958</v>
      </c>
      <c r="H20" s="36"/>
      <c r="I20" s="36">
        <f>'Academic Project '!I20</f>
        <v>63374.83295</v>
      </c>
      <c r="J20" s="36">
        <f t="shared" si="61"/>
        <v>63374.83295</v>
      </c>
      <c r="K20" s="36">
        <f>'Academic Project '!K20</f>
        <v>21999.081675999998</v>
      </c>
      <c r="M20" s="36"/>
      <c r="N20" s="35">
        <f t="shared" si="1"/>
        <v>357100.16705</v>
      </c>
      <c r="O20" s="5">
        <f t="shared" si="2"/>
        <v>357100.16705</v>
      </c>
      <c r="P20" s="35">
        <f t="shared" si="3"/>
        <v>123958.91832399998</v>
      </c>
      <c r="R20" s="36"/>
      <c r="S20" s="36">
        <f t="shared" si="4"/>
        <v>16116.848797499999</v>
      </c>
      <c r="T20" s="5">
        <f t="shared" si="5"/>
        <v>16116.848797499999</v>
      </c>
      <c r="U20" s="36">
        <f t="shared" si="6"/>
        <v>5594.5847358</v>
      </c>
      <c r="X20" s="36">
        <f t="shared" si="7"/>
        <v>29204.385457499997</v>
      </c>
      <c r="Y20" s="36">
        <f t="shared" si="8"/>
        <v>29204.385457499997</v>
      </c>
      <c r="Z20" s="36">
        <f t="shared" si="9"/>
        <v>10137.6150606</v>
      </c>
      <c r="AC20" s="5">
        <f t="shared" si="10"/>
        <v>23531.9254225</v>
      </c>
      <c r="AD20" s="5">
        <f t="shared" si="11"/>
        <v>23531.9254225</v>
      </c>
      <c r="AE20" s="36">
        <f t="shared" si="12"/>
        <v>8168.554065799999</v>
      </c>
      <c r="AH20" s="5">
        <f t="shared" si="13"/>
        <v>27965.371775</v>
      </c>
      <c r="AI20" s="5">
        <f t="shared" si="14"/>
        <v>27965.371775</v>
      </c>
      <c r="AJ20" s="36">
        <f t="shared" si="15"/>
        <v>9707.520622</v>
      </c>
      <c r="AL20" s="36"/>
      <c r="AM20" s="36">
        <f t="shared" si="16"/>
        <v>1670.3789849999998</v>
      </c>
      <c r="AN20" s="5">
        <f t="shared" si="17"/>
        <v>1670.3789849999998</v>
      </c>
      <c r="AO20" s="36">
        <f t="shared" si="18"/>
        <v>579.8327508</v>
      </c>
      <c r="AQ20" s="36"/>
      <c r="AR20" s="36">
        <f t="shared" si="19"/>
        <v>150.36186</v>
      </c>
      <c r="AS20" s="5">
        <f t="shared" si="20"/>
        <v>150.36186</v>
      </c>
      <c r="AT20" s="36">
        <f t="shared" si="21"/>
        <v>52.194580800000004</v>
      </c>
      <c r="AU20" s="5"/>
      <c r="AV20" s="36"/>
      <c r="AW20" s="36">
        <f t="shared" si="22"/>
        <v>30764.305659999998</v>
      </c>
      <c r="AX20" s="5">
        <f t="shared" si="23"/>
        <v>30764.305659999998</v>
      </c>
      <c r="AY20" s="36">
        <f t="shared" si="24"/>
        <v>10679.1046448</v>
      </c>
      <c r="AZ20" s="5"/>
      <c r="BA20" s="36"/>
      <c r="BB20" s="36">
        <f t="shared" si="25"/>
        <v>1.093235</v>
      </c>
      <c r="BC20" s="5">
        <f t="shared" si="26"/>
        <v>1.093235</v>
      </c>
      <c r="BD20" s="36">
        <f t="shared" si="27"/>
        <v>0.3794908</v>
      </c>
      <c r="BE20" s="5"/>
      <c r="BF20" s="36"/>
      <c r="BG20" s="36">
        <f t="shared" si="28"/>
        <v>39295.491125</v>
      </c>
      <c r="BH20" s="5">
        <f t="shared" si="29"/>
        <v>39295.491125</v>
      </c>
      <c r="BI20" s="36">
        <f t="shared" si="30"/>
        <v>13640.50489</v>
      </c>
      <c r="BJ20" s="5"/>
      <c r="BK20" s="36"/>
      <c r="BL20" s="36">
        <f t="shared" si="31"/>
        <v>92.7147375</v>
      </c>
      <c r="BM20" s="5">
        <f t="shared" si="32"/>
        <v>92.7147375</v>
      </c>
      <c r="BN20" s="36">
        <f t="shared" si="33"/>
        <v>32.183738999999996</v>
      </c>
      <c r="BO20" s="5"/>
      <c r="BP20" s="36"/>
      <c r="BQ20" s="36">
        <f t="shared" si="34"/>
        <v>16476.8594925</v>
      </c>
      <c r="BR20" s="5">
        <f t="shared" si="35"/>
        <v>16476.8594925</v>
      </c>
      <c r="BS20" s="36">
        <f t="shared" si="36"/>
        <v>5719.5539754</v>
      </c>
      <c r="BT20" s="5"/>
      <c r="BU20" s="5"/>
      <c r="BV20" s="5">
        <f t="shared" si="37"/>
        <v>83.169955</v>
      </c>
      <c r="BW20" s="5">
        <f t="shared" si="38"/>
        <v>83.169955</v>
      </c>
      <c r="BX20" s="36">
        <f t="shared" si="39"/>
        <v>28.8704924</v>
      </c>
      <c r="BY20" s="5"/>
      <c r="BZ20" s="36"/>
      <c r="CA20" s="36">
        <f t="shared" si="40"/>
        <v>3233.705035</v>
      </c>
      <c r="CB20" s="5">
        <f t="shared" si="41"/>
        <v>3233.705035</v>
      </c>
      <c r="CC20" s="36">
        <f t="shared" si="42"/>
        <v>1122.5045948</v>
      </c>
      <c r="CD20" s="5"/>
      <c r="CE20" s="36"/>
      <c r="CF20" s="36">
        <f t="shared" si="43"/>
        <v>1721.5507925000002</v>
      </c>
      <c r="CG20" s="5">
        <f t="shared" si="44"/>
        <v>1721.5507925000002</v>
      </c>
      <c r="CH20" s="36">
        <f t="shared" si="45"/>
        <v>597.5958394</v>
      </c>
      <c r="CI20" s="5"/>
      <c r="CJ20" s="5"/>
      <c r="CK20" s="36">
        <f t="shared" si="46"/>
        <v>5609.725165</v>
      </c>
      <c r="CL20" s="36">
        <f t="shared" si="47"/>
        <v>5609.725165</v>
      </c>
      <c r="CM20" s="36">
        <f t="shared" si="48"/>
        <v>1947.2840612</v>
      </c>
      <c r="CN20" s="5"/>
      <c r="CO20" s="5"/>
      <c r="CP20" s="36">
        <f t="shared" si="49"/>
        <v>49379.6169075</v>
      </c>
      <c r="CQ20" s="36">
        <f t="shared" si="50"/>
        <v>49379.6169075</v>
      </c>
      <c r="CR20" s="36">
        <f t="shared" si="51"/>
        <v>17140.971816600002</v>
      </c>
      <c r="CS20" s="5"/>
      <c r="CT20" s="36"/>
      <c r="CU20" s="36">
        <f t="shared" si="52"/>
        <v>102232.4834575</v>
      </c>
      <c r="CV20" s="5">
        <f t="shared" si="53"/>
        <v>102232.4834575</v>
      </c>
      <c r="CW20" s="36">
        <f t="shared" si="54"/>
        <v>35487.600500600005</v>
      </c>
      <c r="CX20" s="5"/>
      <c r="CY20" s="5"/>
      <c r="CZ20" s="5">
        <f t="shared" si="55"/>
        <v>4537.3036775</v>
      </c>
      <c r="DA20" s="5">
        <f t="shared" si="56"/>
        <v>4537.3036775</v>
      </c>
      <c r="DB20" s="36">
        <f t="shared" si="57"/>
        <v>1575.0181822000002</v>
      </c>
      <c r="DC20" s="5"/>
      <c r="DD20" s="36"/>
      <c r="DE20" s="36">
        <f t="shared" si="58"/>
        <v>5032.8755125</v>
      </c>
      <c r="DF20" s="5">
        <f t="shared" si="59"/>
        <v>5032.8755125</v>
      </c>
      <c r="DG20" s="36">
        <f t="shared" si="60"/>
        <v>1747.044281</v>
      </c>
      <c r="DH20" s="5"/>
      <c r="DI20" s="36"/>
      <c r="DJ20" s="36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</row>
    <row r="21" spans="1:131" ht="12.75">
      <c r="A21" s="37">
        <v>44652</v>
      </c>
      <c r="C21" s="3">
        <v>0</v>
      </c>
      <c r="D21" s="3">
        <v>420475</v>
      </c>
      <c r="E21" s="35">
        <f t="shared" si="0"/>
        <v>420475</v>
      </c>
      <c r="F21" s="35">
        <v>145958</v>
      </c>
      <c r="H21" s="36">
        <f>'Academic Project '!H21</f>
        <v>0</v>
      </c>
      <c r="I21" s="36">
        <f>'Academic Project '!I21</f>
        <v>63374.83295</v>
      </c>
      <c r="J21" s="36">
        <f t="shared" si="61"/>
        <v>63374.83295</v>
      </c>
      <c r="K21" s="36">
        <f>'Academic Project '!K21</f>
        <v>21999.081675999998</v>
      </c>
      <c r="M21" s="36">
        <f t="shared" si="62"/>
        <v>0</v>
      </c>
      <c r="N21" s="35">
        <f t="shared" si="1"/>
        <v>357100.16705</v>
      </c>
      <c r="O21" s="5">
        <f t="shared" si="2"/>
        <v>357100.16705</v>
      </c>
      <c r="P21" s="35">
        <f t="shared" si="3"/>
        <v>123958.91832399998</v>
      </c>
      <c r="R21" s="36">
        <f t="shared" si="63"/>
        <v>0</v>
      </c>
      <c r="S21" s="36">
        <f t="shared" si="4"/>
        <v>16116.848797499999</v>
      </c>
      <c r="T21" s="5">
        <f t="shared" si="5"/>
        <v>16116.848797499999</v>
      </c>
      <c r="U21" s="36">
        <f t="shared" si="6"/>
        <v>5594.5847358</v>
      </c>
      <c r="W21" s="5">
        <f t="shared" si="64"/>
        <v>0</v>
      </c>
      <c r="X21" s="36">
        <f t="shared" si="7"/>
        <v>29204.385457499997</v>
      </c>
      <c r="Y21" s="36">
        <f t="shared" si="8"/>
        <v>29204.385457499997</v>
      </c>
      <c r="Z21" s="36">
        <f t="shared" si="9"/>
        <v>10137.6150606</v>
      </c>
      <c r="AB21" s="5">
        <f t="shared" si="65"/>
        <v>0</v>
      </c>
      <c r="AC21" s="5">
        <f t="shared" si="10"/>
        <v>23531.9254225</v>
      </c>
      <c r="AD21" s="5">
        <f t="shared" si="11"/>
        <v>23531.9254225</v>
      </c>
      <c r="AE21" s="36">
        <f t="shared" si="12"/>
        <v>8168.554065799999</v>
      </c>
      <c r="AG21" s="5">
        <f t="shared" si="66"/>
        <v>0</v>
      </c>
      <c r="AH21" s="5">
        <f t="shared" si="13"/>
        <v>27965.371775</v>
      </c>
      <c r="AI21" s="5">
        <f t="shared" si="14"/>
        <v>27965.371775</v>
      </c>
      <c r="AJ21" s="36">
        <f t="shared" si="15"/>
        <v>9707.520622</v>
      </c>
      <c r="AL21" s="36">
        <f t="shared" si="67"/>
        <v>0</v>
      </c>
      <c r="AM21" s="36">
        <f t="shared" si="16"/>
        <v>1670.3789849999998</v>
      </c>
      <c r="AN21" s="5">
        <f t="shared" si="17"/>
        <v>1670.3789849999998</v>
      </c>
      <c r="AO21" s="36">
        <f t="shared" si="18"/>
        <v>579.8327508</v>
      </c>
      <c r="AQ21" s="36">
        <f t="shared" si="68"/>
        <v>0</v>
      </c>
      <c r="AR21" s="36">
        <f t="shared" si="19"/>
        <v>150.36186</v>
      </c>
      <c r="AS21" s="5">
        <f t="shared" si="20"/>
        <v>150.36186</v>
      </c>
      <c r="AT21" s="36">
        <f t="shared" si="21"/>
        <v>52.194580800000004</v>
      </c>
      <c r="AU21" s="5"/>
      <c r="AV21" s="36">
        <f t="shared" si="69"/>
        <v>0</v>
      </c>
      <c r="AW21" s="36">
        <f t="shared" si="22"/>
        <v>30764.305659999998</v>
      </c>
      <c r="AX21" s="5">
        <f t="shared" si="23"/>
        <v>30764.305659999998</v>
      </c>
      <c r="AY21" s="36">
        <f t="shared" si="24"/>
        <v>10679.1046448</v>
      </c>
      <c r="AZ21" s="5"/>
      <c r="BA21" s="36">
        <f t="shared" si="70"/>
        <v>0</v>
      </c>
      <c r="BB21" s="36">
        <f t="shared" si="25"/>
        <v>1.093235</v>
      </c>
      <c r="BC21" s="5">
        <f t="shared" si="26"/>
        <v>1.093235</v>
      </c>
      <c r="BD21" s="36">
        <f t="shared" si="27"/>
        <v>0.3794908</v>
      </c>
      <c r="BE21" s="5"/>
      <c r="BF21" s="36">
        <f t="shared" si="71"/>
        <v>0</v>
      </c>
      <c r="BG21" s="36">
        <f t="shared" si="28"/>
        <v>39295.491125</v>
      </c>
      <c r="BH21" s="5">
        <f t="shared" si="29"/>
        <v>39295.491125</v>
      </c>
      <c r="BI21" s="36">
        <f t="shared" si="30"/>
        <v>13640.50489</v>
      </c>
      <c r="BJ21" s="5"/>
      <c r="BK21" s="36">
        <f t="shared" si="72"/>
        <v>0</v>
      </c>
      <c r="BL21" s="36">
        <f t="shared" si="31"/>
        <v>92.7147375</v>
      </c>
      <c r="BM21" s="5">
        <f t="shared" si="32"/>
        <v>92.7147375</v>
      </c>
      <c r="BN21" s="36">
        <f t="shared" si="33"/>
        <v>32.183738999999996</v>
      </c>
      <c r="BO21" s="5"/>
      <c r="BP21" s="36">
        <f t="shared" si="73"/>
        <v>0</v>
      </c>
      <c r="BQ21" s="36">
        <f t="shared" si="34"/>
        <v>16476.8594925</v>
      </c>
      <c r="BR21" s="5">
        <f t="shared" si="35"/>
        <v>16476.8594925</v>
      </c>
      <c r="BS21" s="36">
        <f t="shared" si="36"/>
        <v>5719.5539754</v>
      </c>
      <c r="BT21" s="5"/>
      <c r="BU21" s="5">
        <f t="shared" si="74"/>
        <v>0</v>
      </c>
      <c r="BV21" s="5">
        <f t="shared" si="37"/>
        <v>83.169955</v>
      </c>
      <c r="BW21" s="5">
        <f t="shared" si="38"/>
        <v>83.169955</v>
      </c>
      <c r="BX21" s="36">
        <f t="shared" si="39"/>
        <v>28.8704924</v>
      </c>
      <c r="BY21" s="5"/>
      <c r="BZ21" s="36">
        <f t="shared" si="75"/>
        <v>0</v>
      </c>
      <c r="CA21" s="36">
        <f t="shared" si="40"/>
        <v>3233.705035</v>
      </c>
      <c r="CB21" s="5">
        <f t="shared" si="41"/>
        <v>3233.705035</v>
      </c>
      <c r="CC21" s="36">
        <f t="shared" si="42"/>
        <v>1122.5045948</v>
      </c>
      <c r="CD21" s="5"/>
      <c r="CE21" s="36">
        <f t="shared" si="76"/>
        <v>0</v>
      </c>
      <c r="CF21" s="36">
        <f t="shared" si="43"/>
        <v>1721.5507925000002</v>
      </c>
      <c r="CG21" s="5">
        <f t="shared" si="44"/>
        <v>1721.5507925000002</v>
      </c>
      <c r="CH21" s="36">
        <f t="shared" si="45"/>
        <v>597.5958394</v>
      </c>
      <c r="CI21" s="5"/>
      <c r="CJ21" s="5">
        <f t="shared" si="77"/>
        <v>0</v>
      </c>
      <c r="CK21" s="36">
        <f t="shared" si="46"/>
        <v>5609.725165</v>
      </c>
      <c r="CL21" s="36">
        <f t="shared" si="47"/>
        <v>5609.725165</v>
      </c>
      <c r="CM21" s="36">
        <f t="shared" si="48"/>
        <v>1947.2840612</v>
      </c>
      <c r="CN21" s="5"/>
      <c r="CO21" s="5">
        <f t="shared" si="78"/>
        <v>0</v>
      </c>
      <c r="CP21" s="36">
        <f t="shared" si="49"/>
        <v>49379.6169075</v>
      </c>
      <c r="CQ21" s="36">
        <f t="shared" si="50"/>
        <v>49379.6169075</v>
      </c>
      <c r="CR21" s="36">
        <f t="shared" si="51"/>
        <v>17140.971816600002</v>
      </c>
      <c r="CS21" s="5"/>
      <c r="CT21" s="36">
        <f t="shared" si="79"/>
        <v>0</v>
      </c>
      <c r="CU21" s="36">
        <f t="shared" si="52"/>
        <v>102232.4834575</v>
      </c>
      <c r="CV21" s="5">
        <f t="shared" si="53"/>
        <v>102232.4834575</v>
      </c>
      <c r="CW21" s="36">
        <f t="shared" si="54"/>
        <v>35487.600500600005</v>
      </c>
      <c r="CX21" s="5"/>
      <c r="CY21" s="5">
        <f t="shared" si="80"/>
        <v>0</v>
      </c>
      <c r="CZ21" s="5">
        <f t="shared" si="55"/>
        <v>4537.3036775</v>
      </c>
      <c r="DA21" s="5">
        <f t="shared" si="56"/>
        <v>4537.3036775</v>
      </c>
      <c r="DB21" s="36">
        <f t="shared" si="57"/>
        <v>1575.0181822000002</v>
      </c>
      <c r="DC21" s="5"/>
      <c r="DD21" s="36">
        <f t="shared" si="81"/>
        <v>0</v>
      </c>
      <c r="DE21" s="36">
        <f t="shared" si="58"/>
        <v>5032.8755125</v>
      </c>
      <c r="DF21" s="5">
        <f t="shared" si="59"/>
        <v>5032.8755125</v>
      </c>
      <c r="DG21" s="36">
        <f t="shared" si="60"/>
        <v>1747.044281</v>
      </c>
      <c r="DH21" s="5"/>
      <c r="DI21" s="36"/>
      <c r="DJ21" s="36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</row>
    <row r="22" spans="1:131" ht="12.75">
      <c r="A22" s="37">
        <v>44835</v>
      </c>
      <c r="D22" s="3">
        <v>420475</v>
      </c>
      <c r="E22" s="35">
        <f t="shared" si="0"/>
        <v>420475</v>
      </c>
      <c r="F22" s="35">
        <v>145958</v>
      </c>
      <c r="H22" s="36"/>
      <c r="I22" s="36">
        <f>'Academic Project '!I22</f>
        <v>63374.83295</v>
      </c>
      <c r="J22" s="36">
        <f t="shared" si="61"/>
        <v>63374.83295</v>
      </c>
      <c r="K22" s="36">
        <f>'Academic Project '!K22</f>
        <v>21999.081675999998</v>
      </c>
      <c r="M22" s="36"/>
      <c r="N22" s="35">
        <f t="shared" si="1"/>
        <v>357100.16705</v>
      </c>
      <c r="O22" s="5">
        <f t="shared" si="2"/>
        <v>357100.16705</v>
      </c>
      <c r="P22" s="35">
        <f t="shared" si="3"/>
        <v>123958.91832399998</v>
      </c>
      <c r="R22" s="36"/>
      <c r="S22" s="36">
        <f t="shared" si="4"/>
        <v>16116.848797499999</v>
      </c>
      <c r="T22" s="5">
        <f t="shared" si="5"/>
        <v>16116.848797499999</v>
      </c>
      <c r="U22" s="36">
        <f t="shared" si="6"/>
        <v>5594.5847358</v>
      </c>
      <c r="X22" s="36">
        <f t="shared" si="7"/>
        <v>29204.385457499997</v>
      </c>
      <c r="Y22" s="36">
        <f t="shared" si="8"/>
        <v>29204.385457499997</v>
      </c>
      <c r="Z22" s="36">
        <f t="shared" si="9"/>
        <v>10137.6150606</v>
      </c>
      <c r="AC22" s="5">
        <f t="shared" si="10"/>
        <v>23531.9254225</v>
      </c>
      <c r="AD22" s="5">
        <f t="shared" si="11"/>
        <v>23531.9254225</v>
      </c>
      <c r="AE22" s="36">
        <f t="shared" si="12"/>
        <v>8168.554065799999</v>
      </c>
      <c r="AH22" s="5">
        <f t="shared" si="13"/>
        <v>27965.371775</v>
      </c>
      <c r="AI22" s="5">
        <f t="shared" si="14"/>
        <v>27965.371775</v>
      </c>
      <c r="AJ22" s="36">
        <f t="shared" si="15"/>
        <v>9707.520622</v>
      </c>
      <c r="AL22" s="36"/>
      <c r="AM22" s="36">
        <f t="shared" si="16"/>
        <v>1670.3789849999998</v>
      </c>
      <c r="AN22" s="5">
        <f t="shared" si="17"/>
        <v>1670.3789849999998</v>
      </c>
      <c r="AO22" s="36">
        <f t="shared" si="18"/>
        <v>579.8327508</v>
      </c>
      <c r="AQ22" s="36"/>
      <c r="AR22" s="36">
        <f t="shared" si="19"/>
        <v>150.36186</v>
      </c>
      <c r="AS22" s="5">
        <f t="shared" si="20"/>
        <v>150.36186</v>
      </c>
      <c r="AT22" s="36">
        <f t="shared" si="21"/>
        <v>52.194580800000004</v>
      </c>
      <c r="AU22" s="5"/>
      <c r="AV22" s="36"/>
      <c r="AW22" s="36">
        <f t="shared" si="22"/>
        <v>30764.305659999998</v>
      </c>
      <c r="AX22" s="5">
        <f t="shared" si="23"/>
        <v>30764.305659999998</v>
      </c>
      <c r="AY22" s="36">
        <f t="shared" si="24"/>
        <v>10679.1046448</v>
      </c>
      <c r="AZ22" s="5"/>
      <c r="BA22" s="36"/>
      <c r="BB22" s="36">
        <f t="shared" si="25"/>
        <v>1.093235</v>
      </c>
      <c r="BC22" s="5">
        <f t="shared" si="26"/>
        <v>1.093235</v>
      </c>
      <c r="BD22" s="36">
        <f t="shared" si="27"/>
        <v>0.3794908</v>
      </c>
      <c r="BE22" s="5"/>
      <c r="BF22" s="36"/>
      <c r="BG22" s="36">
        <f t="shared" si="28"/>
        <v>39295.491125</v>
      </c>
      <c r="BH22" s="5">
        <f t="shared" si="29"/>
        <v>39295.491125</v>
      </c>
      <c r="BI22" s="36">
        <f t="shared" si="30"/>
        <v>13640.50489</v>
      </c>
      <c r="BJ22" s="5"/>
      <c r="BK22" s="36"/>
      <c r="BL22" s="36">
        <f t="shared" si="31"/>
        <v>92.7147375</v>
      </c>
      <c r="BM22" s="5">
        <f t="shared" si="32"/>
        <v>92.7147375</v>
      </c>
      <c r="BN22" s="36">
        <f t="shared" si="33"/>
        <v>32.183738999999996</v>
      </c>
      <c r="BO22" s="5"/>
      <c r="BP22" s="36"/>
      <c r="BQ22" s="36">
        <f t="shared" si="34"/>
        <v>16476.8594925</v>
      </c>
      <c r="BR22" s="5">
        <f t="shared" si="35"/>
        <v>16476.8594925</v>
      </c>
      <c r="BS22" s="36">
        <f t="shared" si="36"/>
        <v>5719.5539754</v>
      </c>
      <c r="BT22" s="5"/>
      <c r="BU22" s="5"/>
      <c r="BV22" s="5">
        <f t="shared" si="37"/>
        <v>83.169955</v>
      </c>
      <c r="BW22" s="5">
        <f t="shared" si="38"/>
        <v>83.169955</v>
      </c>
      <c r="BX22" s="36">
        <f t="shared" si="39"/>
        <v>28.8704924</v>
      </c>
      <c r="BY22" s="5"/>
      <c r="BZ22" s="36"/>
      <c r="CA22" s="36">
        <f t="shared" si="40"/>
        <v>3233.705035</v>
      </c>
      <c r="CB22" s="5">
        <f t="shared" si="41"/>
        <v>3233.705035</v>
      </c>
      <c r="CC22" s="36">
        <f t="shared" si="42"/>
        <v>1122.5045948</v>
      </c>
      <c r="CD22" s="5"/>
      <c r="CE22" s="36"/>
      <c r="CF22" s="36">
        <f t="shared" si="43"/>
        <v>1721.5507925000002</v>
      </c>
      <c r="CG22" s="5">
        <f t="shared" si="44"/>
        <v>1721.5507925000002</v>
      </c>
      <c r="CH22" s="36">
        <f t="shared" si="45"/>
        <v>597.5958394</v>
      </c>
      <c r="CI22" s="5"/>
      <c r="CJ22" s="5"/>
      <c r="CK22" s="36">
        <f t="shared" si="46"/>
        <v>5609.725165</v>
      </c>
      <c r="CL22" s="36">
        <f t="shared" si="47"/>
        <v>5609.725165</v>
      </c>
      <c r="CM22" s="36">
        <f t="shared" si="48"/>
        <v>1947.2840612</v>
      </c>
      <c r="CN22" s="5"/>
      <c r="CO22" s="5"/>
      <c r="CP22" s="36">
        <f t="shared" si="49"/>
        <v>49379.6169075</v>
      </c>
      <c r="CQ22" s="36">
        <f t="shared" si="50"/>
        <v>49379.6169075</v>
      </c>
      <c r="CR22" s="36">
        <f t="shared" si="51"/>
        <v>17140.971816600002</v>
      </c>
      <c r="CS22" s="5"/>
      <c r="CT22" s="36"/>
      <c r="CU22" s="36">
        <f t="shared" si="52"/>
        <v>102232.4834575</v>
      </c>
      <c r="CV22" s="5">
        <f t="shared" si="53"/>
        <v>102232.4834575</v>
      </c>
      <c r="CW22" s="36">
        <f t="shared" si="54"/>
        <v>35487.600500600005</v>
      </c>
      <c r="CX22" s="5"/>
      <c r="CY22" s="5"/>
      <c r="CZ22" s="5">
        <f t="shared" si="55"/>
        <v>4537.3036775</v>
      </c>
      <c r="DA22" s="5">
        <f t="shared" si="56"/>
        <v>4537.3036775</v>
      </c>
      <c r="DB22" s="36">
        <f t="shared" si="57"/>
        <v>1575.0181822000002</v>
      </c>
      <c r="DC22" s="5"/>
      <c r="DD22" s="36"/>
      <c r="DE22" s="36">
        <f t="shared" si="58"/>
        <v>5032.8755125</v>
      </c>
      <c r="DF22" s="5">
        <f t="shared" si="59"/>
        <v>5032.8755125</v>
      </c>
      <c r="DG22" s="36">
        <f t="shared" si="60"/>
        <v>1747.044281</v>
      </c>
      <c r="DH22" s="5"/>
      <c r="DI22" s="36"/>
      <c r="DJ22" s="36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</row>
    <row r="23" spans="1:131" ht="12.75">
      <c r="A23" s="37">
        <v>45017</v>
      </c>
      <c r="C23" s="3">
        <v>0</v>
      </c>
      <c r="D23" s="3">
        <v>420475</v>
      </c>
      <c r="E23" s="35">
        <f t="shared" si="0"/>
        <v>420475</v>
      </c>
      <c r="F23" s="35">
        <v>145958</v>
      </c>
      <c r="H23" s="36">
        <f>'Academic Project '!H23</f>
        <v>0</v>
      </c>
      <c r="I23" s="36">
        <f>'Academic Project '!I23</f>
        <v>63374.83295</v>
      </c>
      <c r="J23" s="36">
        <f t="shared" si="61"/>
        <v>63374.83295</v>
      </c>
      <c r="K23" s="36">
        <f>'Academic Project '!K23</f>
        <v>21999.081675999998</v>
      </c>
      <c r="M23" s="36">
        <f t="shared" si="62"/>
        <v>0</v>
      </c>
      <c r="N23" s="35">
        <f t="shared" si="1"/>
        <v>357100.16705</v>
      </c>
      <c r="O23" s="5">
        <f t="shared" si="2"/>
        <v>357100.16705</v>
      </c>
      <c r="P23" s="35">
        <f t="shared" si="3"/>
        <v>123958.91832399998</v>
      </c>
      <c r="R23" s="36">
        <f t="shared" si="63"/>
        <v>0</v>
      </c>
      <c r="S23" s="36">
        <f t="shared" si="4"/>
        <v>16116.848797499999</v>
      </c>
      <c r="T23" s="5">
        <f t="shared" si="5"/>
        <v>16116.848797499999</v>
      </c>
      <c r="U23" s="36">
        <f t="shared" si="6"/>
        <v>5594.5847358</v>
      </c>
      <c r="W23" s="5">
        <f t="shared" si="64"/>
        <v>0</v>
      </c>
      <c r="X23" s="36">
        <f t="shared" si="7"/>
        <v>29204.385457499997</v>
      </c>
      <c r="Y23" s="36">
        <f t="shared" si="8"/>
        <v>29204.385457499997</v>
      </c>
      <c r="Z23" s="36">
        <f t="shared" si="9"/>
        <v>10137.6150606</v>
      </c>
      <c r="AB23" s="5">
        <f t="shared" si="65"/>
        <v>0</v>
      </c>
      <c r="AC23" s="5">
        <f t="shared" si="10"/>
        <v>23531.9254225</v>
      </c>
      <c r="AD23" s="5">
        <f t="shared" si="11"/>
        <v>23531.9254225</v>
      </c>
      <c r="AE23" s="36">
        <f t="shared" si="12"/>
        <v>8168.554065799999</v>
      </c>
      <c r="AG23" s="5">
        <f t="shared" si="66"/>
        <v>0</v>
      </c>
      <c r="AH23" s="5">
        <f t="shared" si="13"/>
        <v>27965.371775</v>
      </c>
      <c r="AI23" s="5">
        <f t="shared" si="14"/>
        <v>27965.371775</v>
      </c>
      <c r="AJ23" s="36">
        <f t="shared" si="15"/>
        <v>9707.520622</v>
      </c>
      <c r="AL23" s="36">
        <f t="shared" si="67"/>
        <v>0</v>
      </c>
      <c r="AM23" s="36">
        <f t="shared" si="16"/>
        <v>1670.3789849999998</v>
      </c>
      <c r="AN23" s="5">
        <f t="shared" si="17"/>
        <v>1670.3789849999998</v>
      </c>
      <c r="AO23" s="36">
        <f t="shared" si="18"/>
        <v>579.8327508</v>
      </c>
      <c r="AQ23" s="36">
        <f t="shared" si="68"/>
        <v>0</v>
      </c>
      <c r="AR23" s="36">
        <f t="shared" si="19"/>
        <v>150.36186</v>
      </c>
      <c r="AS23" s="5">
        <f t="shared" si="20"/>
        <v>150.36186</v>
      </c>
      <c r="AT23" s="36">
        <f t="shared" si="21"/>
        <v>52.194580800000004</v>
      </c>
      <c r="AU23" s="5"/>
      <c r="AV23" s="36">
        <f t="shared" si="69"/>
        <v>0</v>
      </c>
      <c r="AW23" s="36">
        <f t="shared" si="22"/>
        <v>30764.305659999998</v>
      </c>
      <c r="AX23" s="5">
        <f t="shared" si="23"/>
        <v>30764.305659999998</v>
      </c>
      <c r="AY23" s="36">
        <f t="shared" si="24"/>
        <v>10679.1046448</v>
      </c>
      <c r="AZ23" s="5"/>
      <c r="BA23" s="36">
        <f t="shared" si="70"/>
        <v>0</v>
      </c>
      <c r="BB23" s="36">
        <f t="shared" si="25"/>
        <v>1.093235</v>
      </c>
      <c r="BC23" s="5">
        <f t="shared" si="26"/>
        <v>1.093235</v>
      </c>
      <c r="BD23" s="36">
        <f t="shared" si="27"/>
        <v>0.3794908</v>
      </c>
      <c r="BE23" s="5"/>
      <c r="BF23" s="36">
        <f t="shared" si="71"/>
        <v>0</v>
      </c>
      <c r="BG23" s="36">
        <f t="shared" si="28"/>
        <v>39295.491125</v>
      </c>
      <c r="BH23" s="5">
        <f t="shared" si="29"/>
        <v>39295.491125</v>
      </c>
      <c r="BI23" s="36">
        <f t="shared" si="30"/>
        <v>13640.50489</v>
      </c>
      <c r="BJ23" s="5"/>
      <c r="BK23" s="36">
        <f t="shared" si="72"/>
        <v>0</v>
      </c>
      <c r="BL23" s="36">
        <f t="shared" si="31"/>
        <v>92.7147375</v>
      </c>
      <c r="BM23" s="5">
        <f t="shared" si="32"/>
        <v>92.7147375</v>
      </c>
      <c r="BN23" s="36">
        <f t="shared" si="33"/>
        <v>32.183738999999996</v>
      </c>
      <c r="BO23" s="5"/>
      <c r="BP23" s="36">
        <f t="shared" si="73"/>
        <v>0</v>
      </c>
      <c r="BQ23" s="36">
        <f t="shared" si="34"/>
        <v>16476.8594925</v>
      </c>
      <c r="BR23" s="5">
        <f t="shared" si="35"/>
        <v>16476.8594925</v>
      </c>
      <c r="BS23" s="36">
        <f t="shared" si="36"/>
        <v>5719.5539754</v>
      </c>
      <c r="BT23" s="5"/>
      <c r="BU23" s="5">
        <f t="shared" si="74"/>
        <v>0</v>
      </c>
      <c r="BV23" s="5">
        <f t="shared" si="37"/>
        <v>83.169955</v>
      </c>
      <c r="BW23" s="5">
        <f t="shared" si="38"/>
        <v>83.169955</v>
      </c>
      <c r="BX23" s="36">
        <f t="shared" si="39"/>
        <v>28.8704924</v>
      </c>
      <c r="BY23" s="5"/>
      <c r="BZ23" s="36">
        <f t="shared" si="75"/>
        <v>0</v>
      </c>
      <c r="CA23" s="36">
        <f t="shared" si="40"/>
        <v>3233.705035</v>
      </c>
      <c r="CB23" s="5">
        <f t="shared" si="41"/>
        <v>3233.705035</v>
      </c>
      <c r="CC23" s="36">
        <f t="shared" si="42"/>
        <v>1122.5045948</v>
      </c>
      <c r="CD23" s="5"/>
      <c r="CE23" s="36">
        <f t="shared" si="76"/>
        <v>0</v>
      </c>
      <c r="CF23" s="36">
        <f t="shared" si="43"/>
        <v>1721.5507925000002</v>
      </c>
      <c r="CG23" s="5">
        <f t="shared" si="44"/>
        <v>1721.5507925000002</v>
      </c>
      <c r="CH23" s="36">
        <f t="shared" si="45"/>
        <v>597.5958394</v>
      </c>
      <c r="CI23" s="5"/>
      <c r="CJ23" s="5">
        <f t="shared" si="77"/>
        <v>0</v>
      </c>
      <c r="CK23" s="36">
        <f t="shared" si="46"/>
        <v>5609.725165</v>
      </c>
      <c r="CL23" s="36">
        <f t="shared" si="47"/>
        <v>5609.725165</v>
      </c>
      <c r="CM23" s="36">
        <f t="shared" si="48"/>
        <v>1947.2840612</v>
      </c>
      <c r="CN23" s="5"/>
      <c r="CO23" s="5">
        <f t="shared" si="78"/>
        <v>0</v>
      </c>
      <c r="CP23" s="36">
        <f t="shared" si="49"/>
        <v>49379.6169075</v>
      </c>
      <c r="CQ23" s="36">
        <f t="shared" si="50"/>
        <v>49379.6169075</v>
      </c>
      <c r="CR23" s="36">
        <f t="shared" si="51"/>
        <v>17140.971816600002</v>
      </c>
      <c r="CS23" s="5"/>
      <c r="CT23" s="36">
        <f t="shared" si="79"/>
        <v>0</v>
      </c>
      <c r="CU23" s="36">
        <f t="shared" si="52"/>
        <v>102232.4834575</v>
      </c>
      <c r="CV23" s="5">
        <f t="shared" si="53"/>
        <v>102232.4834575</v>
      </c>
      <c r="CW23" s="36">
        <f t="shared" si="54"/>
        <v>35487.600500600005</v>
      </c>
      <c r="CX23" s="5"/>
      <c r="CY23" s="5">
        <f t="shared" si="80"/>
        <v>0</v>
      </c>
      <c r="CZ23" s="5">
        <f t="shared" si="55"/>
        <v>4537.3036775</v>
      </c>
      <c r="DA23" s="5">
        <f t="shared" si="56"/>
        <v>4537.3036775</v>
      </c>
      <c r="DB23" s="36">
        <f t="shared" si="57"/>
        <v>1575.0181822000002</v>
      </c>
      <c r="DC23" s="5"/>
      <c r="DD23" s="36">
        <f t="shared" si="81"/>
        <v>0</v>
      </c>
      <c r="DE23" s="36">
        <f t="shared" si="58"/>
        <v>5032.8755125</v>
      </c>
      <c r="DF23" s="5">
        <f t="shared" si="59"/>
        <v>5032.8755125</v>
      </c>
      <c r="DG23" s="36">
        <f t="shared" si="60"/>
        <v>1747.044281</v>
      </c>
      <c r="DH23" s="5"/>
      <c r="DI23" s="36"/>
      <c r="DJ23" s="36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</row>
    <row r="24" spans="1:131" ht="12.75">
      <c r="A24" s="37">
        <v>45200</v>
      </c>
      <c r="D24" s="3">
        <v>420475</v>
      </c>
      <c r="E24" s="35">
        <f t="shared" si="0"/>
        <v>420475</v>
      </c>
      <c r="F24" s="35">
        <v>145958</v>
      </c>
      <c r="H24" s="36"/>
      <c r="I24" s="36">
        <f>'Academic Project '!I24</f>
        <v>63374.83295</v>
      </c>
      <c r="J24" s="36">
        <f t="shared" si="61"/>
        <v>63374.83295</v>
      </c>
      <c r="K24" s="36">
        <f>'Academic Project '!K24</f>
        <v>21999.081675999998</v>
      </c>
      <c r="M24" s="36"/>
      <c r="N24" s="35">
        <f t="shared" si="1"/>
        <v>357100.16705</v>
      </c>
      <c r="O24" s="5">
        <f t="shared" si="2"/>
        <v>357100.16705</v>
      </c>
      <c r="P24" s="35">
        <f t="shared" si="3"/>
        <v>123958.91832399998</v>
      </c>
      <c r="R24" s="36"/>
      <c r="S24" s="36">
        <f t="shared" si="4"/>
        <v>16116.848797499999</v>
      </c>
      <c r="T24" s="5">
        <f t="shared" si="5"/>
        <v>16116.848797499999</v>
      </c>
      <c r="U24" s="36">
        <f t="shared" si="6"/>
        <v>5594.5847358</v>
      </c>
      <c r="X24" s="36">
        <f t="shared" si="7"/>
        <v>29204.385457499997</v>
      </c>
      <c r="Y24" s="36">
        <f t="shared" si="8"/>
        <v>29204.385457499997</v>
      </c>
      <c r="Z24" s="36">
        <f t="shared" si="9"/>
        <v>10137.6150606</v>
      </c>
      <c r="AC24" s="5">
        <f t="shared" si="10"/>
        <v>23531.9254225</v>
      </c>
      <c r="AD24" s="5">
        <f t="shared" si="11"/>
        <v>23531.9254225</v>
      </c>
      <c r="AE24" s="36">
        <f t="shared" si="12"/>
        <v>8168.554065799999</v>
      </c>
      <c r="AH24" s="5">
        <f t="shared" si="13"/>
        <v>27965.371775</v>
      </c>
      <c r="AI24" s="5">
        <f t="shared" si="14"/>
        <v>27965.371775</v>
      </c>
      <c r="AJ24" s="36">
        <f t="shared" si="15"/>
        <v>9707.520622</v>
      </c>
      <c r="AL24" s="36"/>
      <c r="AM24" s="36">
        <f t="shared" si="16"/>
        <v>1670.3789849999998</v>
      </c>
      <c r="AN24" s="5">
        <f t="shared" si="17"/>
        <v>1670.3789849999998</v>
      </c>
      <c r="AO24" s="36">
        <f t="shared" si="18"/>
        <v>579.8327508</v>
      </c>
      <c r="AQ24" s="36"/>
      <c r="AR24" s="36">
        <f t="shared" si="19"/>
        <v>150.36186</v>
      </c>
      <c r="AS24" s="5">
        <f t="shared" si="20"/>
        <v>150.36186</v>
      </c>
      <c r="AT24" s="36">
        <f t="shared" si="21"/>
        <v>52.194580800000004</v>
      </c>
      <c r="AU24" s="5"/>
      <c r="AV24" s="36"/>
      <c r="AW24" s="36">
        <f t="shared" si="22"/>
        <v>30764.305659999998</v>
      </c>
      <c r="AX24" s="5">
        <f t="shared" si="23"/>
        <v>30764.305659999998</v>
      </c>
      <c r="AY24" s="36">
        <f t="shared" si="24"/>
        <v>10679.1046448</v>
      </c>
      <c r="AZ24" s="5"/>
      <c r="BA24" s="36"/>
      <c r="BB24" s="36">
        <f t="shared" si="25"/>
        <v>1.093235</v>
      </c>
      <c r="BC24" s="5">
        <f t="shared" si="26"/>
        <v>1.093235</v>
      </c>
      <c r="BD24" s="36">
        <f t="shared" si="27"/>
        <v>0.3794908</v>
      </c>
      <c r="BE24" s="5"/>
      <c r="BF24" s="36"/>
      <c r="BG24" s="36">
        <f t="shared" si="28"/>
        <v>39295.491125</v>
      </c>
      <c r="BH24" s="5">
        <f t="shared" si="29"/>
        <v>39295.491125</v>
      </c>
      <c r="BI24" s="36">
        <f t="shared" si="30"/>
        <v>13640.50489</v>
      </c>
      <c r="BJ24" s="5"/>
      <c r="BK24" s="36"/>
      <c r="BL24" s="36">
        <f t="shared" si="31"/>
        <v>92.7147375</v>
      </c>
      <c r="BM24" s="5">
        <f t="shared" si="32"/>
        <v>92.7147375</v>
      </c>
      <c r="BN24" s="36">
        <f t="shared" si="33"/>
        <v>32.183738999999996</v>
      </c>
      <c r="BO24" s="5"/>
      <c r="BP24" s="36"/>
      <c r="BQ24" s="36">
        <f t="shared" si="34"/>
        <v>16476.8594925</v>
      </c>
      <c r="BR24" s="5">
        <f t="shared" si="35"/>
        <v>16476.8594925</v>
      </c>
      <c r="BS24" s="36">
        <f t="shared" si="36"/>
        <v>5719.5539754</v>
      </c>
      <c r="BT24" s="5"/>
      <c r="BU24" s="5"/>
      <c r="BV24" s="5">
        <f t="shared" si="37"/>
        <v>83.169955</v>
      </c>
      <c r="BW24" s="5">
        <f t="shared" si="38"/>
        <v>83.169955</v>
      </c>
      <c r="BX24" s="36">
        <f t="shared" si="39"/>
        <v>28.8704924</v>
      </c>
      <c r="BY24" s="5"/>
      <c r="BZ24" s="36"/>
      <c r="CA24" s="36">
        <f t="shared" si="40"/>
        <v>3233.705035</v>
      </c>
      <c r="CB24" s="5">
        <f t="shared" si="41"/>
        <v>3233.705035</v>
      </c>
      <c r="CC24" s="36">
        <f t="shared" si="42"/>
        <v>1122.5045948</v>
      </c>
      <c r="CD24" s="5"/>
      <c r="CE24" s="36"/>
      <c r="CF24" s="36">
        <f t="shared" si="43"/>
        <v>1721.5507925000002</v>
      </c>
      <c r="CG24" s="5">
        <f t="shared" si="44"/>
        <v>1721.5507925000002</v>
      </c>
      <c r="CH24" s="36">
        <f t="shared" si="45"/>
        <v>597.5958394</v>
      </c>
      <c r="CI24" s="5"/>
      <c r="CJ24" s="5"/>
      <c r="CK24" s="36">
        <f t="shared" si="46"/>
        <v>5609.725165</v>
      </c>
      <c r="CL24" s="36">
        <f t="shared" si="47"/>
        <v>5609.725165</v>
      </c>
      <c r="CM24" s="36">
        <f t="shared" si="48"/>
        <v>1947.2840612</v>
      </c>
      <c r="CN24" s="5"/>
      <c r="CO24" s="5"/>
      <c r="CP24" s="36">
        <f t="shared" si="49"/>
        <v>49379.6169075</v>
      </c>
      <c r="CQ24" s="36">
        <f t="shared" si="50"/>
        <v>49379.6169075</v>
      </c>
      <c r="CR24" s="36">
        <f t="shared" si="51"/>
        <v>17140.971816600002</v>
      </c>
      <c r="CS24" s="5"/>
      <c r="CT24" s="36"/>
      <c r="CU24" s="36">
        <f t="shared" si="52"/>
        <v>102232.4834575</v>
      </c>
      <c r="CV24" s="5">
        <f t="shared" si="53"/>
        <v>102232.4834575</v>
      </c>
      <c r="CW24" s="36">
        <f t="shared" si="54"/>
        <v>35487.600500600005</v>
      </c>
      <c r="CX24" s="5"/>
      <c r="CY24" s="5"/>
      <c r="CZ24" s="5">
        <f t="shared" si="55"/>
        <v>4537.3036775</v>
      </c>
      <c r="DA24" s="5">
        <f t="shared" si="56"/>
        <v>4537.3036775</v>
      </c>
      <c r="DB24" s="36">
        <f t="shared" si="57"/>
        <v>1575.0181822000002</v>
      </c>
      <c r="DC24" s="5"/>
      <c r="DD24" s="36"/>
      <c r="DE24" s="36">
        <f t="shared" si="58"/>
        <v>5032.8755125</v>
      </c>
      <c r="DF24" s="5">
        <f t="shared" si="59"/>
        <v>5032.8755125</v>
      </c>
      <c r="DG24" s="36">
        <f t="shared" si="60"/>
        <v>1747.044281</v>
      </c>
      <c r="DH24" s="5"/>
      <c r="DI24" s="36"/>
      <c r="DJ24" s="36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</row>
    <row r="25" spans="1:131" ht="12.75">
      <c r="A25" s="37">
        <v>45383</v>
      </c>
      <c r="C25" s="3">
        <v>6285000</v>
      </c>
      <c r="D25" s="3">
        <v>420475</v>
      </c>
      <c r="E25" s="35">
        <f t="shared" si="0"/>
        <v>6705475</v>
      </c>
      <c r="F25" s="35">
        <v>145958</v>
      </c>
      <c r="H25" s="36">
        <f>'Academic Project '!H25</f>
        <v>947287.7700000001</v>
      </c>
      <c r="I25" s="36">
        <f>'Academic Project '!I25</f>
        <v>63374.83295</v>
      </c>
      <c r="J25" s="36">
        <f t="shared" si="61"/>
        <v>1010662.6029500001</v>
      </c>
      <c r="K25" s="36">
        <f>'Academic Project '!K25</f>
        <v>21999.081675999998</v>
      </c>
      <c r="M25" s="36">
        <f t="shared" si="62"/>
        <v>5337712.2299999995</v>
      </c>
      <c r="N25" s="35">
        <f t="shared" si="1"/>
        <v>357100.16705</v>
      </c>
      <c r="O25" s="5">
        <f t="shared" si="2"/>
        <v>5694812.39705</v>
      </c>
      <c r="P25" s="35">
        <f t="shared" si="3"/>
        <v>123958.91832399998</v>
      </c>
      <c r="R25" s="36">
        <f t="shared" si="63"/>
        <v>240904.67849999998</v>
      </c>
      <c r="S25" s="36">
        <f t="shared" si="4"/>
        <v>16116.848797499999</v>
      </c>
      <c r="T25" s="5">
        <f t="shared" si="5"/>
        <v>257021.52729749997</v>
      </c>
      <c r="U25" s="36">
        <f t="shared" si="6"/>
        <v>5594.5847358</v>
      </c>
      <c r="W25" s="5">
        <f t="shared" si="64"/>
        <v>436529.0745</v>
      </c>
      <c r="X25" s="36">
        <f t="shared" si="7"/>
        <v>29204.385457499997</v>
      </c>
      <c r="Y25" s="36">
        <f t="shared" si="8"/>
        <v>465733.4599575</v>
      </c>
      <c r="Z25" s="36">
        <f t="shared" si="9"/>
        <v>10137.6150606</v>
      </c>
      <c r="AB25" s="5">
        <f t="shared" si="65"/>
        <v>351740.65349999996</v>
      </c>
      <c r="AC25" s="5">
        <f t="shared" si="10"/>
        <v>23531.9254225</v>
      </c>
      <c r="AD25" s="5">
        <f t="shared" si="11"/>
        <v>375272.57892249996</v>
      </c>
      <c r="AE25" s="36">
        <f t="shared" si="12"/>
        <v>8168.554065799999</v>
      </c>
      <c r="AG25" s="5">
        <f t="shared" si="66"/>
        <v>418009.065</v>
      </c>
      <c r="AH25" s="5">
        <f t="shared" si="13"/>
        <v>27965.371775</v>
      </c>
      <c r="AI25" s="5">
        <f t="shared" si="14"/>
        <v>445974.436775</v>
      </c>
      <c r="AJ25" s="36">
        <f t="shared" si="15"/>
        <v>9707.520622</v>
      </c>
      <c r="AL25" s="36">
        <f t="shared" si="67"/>
        <v>24967.790999999997</v>
      </c>
      <c r="AM25" s="36">
        <f t="shared" si="16"/>
        <v>1670.3789849999998</v>
      </c>
      <c r="AN25" s="5">
        <f t="shared" si="17"/>
        <v>26638.169984999997</v>
      </c>
      <c r="AO25" s="36">
        <f t="shared" si="18"/>
        <v>579.8327508</v>
      </c>
      <c r="AQ25" s="36">
        <f t="shared" si="68"/>
        <v>2247.516</v>
      </c>
      <c r="AR25" s="36">
        <f t="shared" si="19"/>
        <v>150.36186</v>
      </c>
      <c r="AS25" s="5">
        <f t="shared" si="20"/>
        <v>2397.87786</v>
      </c>
      <c r="AT25" s="36">
        <f t="shared" si="21"/>
        <v>52.194580800000004</v>
      </c>
      <c r="AU25" s="5"/>
      <c r="AV25" s="36">
        <f t="shared" si="69"/>
        <v>459845.796</v>
      </c>
      <c r="AW25" s="36">
        <f t="shared" si="22"/>
        <v>30764.305659999998</v>
      </c>
      <c r="AX25" s="5">
        <f t="shared" si="23"/>
        <v>490610.10166</v>
      </c>
      <c r="AY25" s="36">
        <f t="shared" si="24"/>
        <v>10679.1046448</v>
      </c>
      <c r="AZ25" s="5"/>
      <c r="BA25" s="36">
        <f t="shared" si="70"/>
        <v>16.341</v>
      </c>
      <c r="BB25" s="36">
        <f t="shared" si="25"/>
        <v>1.093235</v>
      </c>
      <c r="BC25" s="5">
        <f t="shared" si="26"/>
        <v>17.434235</v>
      </c>
      <c r="BD25" s="36">
        <f t="shared" si="27"/>
        <v>0.3794908</v>
      </c>
      <c r="BE25" s="5"/>
      <c r="BF25" s="36">
        <f t="shared" si="71"/>
        <v>587364.6749999999</v>
      </c>
      <c r="BG25" s="36">
        <f t="shared" si="28"/>
        <v>39295.491125</v>
      </c>
      <c r="BH25" s="5">
        <f t="shared" si="29"/>
        <v>626660.166125</v>
      </c>
      <c r="BI25" s="36">
        <f t="shared" si="30"/>
        <v>13640.50489</v>
      </c>
      <c r="BJ25" s="5"/>
      <c r="BK25" s="36">
        <f t="shared" si="72"/>
        <v>1385.8425</v>
      </c>
      <c r="BL25" s="36">
        <f t="shared" si="31"/>
        <v>92.7147375</v>
      </c>
      <c r="BM25" s="5">
        <f t="shared" si="32"/>
        <v>1478.5572375</v>
      </c>
      <c r="BN25" s="36">
        <f t="shared" si="33"/>
        <v>32.183738999999996</v>
      </c>
      <c r="BO25" s="5"/>
      <c r="BP25" s="36">
        <f t="shared" si="73"/>
        <v>246285.8955</v>
      </c>
      <c r="BQ25" s="36">
        <f t="shared" si="34"/>
        <v>16476.8594925</v>
      </c>
      <c r="BR25" s="5">
        <f t="shared" si="35"/>
        <v>262762.7549925</v>
      </c>
      <c r="BS25" s="36">
        <f t="shared" si="36"/>
        <v>5719.5539754</v>
      </c>
      <c r="BT25" s="5"/>
      <c r="BU25" s="5">
        <f t="shared" si="74"/>
        <v>1243.173</v>
      </c>
      <c r="BV25" s="5">
        <f t="shared" si="37"/>
        <v>83.169955</v>
      </c>
      <c r="BW25" s="5">
        <f t="shared" si="38"/>
        <v>1326.342955</v>
      </c>
      <c r="BX25" s="36">
        <f t="shared" si="39"/>
        <v>28.8704924</v>
      </c>
      <c r="BY25" s="5"/>
      <c r="BZ25" s="36">
        <f t="shared" si="75"/>
        <v>48335.420999999995</v>
      </c>
      <c r="CA25" s="36">
        <f t="shared" si="40"/>
        <v>3233.705035</v>
      </c>
      <c r="CB25" s="5">
        <f t="shared" si="41"/>
        <v>51569.126034999994</v>
      </c>
      <c r="CC25" s="36">
        <f t="shared" si="42"/>
        <v>1122.5045948</v>
      </c>
      <c r="CD25" s="5"/>
      <c r="CE25" s="36">
        <f t="shared" si="76"/>
        <v>25732.6755</v>
      </c>
      <c r="CF25" s="36">
        <f t="shared" si="43"/>
        <v>1721.5507925000002</v>
      </c>
      <c r="CG25" s="5">
        <f t="shared" si="44"/>
        <v>27454.226292500003</v>
      </c>
      <c r="CH25" s="36">
        <f t="shared" si="45"/>
        <v>597.5958394</v>
      </c>
      <c r="CI25" s="5"/>
      <c r="CJ25" s="5">
        <f t="shared" si="77"/>
        <v>83850.699</v>
      </c>
      <c r="CK25" s="36">
        <f t="shared" si="46"/>
        <v>5609.725165</v>
      </c>
      <c r="CL25" s="36">
        <f t="shared" si="47"/>
        <v>89460.42416499999</v>
      </c>
      <c r="CM25" s="36">
        <f t="shared" si="48"/>
        <v>1947.2840612</v>
      </c>
      <c r="CN25" s="5"/>
      <c r="CO25" s="5">
        <f t="shared" si="78"/>
        <v>738095.9445</v>
      </c>
      <c r="CP25" s="36">
        <f t="shared" si="49"/>
        <v>49379.6169075</v>
      </c>
      <c r="CQ25" s="36">
        <f t="shared" si="50"/>
        <v>787475.5614075</v>
      </c>
      <c r="CR25" s="36">
        <f t="shared" si="51"/>
        <v>17140.971816600002</v>
      </c>
      <c r="CS25" s="5"/>
      <c r="CT25" s="36">
        <f t="shared" si="79"/>
        <v>1528107.8745000002</v>
      </c>
      <c r="CU25" s="36">
        <f t="shared" si="52"/>
        <v>102232.4834575</v>
      </c>
      <c r="CV25" s="5">
        <f t="shared" si="53"/>
        <v>1630340.3579575</v>
      </c>
      <c r="CW25" s="36">
        <f t="shared" si="54"/>
        <v>35487.600500600005</v>
      </c>
      <c r="CX25" s="5"/>
      <c r="CY25" s="5">
        <f t="shared" si="80"/>
        <v>67820.8065</v>
      </c>
      <c r="CZ25" s="5">
        <f t="shared" si="55"/>
        <v>4537.3036775</v>
      </c>
      <c r="DA25" s="5">
        <f t="shared" si="56"/>
        <v>72358.1101775</v>
      </c>
      <c r="DB25" s="36">
        <f t="shared" si="57"/>
        <v>1575.0181822000002</v>
      </c>
      <c r="DC25" s="5"/>
      <c r="DD25" s="36">
        <f t="shared" si="81"/>
        <v>75228.3075</v>
      </c>
      <c r="DE25" s="36">
        <f t="shared" si="58"/>
        <v>5032.8755125</v>
      </c>
      <c r="DF25" s="5">
        <f t="shared" si="59"/>
        <v>80261.1830125</v>
      </c>
      <c r="DG25" s="36">
        <f t="shared" si="60"/>
        <v>1747.044281</v>
      </c>
      <c r="DH25" s="5"/>
      <c r="DI25" s="36"/>
      <c r="DJ25" s="36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</row>
    <row r="26" spans="1:131" ht="12.75">
      <c r="A26" s="37">
        <v>45566</v>
      </c>
      <c r="D26" s="3">
        <v>326200</v>
      </c>
      <c r="E26" s="35">
        <f t="shared" si="0"/>
        <v>326200</v>
      </c>
      <c r="F26" s="35">
        <v>145958</v>
      </c>
      <c r="H26" s="36"/>
      <c r="I26" s="36">
        <f>'Academic Project '!I26</f>
        <v>49165.5164</v>
      </c>
      <c r="J26" s="36">
        <f t="shared" si="61"/>
        <v>49165.5164</v>
      </c>
      <c r="K26" s="36">
        <f>'Academic Project '!K26</f>
        <v>21999.081675999998</v>
      </c>
      <c r="M26" s="36"/>
      <c r="N26" s="35">
        <f t="shared" si="1"/>
        <v>277034.4836</v>
      </c>
      <c r="O26" s="5">
        <f t="shared" si="2"/>
        <v>277034.4836</v>
      </c>
      <c r="P26" s="35">
        <f t="shared" si="3"/>
        <v>123958.91832399998</v>
      </c>
      <c r="R26" s="36"/>
      <c r="S26" s="36">
        <f t="shared" si="4"/>
        <v>12503.27862</v>
      </c>
      <c r="T26" s="5">
        <f t="shared" si="5"/>
        <v>12503.27862</v>
      </c>
      <c r="U26" s="36">
        <f t="shared" si="6"/>
        <v>5594.5847358</v>
      </c>
      <c r="X26" s="36">
        <f t="shared" si="7"/>
        <v>22656.44934</v>
      </c>
      <c r="Y26" s="36">
        <f t="shared" si="8"/>
        <v>22656.44934</v>
      </c>
      <c r="Z26" s="36">
        <f t="shared" si="9"/>
        <v>10137.6150606</v>
      </c>
      <c r="AC26" s="5">
        <f t="shared" si="10"/>
        <v>18255.815619999998</v>
      </c>
      <c r="AD26" s="5">
        <f t="shared" si="11"/>
        <v>18255.815619999998</v>
      </c>
      <c r="AE26" s="36">
        <f t="shared" si="12"/>
        <v>8168.554065799999</v>
      </c>
      <c r="AH26" s="5">
        <f t="shared" si="13"/>
        <v>21695.2358</v>
      </c>
      <c r="AI26" s="5">
        <f t="shared" si="14"/>
        <v>21695.2358</v>
      </c>
      <c r="AJ26" s="36">
        <f t="shared" si="15"/>
        <v>9707.520622</v>
      </c>
      <c r="AL26" s="36"/>
      <c r="AM26" s="36">
        <f t="shared" si="16"/>
        <v>1295.86212</v>
      </c>
      <c r="AN26" s="5">
        <f t="shared" si="17"/>
        <v>1295.86212</v>
      </c>
      <c r="AO26" s="36">
        <f t="shared" si="18"/>
        <v>579.8327508</v>
      </c>
      <c r="AQ26" s="36"/>
      <c r="AR26" s="36">
        <f t="shared" si="19"/>
        <v>116.64912000000001</v>
      </c>
      <c r="AS26" s="5">
        <f t="shared" si="20"/>
        <v>116.64912000000001</v>
      </c>
      <c r="AT26" s="36">
        <f t="shared" si="21"/>
        <v>52.194580800000004</v>
      </c>
      <c r="AU26" s="5"/>
      <c r="AV26" s="36"/>
      <c r="AW26" s="36">
        <f t="shared" si="22"/>
        <v>23866.61872</v>
      </c>
      <c r="AX26" s="5">
        <f t="shared" si="23"/>
        <v>23866.61872</v>
      </c>
      <c r="AY26" s="36">
        <f t="shared" si="24"/>
        <v>10679.1046448</v>
      </c>
      <c r="AZ26" s="5"/>
      <c r="BA26" s="36"/>
      <c r="BB26" s="36">
        <f t="shared" si="25"/>
        <v>0.84812</v>
      </c>
      <c r="BC26" s="5">
        <f t="shared" si="26"/>
        <v>0.84812</v>
      </c>
      <c r="BD26" s="36">
        <f t="shared" si="27"/>
        <v>0.3794908</v>
      </c>
      <c r="BE26" s="5"/>
      <c r="BF26" s="36"/>
      <c r="BG26" s="36">
        <f t="shared" si="28"/>
        <v>30485.021</v>
      </c>
      <c r="BH26" s="5">
        <f t="shared" si="29"/>
        <v>30485.021</v>
      </c>
      <c r="BI26" s="36">
        <f t="shared" si="30"/>
        <v>13640.50489</v>
      </c>
      <c r="BJ26" s="5"/>
      <c r="BK26" s="36"/>
      <c r="BL26" s="36">
        <f t="shared" si="31"/>
        <v>71.9271</v>
      </c>
      <c r="BM26" s="5">
        <f t="shared" si="32"/>
        <v>71.9271</v>
      </c>
      <c r="BN26" s="36">
        <f t="shared" si="33"/>
        <v>32.183738999999996</v>
      </c>
      <c r="BO26" s="5"/>
      <c r="BP26" s="36"/>
      <c r="BQ26" s="36">
        <f t="shared" si="34"/>
        <v>12782.57106</v>
      </c>
      <c r="BR26" s="5">
        <f t="shared" si="35"/>
        <v>12782.57106</v>
      </c>
      <c r="BS26" s="36">
        <f t="shared" si="36"/>
        <v>5719.5539754</v>
      </c>
      <c r="BT26" s="5"/>
      <c r="BU26" s="5"/>
      <c r="BV26" s="5">
        <f t="shared" si="37"/>
        <v>64.52236</v>
      </c>
      <c r="BW26" s="5">
        <f t="shared" si="38"/>
        <v>64.52236</v>
      </c>
      <c r="BX26" s="36">
        <f t="shared" si="39"/>
        <v>28.8704924</v>
      </c>
      <c r="BY26" s="5"/>
      <c r="BZ26" s="36"/>
      <c r="CA26" s="36">
        <f t="shared" si="40"/>
        <v>2508.67372</v>
      </c>
      <c r="CB26" s="5">
        <f t="shared" si="41"/>
        <v>2508.67372</v>
      </c>
      <c r="CC26" s="36">
        <f t="shared" si="42"/>
        <v>1122.5045948</v>
      </c>
      <c r="CD26" s="5"/>
      <c r="CE26" s="36"/>
      <c r="CF26" s="36">
        <f t="shared" si="43"/>
        <v>1335.56066</v>
      </c>
      <c r="CG26" s="5">
        <f t="shared" si="44"/>
        <v>1335.56066</v>
      </c>
      <c r="CH26" s="36">
        <f t="shared" si="45"/>
        <v>597.5958394</v>
      </c>
      <c r="CI26" s="5"/>
      <c r="CJ26" s="5"/>
      <c r="CK26" s="36">
        <f t="shared" si="46"/>
        <v>4351.96468</v>
      </c>
      <c r="CL26" s="36">
        <f t="shared" si="47"/>
        <v>4351.96468</v>
      </c>
      <c r="CM26" s="36">
        <f t="shared" si="48"/>
        <v>1947.2840612</v>
      </c>
      <c r="CN26" s="5"/>
      <c r="CO26" s="5"/>
      <c r="CP26" s="36">
        <f t="shared" si="49"/>
        <v>38308.17774</v>
      </c>
      <c r="CQ26" s="36">
        <f t="shared" si="50"/>
        <v>38308.17774</v>
      </c>
      <c r="CR26" s="36">
        <f t="shared" si="51"/>
        <v>17140.971816600002</v>
      </c>
      <c r="CS26" s="5"/>
      <c r="CT26" s="36"/>
      <c r="CU26" s="36">
        <f t="shared" si="52"/>
        <v>79310.86534</v>
      </c>
      <c r="CV26" s="5">
        <f t="shared" si="53"/>
        <v>79310.86534</v>
      </c>
      <c r="CW26" s="36">
        <f t="shared" si="54"/>
        <v>35487.600500600005</v>
      </c>
      <c r="CX26" s="5"/>
      <c r="CY26" s="5"/>
      <c r="CZ26" s="5">
        <f t="shared" si="55"/>
        <v>3519.9915800000003</v>
      </c>
      <c r="DA26" s="5">
        <f t="shared" si="56"/>
        <v>3519.9915800000003</v>
      </c>
      <c r="DB26" s="36">
        <f t="shared" si="57"/>
        <v>1575.0181822000002</v>
      </c>
      <c r="DC26" s="5"/>
      <c r="DD26" s="36"/>
      <c r="DE26" s="36">
        <f t="shared" si="58"/>
        <v>3904.4509</v>
      </c>
      <c r="DF26" s="5">
        <f t="shared" si="59"/>
        <v>3904.4509</v>
      </c>
      <c r="DG26" s="36">
        <f t="shared" si="60"/>
        <v>1747.044281</v>
      </c>
      <c r="DH26" s="5"/>
      <c r="DI26" s="36"/>
      <c r="DJ26" s="36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</row>
    <row r="27" spans="1:131" ht="12.75">
      <c r="A27" s="37">
        <v>45748</v>
      </c>
      <c r="C27" s="3">
        <v>0</v>
      </c>
      <c r="D27" s="3">
        <v>326200</v>
      </c>
      <c r="E27" s="35">
        <f t="shared" si="0"/>
        <v>326200</v>
      </c>
      <c r="F27" s="35">
        <v>145958</v>
      </c>
      <c r="H27" s="36">
        <f>'Academic Project '!H27</f>
        <v>0</v>
      </c>
      <c r="I27" s="36">
        <f>'Academic Project '!I27</f>
        <v>49165.5164</v>
      </c>
      <c r="J27" s="36">
        <f t="shared" si="61"/>
        <v>49165.5164</v>
      </c>
      <c r="K27" s="36">
        <f>'Academic Project '!K27</f>
        <v>21999.081675999998</v>
      </c>
      <c r="M27" s="36">
        <f t="shared" si="62"/>
        <v>0</v>
      </c>
      <c r="N27" s="35">
        <f t="shared" si="1"/>
        <v>277034.4836</v>
      </c>
      <c r="O27" s="5">
        <f t="shared" si="2"/>
        <v>277034.4836</v>
      </c>
      <c r="P27" s="35">
        <f t="shared" si="3"/>
        <v>123958.91832399998</v>
      </c>
      <c r="R27" s="36">
        <f t="shared" si="63"/>
        <v>0</v>
      </c>
      <c r="S27" s="36">
        <f t="shared" si="4"/>
        <v>12503.27862</v>
      </c>
      <c r="T27" s="5">
        <f t="shared" si="5"/>
        <v>12503.27862</v>
      </c>
      <c r="U27" s="36">
        <f t="shared" si="6"/>
        <v>5594.5847358</v>
      </c>
      <c r="W27" s="5">
        <f t="shared" si="64"/>
        <v>0</v>
      </c>
      <c r="X27" s="36">
        <f t="shared" si="7"/>
        <v>22656.44934</v>
      </c>
      <c r="Y27" s="36">
        <f t="shared" si="8"/>
        <v>22656.44934</v>
      </c>
      <c r="Z27" s="36">
        <f t="shared" si="9"/>
        <v>10137.6150606</v>
      </c>
      <c r="AB27" s="5">
        <f t="shared" si="65"/>
        <v>0</v>
      </c>
      <c r="AC27" s="5">
        <f t="shared" si="10"/>
        <v>18255.815619999998</v>
      </c>
      <c r="AD27" s="5">
        <f t="shared" si="11"/>
        <v>18255.815619999998</v>
      </c>
      <c r="AE27" s="36">
        <f t="shared" si="12"/>
        <v>8168.554065799999</v>
      </c>
      <c r="AG27" s="5">
        <f t="shared" si="66"/>
        <v>0</v>
      </c>
      <c r="AH27" s="5">
        <f t="shared" si="13"/>
        <v>21695.2358</v>
      </c>
      <c r="AI27" s="5">
        <f t="shared" si="14"/>
        <v>21695.2358</v>
      </c>
      <c r="AJ27" s="36">
        <f t="shared" si="15"/>
        <v>9707.520622</v>
      </c>
      <c r="AL27" s="36">
        <f t="shared" si="67"/>
        <v>0</v>
      </c>
      <c r="AM27" s="36">
        <f t="shared" si="16"/>
        <v>1295.86212</v>
      </c>
      <c r="AN27" s="5">
        <f t="shared" si="17"/>
        <v>1295.86212</v>
      </c>
      <c r="AO27" s="36">
        <f t="shared" si="18"/>
        <v>579.8327508</v>
      </c>
      <c r="AQ27" s="36">
        <f t="shared" si="68"/>
        <v>0</v>
      </c>
      <c r="AR27" s="36">
        <f t="shared" si="19"/>
        <v>116.64912000000001</v>
      </c>
      <c r="AS27" s="5">
        <f t="shared" si="20"/>
        <v>116.64912000000001</v>
      </c>
      <c r="AT27" s="36">
        <f t="shared" si="21"/>
        <v>52.194580800000004</v>
      </c>
      <c r="AU27" s="5"/>
      <c r="AV27" s="36">
        <f t="shared" si="69"/>
        <v>0</v>
      </c>
      <c r="AW27" s="36">
        <f t="shared" si="22"/>
        <v>23866.61872</v>
      </c>
      <c r="AX27" s="5">
        <f t="shared" si="23"/>
        <v>23866.61872</v>
      </c>
      <c r="AY27" s="36">
        <f t="shared" si="24"/>
        <v>10679.1046448</v>
      </c>
      <c r="AZ27" s="5"/>
      <c r="BA27" s="36">
        <f t="shared" si="70"/>
        <v>0</v>
      </c>
      <c r="BB27" s="36">
        <f t="shared" si="25"/>
        <v>0.84812</v>
      </c>
      <c r="BC27" s="5">
        <f t="shared" si="26"/>
        <v>0.84812</v>
      </c>
      <c r="BD27" s="36">
        <f t="shared" si="27"/>
        <v>0.3794908</v>
      </c>
      <c r="BE27" s="5"/>
      <c r="BF27" s="36">
        <f t="shared" si="71"/>
        <v>0</v>
      </c>
      <c r="BG27" s="36">
        <f t="shared" si="28"/>
        <v>30485.021</v>
      </c>
      <c r="BH27" s="5">
        <f t="shared" si="29"/>
        <v>30485.021</v>
      </c>
      <c r="BI27" s="36">
        <f t="shared" si="30"/>
        <v>13640.50489</v>
      </c>
      <c r="BJ27" s="5"/>
      <c r="BK27" s="36">
        <f t="shared" si="72"/>
        <v>0</v>
      </c>
      <c r="BL27" s="36">
        <f t="shared" si="31"/>
        <v>71.9271</v>
      </c>
      <c r="BM27" s="5">
        <f t="shared" si="32"/>
        <v>71.9271</v>
      </c>
      <c r="BN27" s="36">
        <f t="shared" si="33"/>
        <v>32.183738999999996</v>
      </c>
      <c r="BO27" s="5"/>
      <c r="BP27" s="36">
        <f t="shared" si="73"/>
        <v>0</v>
      </c>
      <c r="BQ27" s="36">
        <f t="shared" si="34"/>
        <v>12782.57106</v>
      </c>
      <c r="BR27" s="5">
        <f t="shared" si="35"/>
        <v>12782.57106</v>
      </c>
      <c r="BS27" s="36">
        <f t="shared" si="36"/>
        <v>5719.5539754</v>
      </c>
      <c r="BT27" s="5"/>
      <c r="BU27" s="5">
        <f t="shared" si="74"/>
        <v>0</v>
      </c>
      <c r="BV27" s="5">
        <f t="shared" si="37"/>
        <v>64.52236</v>
      </c>
      <c r="BW27" s="5">
        <f t="shared" si="38"/>
        <v>64.52236</v>
      </c>
      <c r="BX27" s="36">
        <f t="shared" si="39"/>
        <v>28.8704924</v>
      </c>
      <c r="BY27" s="5"/>
      <c r="BZ27" s="36">
        <f t="shared" si="75"/>
        <v>0</v>
      </c>
      <c r="CA27" s="36">
        <f t="shared" si="40"/>
        <v>2508.67372</v>
      </c>
      <c r="CB27" s="5">
        <f t="shared" si="41"/>
        <v>2508.67372</v>
      </c>
      <c r="CC27" s="36">
        <f t="shared" si="42"/>
        <v>1122.5045948</v>
      </c>
      <c r="CD27" s="5"/>
      <c r="CE27" s="36">
        <f t="shared" si="76"/>
        <v>0</v>
      </c>
      <c r="CF27" s="36">
        <f t="shared" si="43"/>
        <v>1335.56066</v>
      </c>
      <c r="CG27" s="5">
        <f t="shared" si="44"/>
        <v>1335.56066</v>
      </c>
      <c r="CH27" s="36">
        <f t="shared" si="45"/>
        <v>597.5958394</v>
      </c>
      <c r="CI27" s="5"/>
      <c r="CJ27" s="5">
        <f t="shared" si="77"/>
        <v>0</v>
      </c>
      <c r="CK27" s="36">
        <f t="shared" si="46"/>
        <v>4351.96468</v>
      </c>
      <c r="CL27" s="36">
        <f t="shared" si="47"/>
        <v>4351.96468</v>
      </c>
      <c r="CM27" s="36">
        <f t="shared" si="48"/>
        <v>1947.2840612</v>
      </c>
      <c r="CN27" s="5"/>
      <c r="CO27" s="5">
        <f t="shared" si="78"/>
        <v>0</v>
      </c>
      <c r="CP27" s="36">
        <f t="shared" si="49"/>
        <v>38308.17774</v>
      </c>
      <c r="CQ27" s="36">
        <f t="shared" si="50"/>
        <v>38308.17774</v>
      </c>
      <c r="CR27" s="36">
        <f t="shared" si="51"/>
        <v>17140.971816600002</v>
      </c>
      <c r="CS27" s="5"/>
      <c r="CT27" s="36">
        <f t="shared" si="79"/>
        <v>0</v>
      </c>
      <c r="CU27" s="36">
        <f t="shared" si="52"/>
        <v>79310.86534</v>
      </c>
      <c r="CV27" s="5">
        <f t="shared" si="53"/>
        <v>79310.86534</v>
      </c>
      <c r="CW27" s="36">
        <f t="shared" si="54"/>
        <v>35487.600500600005</v>
      </c>
      <c r="CX27" s="5"/>
      <c r="CY27" s="5">
        <f t="shared" si="80"/>
        <v>0</v>
      </c>
      <c r="CZ27" s="5">
        <f t="shared" si="55"/>
        <v>3519.9915800000003</v>
      </c>
      <c r="DA27" s="5">
        <f t="shared" si="56"/>
        <v>3519.9915800000003</v>
      </c>
      <c r="DB27" s="36">
        <f t="shared" si="57"/>
        <v>1575.0181822000002</v>
      </c>
      <c r="DC27" s="5"/>
      <c r="DD27" s="36">
        <f t="shared" si="81"/>
        <v>0</v>
      </c>
      <c r="DE27" s="36">
        <f t="shared" si="58"/>
        <v>3904.4509</v>
      </c>
      <c r="DF27" s="5">
        <f t="shared" si="59"/>
        <v>3904.4509</v>
      </c>
      <c r="DG27" s="36">
        <f t="shared" si="60"/>
        <v>1747.044281</v>
      </c>
      <c r="DH27" s="5"/>
      <c r="DI27" s="36"/>
      <c r="DJ27" s="36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</row>
    <row r="28" spans="1:131" ht="12.75">
      <c r="A28" s="37">
        <v>45931</v>
      </c>
      <c r="D28" s="3">
        <v>326200</v>
      </c>
      <c r="E28" s="35">
        <f t="shared" si="0"/>
        <v>326200</v>
      </c>
      <c r="F28" s="35">
        <v>145958</v>
      </c>
      <c r="H28" s="36"/>
      <c r="I28" s="36">
        <f>'Academic Project '!I28</f>
        <v>49165.5164</v>
      </c>
      <c r="J28" s="36">
        <f t="shared" si="61"/>
        <v>49165.5164</v>
      </c>
      <c r="K28" s="36">
        <f>'Academic Project '!K28</f>
        <v>21999.081675999998</v>
      </c>
      <c r="M28" s="36"/>
      <c r="N28" s="35">
        <f t="shared" si="1"/>
        <v>277034.4836</v>
      </c>
      <c r="O28" s="5">
        <f t="shared" si="2"/>
        <v>277034.4836</v>
      </c>
      <c r="P28" s="35">
        <f t="shared" si="3"/>
        <v>123958.91832399998</v>
      </c>
      <c r="R28" s="36"/>
      <c r="S28" s="36">
        <f t="shared" si="4"/>
        <v>12503.27862</v>
      </c>
      <c r="T28" s="5">
        <f t="shared" si="5"/>
        <v>12503.27862</v>
      </c>
      <c r="U28" s="36">
        <f t="shared" si="6"/>
        <v>5594.5847358</v>
      </c>
      <c r="X28" s="36">
        <f t="shared" si="7"/>
        <v>22656.44934</v>
      </c>
      <c r="Y28" s="36">
        <f t="shared" si="8"/>
        <v>22656.44934</v>
      </c>
      <c r="Z28" s="36">
        <f t="shared" si="9"/>
        <v>10137.6150606</v>
      </c>
      <c r="AC28" s="5">
        <f t="shared" si="10"/>
        <v>18255.815619999998</v>
      </c>
      <c r="AD28" s="5">
        <f t="shared" si="11"/>
        <v>18255.815619999998</v>
      </c>
      <c r="AE28" s="36">
        <f t="shared" si="12"/>
        <v>8168.554065799999</v>
      </c>
      <c r="AH28" s="5">
        <f t="shared" si="13"/>
        <v>21695.2358</v>
      </c>
      <c r="AI28" s="5">
        <f t="shared" si="14"/>
        <v>21695.2358</v>
      </c>
      <c r="AJ28" s="36">
        <f t="shared" si="15"/>
        <v>9707.520622</v>
      </c>
      <c r="AL28" s="36"/>
      <c r="AM28" s="36">
        <f t="shared" si="16"/>
        <v>1295.86212</v>
      </c>
      <c r="AN28" s="5">
        <f t="shared" si="17"/>
        <v>1295.86212</v>
      </c>
      <c r="AO28" s="36">
        <f t="shared" si="18"/>
        <v>579.8327508</v>
      </c>
      <c r="AQ28" s="36"/>
      <c r="AR28" s="36">
        <f t="shared" si="19"/>
        <v>116.64912000000001</v>
      </c>
      <c r="AS28" s="5">
        <f t="shared" si="20"/>
        <v>116.64912000000001</v>
      </c>
      <c r="AT28" s="36">
        <f t="shared" si="21"/>
        <v>52.194580800000004</v>
      </c>
      <c r="AU28" s="5"/>
      <c r="AV28" s="36"/>
      <c r="AW28" s="36">
        <f t="shared" si="22"/>
        <v>23866.61872</v>
      </c>
      <c r="AX28" s="5">
        <f t="shared" si="23"/>
        <v>23866.61872</v>
      </c>
      <c r="AY28" s="36">
        <f t="shared" si="24"/>
        <v>10679.1046448</v>
      </c>
      <c r="AZ28" s="5"/>
      <c r="BA28" s="36"/>
      <c r="BB28" s="36">
        <f t="shared" si="25"/>
        <v>0.84812</v>
      </c>
      <c r="BC28" s="5">
        <f t="shared" si="26"/>
        <v>0.84812</v>
      </c>
      <c r="BD28" s="36">
        <f t="shared" si="27"/>
        <v>0.3794908</v>
      </c>
      <c r="BE28" s="5"/>
      <c r="BF28" s="36"/>
      <c r="BG28" s="36">
        <f t="shared" si="28"/>
        <v>30485.021</v>
      </c>
      <c r="BH28" s="5">
        <f t="shared" si="29"/>
        <v>30485.021</v>
      </c>
      <c r="BI28" s="36">
        <f t="shared" si="30"/>
        <v>13640.50489</v>
      </c>
      <c r="BJ28" s="5"/>
      <c r="BK28" s="36"/>
      <c r="BL28" s="36">
        <f t="shared" si="31"/>
        <v>71.9271</v>
      </c>
      <c r="BM28" s="5">
        <f t="shared" si="32"/>
        <v>71.9271</v>
      </c>
      <c r="BN28" s="36">
        <f t="shared" si="33"/>
        <v>32.183738999999996</v>
      </c>
      <c r="BO28" s="5"/>
      <c r="BP28" s="36"/>
      <c r="BQ28" s="36">
        <f t="shared" si="34"/>
        <v>12782.57106</v>
      </c>
      <c r="BR28" s="5">
        <f t="shared" si="35"/>
        <v>12782.57106</v>
      </c>
      <c r="BS28" s="36">
        <f t="shared" si="36"/>
        <v>5719.5539754</v>
      </c>
      <c r="BT28" s="5"/>
      <c r="BU28" s="5"/>
      <c r="BV28" s="5">
        <f t="shared" si="37"/>
        <v>64.52236</v>
      </c>
      <c r="BW28" s="5">
        <f t="shared" si="38"/>
        <v>64.52236</v>
      </c>
      <c r="BX28" s="36">
        <f t="shared" si="39"/>
        <v>28.8704924</v>
      </c>
      <c r="BY28" s="5"/>
      <c r="BZ28" s="36"/>
      <c r="CA28" s="36">
        <f t="shared" si="40"/>
        <v>2508.67372</v>
      </c>
      <c r="CB28" s="5">
        <f t="shared" si="41"/>
        <v>2508.67372</v>
      </c>
      <c r="CC28" s="36">
        <f t="shared" si="42"/>
        <v>1122.5045948</v>
      </c>
      <c r="CD28" s="5"/>
      <c r="CE28" s="36"/>
      <c r="CF28" s="36">
        <f t="shared" si="43"/>
        <v>1335.56066</v>
      </c>
      <c r="CG28" s="5">
        <f t="shared" si="44"/>
        <v>1335.56066</v>
      </c>
      <c r="CH28" s="36">
        <f t="shared" si="45"/>
        <v>597.5958394</v>
      </c>
      <c r="CI28" s="5"/>
      <c r="CJ28" s="5"/>
      <c r="CK28" s="36">
        <f t="shared" si="46"/>
        <v>4351.96468</v>
      </c>
      <c r="CL28" s="36">
        <f t="shared" si="47"/>
        <v>4351.96468</v>
      </c>
      <c r="CM28" s="36">
        <f t="shared" si="48"/>
        <v>1947.2840612</v>
      </c>
      <c r="CN28" s="5"/>
      <c r="CO28" s="5"/>
      <c r="CP28" s="36">
        <f t="shared" si="49"/>
        <v>38308.17774</v>
      </c>
      <c r="CQ28" s="36">
        <f t="shared" si="50"/>
        <v>38308.17774</v>
      </c>
      <c r="CR28" s="36">
        <f t="shared" si="51"/>
        <v>17140.971816600002</v>
      </c>
      <c r="CS28" s="5"/>
      <c r="CT28" s="36"/>
      <c r="CU28" s="36">
        <f t="shared" si="52"/>
        <v>79310.86534</v>
      </c>
      <c r="CV28" s="5">
        <f t="shared" si="53"/>
        <v>79310.86534</v>
      </c>
      <c r="CW28" s="36">
        <f t="shared" si="54"/>
        <v>35487.600500600005</v>
      </c>
      <c r="CX28" s="5"/>
      <c r="CY28" s="5"/>
      <c r="CZ28" s="5">
        <f t="shared" si="55"/>
        <v>3519.9915800000003</v>
      </c>
      <c r="DA28" s="5">
        <f t="shared" si="56"/>
        <v>3519.9915800000003</v>
      </c>
      <c r="DB28" s="36">
        <f t="shared" si="57"/>
        <v>1575.0181822000002</v>
      </c>
      <c r="DC28" s="5"/>
      <c r="DD28" s="36"/>
      <c r="DE28" s="36">
        <f t="shared" si="58"/>
        <v>3904.4509</v>
      </c>
      <c r="DF28" s="5">
        <f t="shared" si="59"/>
        <v>3904.4509</v>
      </c>
      <c r="DG28" s="36">
        <f t="shared" si="60"/>
        <v>1747.044281</v>
      </c>
      <c r="DH28" s="5"/>
      <c r="DI28" s="36"/>
      <c r="DJ28" s="36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</row>
    <row r="29" spans="1:131" ht="12.75">
      <c r="A29" s="37">
        <v>46113</v>
      </c>
      <c r="C29" s="3">
        <v>0</v>
      </c>
      <c r="D29" s="3">
        <v>326200</v>
      </c>
      <c r="E29" s="35">
        <f t="shared" si="0"/>
        <v>326200</v>
      </c>
      <c r="F29" s="35">
        <v>145958</v>
      </c>
      <c r="H29" s="36">
        <f>'Academic Project '!H29</f>
        <v>0</v>
      </c>
      <c r="I29" s="36">
        <f>'Academic Project '!I29</f>
        <v>49165.5164</v>
      </c>
      <c r="J29" s="36">
        <f t="shared" si="61"/>
        <v>49165.5164</v>
      </c>
      <c r="K29" s="36">
        <f>'Academic Project '!K29</f>
        <v>21999.081675999998</v>
      </c>
      <c r="M29" s="36">
        <f t="shared" si="62"/>
        <v>0</v>
      </c>
      <c r="N29" s="35">
        <f t="shared" si="1"/>
        <v>277034.4836</v>
      </c>
      <c r="O29" s="5">
        <f t="shared" si="2"/>
        <v>277034.4836</v>
      </c>
      <c r="P29" s="35">
        <f t="shared" si="3"/>
        <v>123958.91832399998</v>
      </c>
      <c r="R29" s="36">
        <f t="shared" si="63"/>
        <v>0</v>
      </c>
      <c r="S29" s="36">
        <f t="shared" si="4"/>
        <v>12503.27862</v>
      </c>
      <c r="T29" s="5">
        <f t="shared" si="5"/>
        <v>12503.27862</v>
      </c>
      <c r="U29" s="36">
        <f t="shared" si="6"/>
        <v>5594.5847358</v>
      </c>
      <c r="W29" s="5">
        <f t="shared" si="64"/>
        <v>0</v>
      </c>
      <c r="X29" s="36">
        <f t="shared" si="7"/>
        <v>22656.44934</v>
      </c>
      <c r="Y29" s="36">
        <f t="shared" si="8"/>
        <v>22656.44934</v>
      </c>
      <c r="Z29" s="36">
        <f t="shared" si="9"/>
        <v>10137.6150606</v>
      </c>
      <c r="AB29" s="5">
        <f t="shared" si="65"/>
        <v>0</v>
      </c>
      <c r="AC29" s="5">
        <f t="shared" si="10"/>
        <v>18255.815619999998</v>
      </c>
      <c r="AD29" s="5">
        <f t="shared" si="11"/>
        <v>18255.815619999998</v>
      </c>
      <c r="AE29" s="36">
        <f t="shared" si="12"/>
        <v>8168.554065799999</v>
      </c>
      <c r="AG29" s="5">
        <f t="shared" si="66"/>
        <v>0</v>
      </c>
      <c r="AH29" s="5">
        <f t="shared" si="13"/>
        <v>21695.2358</v>
      </c>
      <c r="AI29" s="5">
        <f t="shared" si="14"/>
        <v>21695.2358</v>
      </c>
      <c r="AJ29" s="36">
        <f t="shared" si="15"/>
        <v>9707.520622</v>
      </c>
      <c r="AL29" s="36">
        <f t="shared" si="67"/>
        <v>0</v>
      </c>
      <c r="AM29" s="36">
        <f t="shared" si="16"/>
        <v>1295.86212</v>
      </c>
      <c r="AN29" s="5">
        <f t="shared" si="17"/>
        <v>1295.86212</v>
      </c>
      <c r="AO29" s="36">
        <f t="shared" si="18"/>
        <v>579.8327508</v>
      </c>
      <c r="AQ29" s="36">
        <f t="shared" si="68"/>
        <v>0</v>
      </c>
      <c r="AR29" s="36">
        <f t="shared" si="19"/>
        <v>116.64912000000001</v>
      </c>
      <c r="AS29" s="5">
        <f t="shared" si="20"/>
        <v>116.64912000000001</v>
      </c>
      <c r="AT29" s="36">
        <f t="shared" si="21"/>
        <v>52.194580800000004</v>
      </c>
      <c r="AU29" s="5"/>
      <c r="AV29" s="36">
        <f t="shared" si="69"/>
        <v>0</v>
      </c>
      <c r="AW29" s="36">
        <f t="shared" si="22"/>
        <v>23866.61872</v>
      </c>
      <c r="AX29" s="5">
        <f t="shared" si="23"/>
        <v>23866.61872</v>
      </c>
      <c r="AY29" s="36">
        <f t="shared" si="24"/>
        <v>10679.1046448</v>
      </c>
      <c r="AZ29" s="5"/>
      <c r="BA29" s="36">
        <f t="shared" si="70"/>
        <v>0</v>
      </c>
      <c r="BB29" s="36">
        <f t="shared" si="25"/>
        <v>0.84812</v>
      </c>
      <c r="BC29" s="5">
        <f t="shared" si="26"/>
        <v>0.84812</v>
      </c>
      <c r="BD29" s="36">
        <f t="shared" si="27"/>
        <v>0.3794908</v>
      </c>
      <c r="BE29" s="5"/>
      <c r="BF29" s="36">
        <f t="shared" si="71"/>
        <v>0</v>
      </c>
      <c r="BG29" s="36">
        <f t="shared" si="28"/>
        <v>30485.021</v>
      </c>
      <c r="BH29" s="5">
        <f t="shared" si="29"/>
        <v>30485.021</v>
      </c>
      <c r="BI29" s="36">
        <f t="shared" si="30"/>
        <v>13640.50489</v>
      </c>
      <c r="BJ29" s="5"/>
      <c r="BK29" s="36">
        <f t="shared" si="72"/>
        <v>0</v>
      </c>
      <c r="BL29" s="36">
        <f t="shared" si="31"/>
        <v>71.9271</v>
      </c>
      <c r="BM29" s="5">
        <f t="shared" si="32"/>
        <v>71.9271</v>
      </c>
      <c r="BN29" s="36">
        <f t="shared" si="33"/>
        <v>32.183738999999996</v>
      </c>
      <c r="BO29" s="5"/>
      <c r="BP29" s="36">
        <f t="shared" si="73"/>
        <v>0</v>
      </c>
      <c r="BQ29" s="36">
        <f t="shared" si="34"/>
        <v>12782.57106</v>
      </c>
      <c r="BR29" s="5">
        <f t="shared" si="35"/>
        <v>12782.57106</v>
      </c>
      <c r="BS29" s="36">
        <f t="shared" si="36"/>
        <v>5719.5539754</v>
      </c>
      <c r="BT29" s="5"/>
      <c r="BU29" s="5">
        <f t="shared" si="74"/>
        <v>0</v>
      </c>
      <c r="BV29" s="5">
        <f t="shared" si="37"/>
        <v>64.52236</v>
      </c>
      <c r="BW29" s="5">
        <f t="shared" si="38"/>
        <v>64.52236</v>
      </c>
      <c r="BX29" s="36">
        <f t="shared" si="39"/>
        <v>28.8704924</v>
      </c>
      <c r="BY29" s="5"/>
      <c r="BZ29" s="36">
        <f t="shared" si="75"/>
        <v>0</v>
      </c>
      <c r="CA29" s="36">
        <f t="shared" si="40"/>
        <v>2508.67372</v>
      </c>
      <c r="CB29" s="5">
        <f t="shared" si="41"/>
        <v>2508.67372</v>
      </c>
      <c r="CC29" s="36">
        <f t="shared" si="42"/>
        <v>1122.5045948</v>
      </c>
      <c r="CD29" s="5"/>
      <c r="CE29" s="36">
        <f t="shared" si="76"/>
        <v>0</v>
      </c>
      <c r="CF29" s="36">
        <f t="shared" si="43"/>
        <v>1335.56066</v>
      </c>
      <c r="CG29" s="5">
        <f t="shared" si="44"/>
        <v>1335.56066</v>
      </c>
      <c r="CH29" s="36">
        <f t="shared" si="45"/>
        <v>597.5958394</v>
      </c>
      <c r="CI29" s="5"/>
      <c r="CJ29" s="5">
        <f t="shared" si="77"/>
        <v>0</v>
      </c>
      <c r="CK29" s="36">
        <f t="shared" si="46"/>
        <v>4351.96468</v>
      </c>
      <c r="CL29" s="36">
        <f t="shared" si="47"/>
        <v>4351.96468</v>
      </c>
      <c r="CM29" s="36">
        <f t="shared" si="48"/>
        <v>1947.2840612</v>
      </c>
      <c r="CN29" s="5"/>
      <c r="CO29" s="5">
        <f t="shared" si="78"/>
        <v>0</v>
      </c>
      <c r="CP29" s="36">
        <f t="shared" si="49"/>
        <v>38308.17774</v>
      </c>
      <c r="CQ29" s="36">
        <f t="shared" si="50"/>
        <v>38308.17774</v>
      </c>
      <c r="CR29" s="36">
        <f t="shared" si="51"/>
        <v>17140.971816600002</v>
      </c>
      <c r="CS29" s="5"/>
      <c r="CT29" s="36">
        <f t="shared" si="79"/>
        <v>0</v>
      </c>
      <c r="CU29" s="36">
        <f t="shared" si="52"/>
        <v>79310.86534</v>
      </c>
      <c r="CV29" s="5">
        <f t="shared" si="53"/>
        <v>79310.86534</v>
      </c>
      <c r="CW29" s="36">
        <f t="shared" si="54"/>
        <v>35487.600500600005</v>
      </c>
      <c r="CX29" s="5"/>
      <c r="CY29" s="5">
        <f t="shared" si="80"/>
        <v>0</v>
      </c>
      <c r="CZ29" s="5">
        <f t="shared" si="55"/>
        <v>3519.9915800000003</v>
      </c>
      <c r="DA29" s="5">
        <f t="shared" si="56"/>
        <v>3519.9915800000003</v>
      </c>
      <c r="DB29" s="36">
        <f t="shared" si="57"/>
        <v>1575.0181822000002</v>
      </c>
      <c r="DC29" s="5"/>
      <c r="DD29" s="36">
        <f t="shared" si="81"/>
        <v>0</v>
      </c>
      <c r="DE29" s="36">
        <f t="shared" si="58"/>
        <v>3904.4509</v>
      </c>
      <c r="DF29" s="5">
        <f t="shared" si="59"/>
        <v>3904.4509</v>
      </c>
      <c r="DG29" s="36">
        <f t="shared" si="60"/>
        <v>1747.044281</v>
      </c>
      <c r="DH29" s="5"/>
      <c r="DI29" s="36"/>
      <c r="DJ29" s="36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</row>
    <row r="30" spans="1:131" ht="12.75">
      <c r="A30" s="37">
        <v>46296</v>
      </c>
      <c r="D30" s="3">
        <v>326200</v>
      </c>
      <c r="E30" s="35">
        <f t="shared" si="0"/>
        <v>326200</v>
      </c>
      <c r="F30" s="35">
        <v>145958</v>
      </c>
      <c r="H30" s="36"/>
      <c r="I30" s="36">
        <f>'Academic Project '!I30</f>
        <v>49165.5164</v>
      </c>
      <c r="J30" s="36">
        <f t="shared" si="61"/>
        <v>49165.5164</v>
      </c>
      <c r="K30" s="36">
        <f>'Academic Project '!K30</f>
        <v>21999.081675999998</v>
      </c>
      <c r="M30" s="36"/>
      <c r="N30" s="35">
        <f t="shared" si="1"/>
        <v>277034.4836</v>
      </c>
      <c r="O30" s="5">
        <f t="shared" si="2"/>
        <v>277034.4836</v>
      </c>
      <c r="P30" s="35">
        <f t="shared" si="3"/>
        <v>123958.91832399998</v>
      </c>
      <c r="R30" s="36"/>
      <c r="S30" s="36">
        <f t="shared" si="4"/>
        <v>12503.27862</v>
      </c>
      <c r="T30" s="5">
        <f t="shared" si="5"/>
        <v>12503.27862</v>
      </c>
      <c r="U30" s="36">
        <f t="shared" si="6"/>
        <v>5594.5847358</v>
      </c>
      <c r="X30" s="36">
        <f t="shared" si="7"/>
        <v>22656.44934</v>
      </c>
      <c r="Y30" s="36">
        <f t="shared" si="8"/>
        <v>22656.44934</v>
      </c>
      <c r="Z30" s="36">
        <f t="shared" si="9"/>
        <v>10137.6150606</v>
      </c>
      <c r="AC30" s="5">
        <f t="shared" si="10"/>
        <v>18255.815619999998</v>
      </c>
      <c r="AD30" s="5">
        <f t="shared" si="11"/>
        <v>18255.815619999998</v>
      </c>
      <c r="AE30" s="36">
        <f t="shared" si="12"/>
        <v>8168.554065799999</v>
      </c>
      <c r="AH30" s="5">
        <f t="shared" si="13"/>
        <v>21695.2358</v>
      </c>
      <c r="AI30" s="5">
        <f t="shared" si="14"/>
        <v>21695.2358</v>
      </c>
      <c r="AJ30" s="36">
        <f t="shared" si="15"/>
        <v>9707.520622</v>
      </c>
      <c r="AL30" s="36"/>
      <c r="AM30" s="36">
        <f t="shared" si="16"/>
        <v>1295.86212</v>
      </c>
      <c r="AN30" s="5">
        <f t="shared" si="17"/>
        <v>1295.86212</v>
      </c>
      <c r="AO30" s="36">
        <f t="shared" si="18"/>
        <v>579.8327508</v>
      </c>
      <c r="AQ30" s="36"/>
      <c r="AR30" s="36">
        <f t="shared" si="19"/>
        <v>116.64912000000001</v>
      </c>
      <c r="AS30" s="5">
        <f t="shared" si="20"/>
        <v>116.64912000000001</v>
      </c>
      <c r="AT30" s="36">
        <f t="shared" si="21"/>
        <v>52.194580800000004</v>
      </c>
      <c r="AU30" s="5"/>
      <c r="AV30" s="36"/>
      <c r="AW30" s="36">
        <f t="shared" si="22"/>
        <v>23866.61872</v>
      </c>
      <c r="AX30" s="5">
        <f t="shared" si="23"/>
        <v>23866.61872</v>
      </c>
      <c r="AY30" s="36">
        <f t="shared" si="24"/>
        <v>10679.1046448</v>
      </c>
      <c r="AZ30" s="5"/>
      <c r="BA30" s="36"/>
      <c r="BB30" s="36">
        <f t="shared" si="25"/>
        <v>0.84812</v>
      </c>
      <c r="BC30" s="5">
        <f t="shared" si="26"/>
        <v>0.84812</v>
      </c>
      <c r="BD30" s="36">
        <f t="shared" si="27"/>
        <v>0.3794908</v>
      </c>
      <c r="BE30" s="5"/>
      <c r="BF30" s="36"/>
      <c r="BG30" s="36">
        <f t="shared" si="28"/>
        <v>30485.021</v>
      </c>
      <c r="BH30" s="5">
        <f t="shared" si="29"/>
        <v>30485.021</v>
      </c>
      <c r="BI30" s="36">
        <f t="shared" si="30"/>
        <v>13640.50489</v>
      </c>
      <c r="BJ30" s="5"/>
      <c r="BK30" s="36"/>
      <c r="BL30" s="36">
        <f t="shared" si="31"/>
        <v>71.9271</v>
      </c>
      <c r="BM30" s="5">
        <f t="shared" si="32"/>
        <v>71.9271</v>
      </c>
      <c r="BN30" s="36">
        <f t="shared" si="33"/>
        <v>32.183738999999996</v>
      </c>
      <c r="BO30" s="5"/>
      <c r="BP30" s="36"/>
      <c r="BQ30" s="36">
        <f t="shared" si="34"/>
        <v>12782.57106</v>
      </c>
      <c r="BR30" s="5">
        <f t="shared" si="35"/>
        <v>12782.57106</v>
      </c>
      <c r="BS30" s="36">
        <f t="shared" si="36"/>
        <v>5719.5539754</v>
      </c>
      <c r="BT30" s="5"/>
      <c r="BU30" s="5"/>
      <c r="BV30" s="5">
        <f t="shared" si="37"/>
        <v>64.52236</v>
      </c>
      <c r="BW30" s="5">
        <f t="shared" si="38"/>
        <v>64.52236</v>
      </c>
      <c r="BX30" s="36">
        <f t="shared" si="39"/>
        <v>28.8704924</v>
      </c>
      <c r="BY30" s="5"/>
      <c r="BZ30" s="36"/>
      <c r="CA30" s="36">
        <f t="shared" si="40"/>
        <v>2508.67372</v>
      </c>
      <c r="CB30" s="5">
        <f t="shared" si="41"/>
        <v>2508.67372</v>
      </c>
      <c r="CC30" s="36">
        <f t="shared" si="42"/>
        <v>1122.5045948</v>
      </c>
      <c r="CD30" s="5"/>
      <c r="CE30" s="36"/>
      <c r="CF30" s="36">
        <f t="shared" si="43"/>
        <v>1335.56066</v>
      </c>
      <c r="CG30" s="5">
        <f t="shared" si="44"/>
        <v>1335.56066</v>
      </c>
      <c r="CH30" s="36">
        <f t="shared" si="45"/>
        <v>597.5958394</v>
      </c>
      <c r="CI30" s="5"/>
      <c r="CJ30" s="5"/>
      <c r="CK30" s="36">
        <f t="shared" si="46"/>
        <v>4351.96468</v>
      </c>
      <c r="CL30" s="36">
        <f t="shared" si="47"/>
        <v>4351.96468</v>
      </c>
      <c r="CM30" s="36">
        <f t="shared" si="48"/>
        <v>1947.2840612</v>
      </c>
      <c r="CN30" s="5"/>
      <c r="CO30" s="5"/>
      <c r="CP30" s="36">
        <f t="shared" si="49"/>
        <v>38308.17774</v>
      </c>
      <c r="CQ30" s="36">
        <f t="shared" si="50"/>
        <v>38308.17774</v>
      </c>
      <c r="CR30" s="36">
        <f t="shared" si="51"/>
        <v>17140.971816600002</v>
      </c>
      <c r="CS30" s="5"/>
      <c r="CT30" s="36"/>
      <c r="CU30" s="36">
        <f t="shared" si="52"/>
        <v>79310.86534</v>
      </c>
      <c r="CV30" s="5">
        <f t="shared" si="53"/>
        <v>79310.86534</v>
      </c>
      <c r="CW30" s="36">
        <f t="shared" si="54"/>
        <v>35487.600500600005</v>
      </c>
      <c r="CX30" s="5"/>
      <c r="CY30" s="5"/>
      <c r="CZ30" s="5">
        <f t="shared" si="55"/>
        <v>3519.9915800000003</v>
      </c>
      <c r="DA30" s="5">
        <f t="shared" si="56"/>
        <v>3519.9915800000003</v>
      </c>
      <c r="DB30" s="36">
        <f t="shared" si="57"/>
        <v>1575.0181822000002</v>
      </c>
      <c r="DC30" s="5"/>
      <c r="DD30" s="36"/>
      <c r="DE30" s="36">
        <f t="shared" si="58"/>
        <v>3904.4509</v>
      </c>
      <c r="DF30" s="5">
        <f t="shared" si="59"/>
        <v>3904.4509</v>
      </c>
      <c r="DG30" s="36">
        <f t="shared" si="60"/>
        <v>1747.044281</v>
      </c>
      <c r="DH30" s="5"/>
      <c r="DI30" s="36"/>
      <c r="DJ30" s="36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</row>
    <row r="31" spans="1:131" ht="12.75">
      <c r="A31" s="37">
        <v>46478</v>
      </c>
      <c r="C31" s="3">
        <v>0</v>
      </c>
      <c r="D31" s="3">
        <v>326200</v>
      </c>
      <c r="E31" s="35">
        <f t="shared" si="0"/>
        <v>326200</v>
      </c>
      <c r="F31" s="35">
        <v>145958</v>
      </c>
      <c r="H31" s="36">
        <f>'Academic Project '!H31</f>
        <v>0</v>
      </c>
      <c r="I31" s="36">
        <f>'Academic Project '!I31</f>
        <v>49165.5164</v>
      </c>
      <c r="J31" s="36">
        <f t="shared" si="61"/>
        <v>49165.5164</v>
      </c>
      <c r="K31" s="36">
        <f>'Academic Project '!K31</f>
        <v>21999.081675999998</v>
      </c>
      <c r="M31" s="36">
        <f t="shared" si="62"/>
        <v>0</v>
      </c>
      <c r="N31" s="35">
        <f t="shared" si="1"/>
        <v>277034.4836</v>
      </c>
      <c r="O31" s="5">
        <f t="shared" si="2"/>
        <v>277034.4836</v>
      </c>
      <c r="P31" s="35">
        <f t="shared" si="3"/>
        <v>123958.91832399998</v>
      </c>
      <c r="R31" s="36">
        <f t="shared" si="63"/>
        <v>0</v>
      </c>
      <c r="S31" s="36">
        <f t="shared" si="4"/>
        <v>12503.27862</v>
      </c>
      <c r="T31" s="5">
        <f t="shared" si="5"/>
        <v>12503.27862</v>
      </c>
      <c r="U31" s="36">
        <f t="shared" si="6"/>
        <v>5594.5847358</v>
      </c>
      <c r="W31" s="5">
        <f t="shared" si="64"/>
        <v>0</v>
      </c>
      <c r="X31" s="36">
        <f t="shared" si="7"/>
        <v>22656.44934</v>
      </c>
      <c r="Y31" s="36">
        <f t="shared" si="8"/>
        <v>22656.44934</v>
      </c>
      <c r="Z31" s="36">
        <f t="shared" si="9"/>
        <v>10137.6150606</v>
      </c>
      <c r="AB31" s="5">
        <f t="shared" si="65"/>
        <v>0</v>
      </c>
      <c r="AC31" s="5">
        <f t="shared" si="10"/>
        <v>18255.815619999998</v>
      </c>
      <c r="AD31" s="5">
        <f t="shared" si="11"/>
        <v>18255.815619999998</v>
      </c>
      <c r="AE31" s="36">
        <f t="shared" si="12"/>
        <v>8168.554065799999</v>
      </c>
      <c r="AG31" s="5">
        <f t="shared" si="66"/>
        <v>0</v>
      </c>
      <c r="AH31" s="5">
        <f t="shared" si="13"/>
        <v>21695.2358</v>
      </c>
      <c r="AI31" s="5">
        <f t="shared" si="14"/>
        <v>21695.2358</v>
      </c>
      <c r="AJ31" s="36">
        <f t="shared" si="15"/>
        <v>9707.520622</v>
      </c>
      <c r="AL31" s="36">
        <f t="shared" si="67"/>
        <v>0</v>
      </c>
      <c r="AM31" s="36">
        <f t="shared" si="16"/>
        <v>1295.86212</v>
      </c>
      <c r="AN31" s="5">
        <f t="shared" si="17"/>
        <v>1295.86212</v>
      </c>
      <c r="AO31" s="36">
        <f t="shared" si="18"/>
        <v>579.8327508</v>
      </c>
      <c r="AQ31" s="36">
        <f t="shared" si="68"/>
        <v>0</v>
      </c>
      <c r="AR31" s="36">
        <f t="shared" si="19"/>
        <v>116.64912000000001</v>
      </c>
      <c r="AS31" s="5">
        <f t="shared" si="20"/>
        <v>116.64912000000001</v>
      </c>
      <c r="AT31" s="36">
        <f t="shared" si="21"/>
        <v>52.194580800000004</v>
      </c>
      <c r="AU31" s="5"/>
      <c r="AV31" s="36">
        <f t="shared" si="69"/>
        <v>0</v>
      </c>
      <c r="AW31" s="36">
        <f t="shared" si="22"/>
        <v>23866.61872</v>
      </c>
      <c r="AX31" s="5">
        <f t="shared" si="23"/>
        <v>23866.61872</v>
      </c>
      <c r="AY31" s="36">
        <f t="shared" si="24"/>
        <v>10679.1046448</v>
      </c>
      <c r="AZ31" s="5"/>
      <c r="BA31" s="36">
        <f t="shared" si="70"/>
        <v>0</v>
      </c>
      <c r="BB31" s="36">
        <f t="shared" si="25"/>
        <v>0.84812</v>
      </c>
      <c r="BC31" s="5">
        <f t="shared" si="26"/>
        <v>0.84812</v>
      </c>
      <c r="BD31" s="36">
        <f t="shared" si="27"/>
        <v>0.3794908</v>
      </c>
      <c r="BE31" s="5"/>
      <c r="BF31" s="36">
        <f t="shared" si="71"/>
        <v>0</v>
      </c>
      <c r="BG31" s="36">
        <f t="shared" si="28"/>
        <v>30485.021</v>
      </c>
      <c r="BH31" s="5">
        <f t="shared" si="29"/>
        <v>30485.021</v>
      </c>
      <c r="BI31" s="36">
        <f t="shared" si="30"/>
        <v>13640.50489</v>
      </c>
      <c r="BJ31" s="5"/>
      <c r="BK31" s="36">
        <f t="shared" si="72"/>
        <v>0</v>
      </c>
      <c r="BL31" s="36">
        <f t="shared" si="31"/>
        <v>71.9271</v>
      </c>
      <c r="BM31" s="5">
        <f t="shared" si="32"/>
        <v>71.9271</v>
      </c>
      <c r="BN31" s="36">
        <f t="shared" si="33"/>
        <v>32.183738999999996</v>
      </c>
      <c r="BO31" s="5"/>
      <c r="BP31" s="36">
        <f t="shared" si="73"/>
        <v>0</v>
      </c>
      <c r="BQ31" s="36">
        <f t="shared" si="34"/>
        <v>12782.57106</v>
      </c>
      <c r="BR31" s="5">
        <f t="shared" si="35"/>
        <v>12782.57106</v>
      </c>
      <c r="BS31" s="36">
        <f t="shared" si="36"/>
        <v>5719.5539754</v>
      </c>
      <c r="BT31" s="5"/>
      <c r="BU31" s="5">
        <f t="shared" si="74"/>
        <v>0</v>
      </c>
      <c r="BV31" s="5">
        <f t="shared" si="37"/>
        <v>64.52236</v>
      </c>
      <c r="BW31" s="5">
        <f t="shared" si="38"/>
        <v>64.52236</v>
      </c>
      <c r="BX31" s="36">
        <f t="shared" si="39"/>
        <v>28.8704924</v>
      </c>
      <c r="BY31" s="5"/>
      <c r="BZ31" s="36">
        <f t="shared" si="75"/>
        <v>0</v>
      </c>
      <c r="CA31" s="36">
        <f t="shared" si="40"/>
        <v>2508.67372</v>
      </c>
      <c r="CB31" s="5">
        <f t="shared" si="41"/>
        <v>2508.67372</v>
      </c>
      <c r="CC31" s="36">
        <f t="shared" si="42"/>
        <v>1122.5045948</v>
      </c>
      <c r="CD31" s="5"/>
      <c r="CE31" s="36">
        <f t="shared" si="76"/>
        <v>0</v>
      </c>
      <c r="CF31" s="36">
        <f t="shared" si="43"/>
        <v>1335.56066</v>
      </c>
      <c r="CG31" s="5">
        <f t="shared" si="44"/>
        <v>1335.56066</v>
      </c>
      <c r="CH31" s="36">
        <f t="shared" si="45"/>
        <v>597.5958394</v>
      </c>
      <c r="CI31" s="5"/>
      <c r="CJ31" s="5">
        <f t="shared" si="77"/>
        <v>0</v>
      </c>
      <c r="CK31" s="36">
        <f t="shared" si="46"/>
        <v>4351.96468</v>
      </c>
      <c r="CL31" s="36">
        <f t="shared" si="47"/>
        <v>4351.96468</v>
      </c>
      <c r="CM31" s="36">
        <f t="shared" si="48"/>
        <v>1947.2840612</v>
      </c>
      <c r="CN31" s="5"/>
      <c r="CO31" s="5">
        <f t="shared" si="78"/>
        <v>0</v>
      </c>
      <c r="CP31" s="36">
        <f t="shared" si="49"/>
        <v>38308.17774</v>
      </c>
      <c r="CQ31" s="36">
        <f t="shared" si="50"/>
        <v>38308.17774</v>
      </c>
      <c r="CR31" s="36">
        <f t="shared" si="51"/>
        <v>17140.971816600002</v>
      </c>
      <c r="CS31" s="5"/>
      <c r="CT31" s="36">
        <f t="shared" si="79"/>
        <v>0</v>
      </c>
      <c r="CU31" s="36">
        <f t="shared" si="52"/>
        <v>79310.86534</v>
      </c>
      <c r="CV31" s="5">
        <f t="shared" si="53"/>
        <v>79310.86534</v>
      </c>
      <c r="CW31" s="36">
        <f t="shared" si="54"/>
        <v>35487.600500600005</v>
      </c>
      <c r="CX31" s="5"/>
      <c r="CY31" s="5">
        <f t="shared" si="80"/>
        <v>0</v>
      </c>
      <c r="CZ31" s="5">
        <f t="shared" si="55"/>
        <v>3519.9915800000003</v>
      </c>
      <c r="DA31" s="5">
        <f t="shared" si="56"/>
        <v>3519.9915800000003</v>
      </c>
      <c r="DB31" s="36">
        <f t="shared" si="57"/>
        <v>1575.0181822000002</v>
      </c>
      <c r="DC31" s="5"/>
      <c r="DD31" s="36">
        <f t="shared" si="81"/>
        <v>0</v>
      </c>
      <c r="DE31" s="36">
        <f t="shared" si="58"/>
        <v>3904.4509</v>
      </c>
      <c r="DF31" s="5">
        <f t="shared" si="59"/>
        <v>3904.4509</v>
      </c>
      <c r="DG31" s="36">
        <f t="shared" si="60"/>
        <v>1747.044281</v>
      </c>
      <c r="DH31" s="5"/>
      <c r="DI31" s="36"/>
      <c r="DJ31" s="36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</row>
    <row r="32" spans="1:131" ht="12.75">
      <c r="A32" s="37">
        <v>46661</v>
      </c>
      <c r="D32" s="3">
        <v>326200</v>
      </c>
      <c r="E32" s="35">
        <f t="shared" si="0"/>
        <v>326200</v>
      </c>
      <c r="F32" s="35">
        <v>145958</v>
      </c>
      <c r="H32" s="36"/>
      <c r="I32" s="36">
        <f>'Academic Project '!I32</f>
        <v>49165.5164</v>
      </c>
      <c r="J32" s="36">
        <f t="shared" si="61"/>
        <v>49165.5164</v>
      </c>
      <c r="K32" s="36">
        <f>'Academic Project '!K32</f>
        <v>21999.081675999998</v>
      </c>
      <c r="M32" s="36"/>
      <c r="N32" s="35">
        <f t="shared" si="1"/>
        <v>277034.4836</v>
      </c>
      <c r="O32" s="5">
        <f t="shared" si="2"/>
        <v>277034.4836</v>
      </c>
      <c r="P32" s="35">
        <f t="shared" si="3"/>
        <v>123958.91832399998</v>
      </c>
      <c r="R32" s="36"/>
      <c r="S32" s="36">
        <f t="shared" si="4"/>
        <v>12503.27862</v>
      </c>
      <c r="T32" s="5">
        <f t="shared" si="5"/>
        <v>12503.27862</v>
      </c>
      <c r="U32" s="36">
        <f t="shared" si="6"/>
        <v>5594.5847358</v>
      </c>
      <c r="X32" s="36">
        <f t="shared" si="7"/>
        <v>22656.44934</v>
      </c>
      <c r="Y32" s="36">
        <f t="shared" si="8"/>
        <v>22656.44934</v>
      </c>
      <c r="Z32" s="36">
        <f t="shared" si="9"/>
        <v>10137.6150606</v>
      </c>
      <c r="AC32" s="5">
        <f t="shared" si="10"/>
        <v>18255.815619999998</v>
      </c>
      <c r="AD32" s="5">
        <f t="shared" si="11"/>
        <v>18255.815619999998</v>
      </c>
      <c r="AE32" s="36">
        <f t="shared" si="12"/>
        <v>8168.554065799999</v>
      </c>
      <c r="AH32" s="5">
        <f t="shared" si="13"/>
        <v>21695.2358</v>
      </c>
      <c r="AI32" s="5">
        <f t="shared" si="14"/>
        <v>21695.2358</v>
      </c>
      <c r="AJ32" s="36">
        <f t="shared" si="15"/>
        <v>9707.520622</v>
      </c>
      <c r="AL32" s="36"/>
      <c r="AM32" s="36">
        <f t="shared" si="16"/>
        <v>1295.86212</v>
      </c>
      <c r="AN32" s="5">
        <f t="shared" si="17"/>
        <v>1295.86212</v>
      </c>
      <c r="AO32" s="36">
        <f t="shared" si="18"/>
        <v>579.8327508</v>
      </c>
      <c r="AQ32" s="36"/>
      <c r="AR32" s="36">
        <f t="shared" si="19"/>
        <v>116.64912000000001</v>
      </c>
      <c r="AS32" s="5">
        <f t="shared" si="20"/>
        <v>116.64912000000001</v>
      </c>
      <c r="AT32" s="36">
        <f t="shared" si="21"/>
        <v>52.194580800000004</v>
      </c>
      <c r="AU32" s="5"/>
      <c r="AV32" s="36"/>
      <c r="AW32" s="36">
        <f t="shared" si="22"/>
        <v>23866.61872</v>
      </c>
      <c r="AX32" s="5">
        <f t="shared" si="23"/>
        <v>23866.61872</v>
      </c>
      <c r="AY32" s="36">
        <f t="shared" si="24"/>
        <v>10679.1046448</v>
      </c>
      <c r="AZ32" s="5"/>
      <c r="BA32" s="36"/>
      <c r="BB32" s="36">
        <f t="shared" si="25"/>
        <v>0.84812</v>
      </c>
      <c r="BC32" s="5">
        <f t="shared" si="26"/>
        <v>0.84812</v>
      </c>
      <c r="BD32" s="36">
        <f t="shared" si="27"/>
        <v>0.3794908</v>
      </c>
      <c r="BE32" s="5"/>
      <c r="BF32" s="36"/>
      <c r="BG32" s="36">
        <f t="shared" si="28"/>
        <v>30485.021</v>
      </c>
      <c r="BH32" s="5">
        <f t="shared" si="29"/>
        <v>30485.021</v>
      </c>
      <c r="BI32" s="36">
        <f t="shared" si="30"/>
        <v>13640.50489</v>
      </c>
      <c r="BJ32" s="5"/>
      <c r="BK32" s="36"/>
      <c r="BL32" s="36">
        <f t="shared" si="31"/>
        <v>71.9271</v>
      </c>
      <c r="BM32" s="5">
        <f t="shared" si="32"/>
        <v>71.9271</v>
      </c>
      <c r="BN32" s="36">
        <f t="shared" si="33"/>
        <v>32.183738999999996</v>
      </c>
      <c r="BO32" s="5"/>
      <c r="BP32" s="36"/>
      <c r="BQ32" s="36">
        <f t="shared" si="34"/>
        <v>12782.57106</v>
      </c>
      <c r="BR32" s="5">
        <f t="shared" si="35"/>
        <v>12782.57106</v>
      </c>
      <c r="BS32" s="36">
        <f t="shared" si="36"/>
        <v>5719.5539754</v>
      </c>
      <c r="BT32" s="5"/>
      <c r="BU32" s="5"/>
      <c r="BV32" s="5">
        <f t="shared" si="37"/>
        <v>64.52236</v>
      </c>
      <c r="BW32" s="5">
        <f t="shared" si="38"/>
        <v>64.52236</v>
      </c>
      <c r="BX32" s="36">
        <f t="shared" si="39"/>
        <v>28.8704924</v>
      </c>
      <c r="BY32" s="5"/>
      <c r="BZ32" s="36"/>
      <c r="CA32" s="36">
        <f t="shared" si="40"/>
        <v>2508.67372</v>
      </c>
      <c r="CB32" s="5">
        <f t="shared" si="41"/>
        <v>2508.67372</v>
      </c>
      <c r="CC32" s="36">
        <f t="shared" si="42"/>
        <v>1122.5045948</v>
      </c>
      <c r="CD32" s="5"/>
      <c r="CE32" s="36"/>
      <c r="CF32" s="36">
        <f t="shared" si="43"/>
        <v>1335.56066</v>
      </c>
      <c r="CG32" s="5">
        <f t="shared" si="44"/>
        <v>1335.56066</v>
      </c>
      <c r="CH32" s="36">
        <f t="shared" si="45"/>
        <v>597.5958394</v>
      </c>
      <c r="CI32" s="5"/>
      <c r="CJ32" s="5"/>
      <c r="CK32" s="36">
        <f t="shared" si="46"/>
        <v>4351.96468</v>
      </c>
      <c r="CL32" s="36">
        <f t="shared" si="47"/>
        <v>4351.96468</v>
      </c>
      <c r="CM32" s="36">
        <f t="shared" si="48"/>
        <v>1947.2840612</v>
      </c>
      <c r="CN32" s="5"/>
      <c r="CO32" s="5"/>
      <c r="CP32" s="36">
        <f t="shared" si="49"/>
        <v>38308.17774</v>
      </c>
      <c r="CQ32" s="36">
        <f t="shared" si="50"/>
        <v>38308.17774</v>
      </c>
      <c r="CR32" s="36">
        <f t="shared" si="51"/>
        <v>17140.971816600002</v>
      </c>
      <c r="CS32" s="5"/>
      <c r="CT32" s="36"/>
      <c r="CU32" s="36">
        <f t="shared" si="52"/>
        <v>79310.86534</v>
      </c>
      <c r="CV32" s="5">
        <f t="shared" si="53"/>
        <v>79310.86534</v>
      </c>
      <c r="CW32" s="36">
        <f t="shared" si="54"/>
        <v>35487.600500600005</v>
      </c>
      <c r="CX32" s="5"/>
      <c r="CY32" s="5"/>
      <c r="CZ32" s="5">
        <f t="shared" si="55"/>
        <v>3519.9915800000003</v>
      </c>
      <c r="DA32" s="5">
        <f t="shared" si="56"/>
        <v>3519.9915800000003</v>
      </c>
      <c r="DB32" s="36">
        <f t="shared" si="57"/>
        <v>1575.0181822000002</v>
      </c>
      <c r="DC32" s="5"/>
      <c r="DD32" s="36"/>
      <c r="DE32" s="36">
        <f t="shared" si="58"/>
        <v>3904.4509</v>
      </c>
      <c r="DF32" s="5">
        <f t="shared" si="59"/>
        <v>3904.4509</v>
      </c>
      <c r="DG32" s="36">
        <f t="shared" si="60"/>
        <v>1747.044281</v>
      </c>
      <c r="DH32" s="5"/>
      <c r="DI32" s="36"/>
      <c r="DJ32" s="36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</row>
    <row r="33" spans="1:131" ht="12.75">
      <c r="A33" s="37">
        <v>46844</v>
      </c>
      <c r="C33" s="3">
        <v>0</v>
      </c>
      <c r="D33" s="3">
        <v>326200</v>
      </c>
      <c r="E33" s="35">
        <f t="shared" si="0"/>
        <v>326200</v>
      </c>
      <c r="F33" s="35">
        <v>145958</v>
      </c>
      <c r="H33" s="36">
        <f>'Academic Project '!H33</f>
        <v>0</v>
      </c>
      <c r="I33" s="36">
        <f>'Academic Project '!I33</f>
        <v>49165.5164</v>
      </c>
      <c r="J33" s="36">
        <f t="shared" si="61"/>
        <v>49165.5164</v>
      </c>
      <c r="K33" s="36">
        <f>'Academic Project '!K33</f>
        <v>21999.081675999998</v>
      </c>
      <c r="M33" s="36">
        <f t="shared" si="62"/>
        <v>0</v>
      </c>
      <c r="N33" s="35">
        <f t="shared" si="1"/>
        <v>277034.4836</v>
      </c>
      <c r="O33" s="5">
        <f t="shared" si="2"/>
        <v>277034.4836</v>
      </c>
      <c r="P33" s="35">
        <f t="shared" si="3"/>
        <v>123958.91832399998</v>
      </c>
      <c r="R33" s="36">
        <f t="shared" si="63"/>
        <v>0</v>
      </c>
      <c r="S33" s="36">
        <f t="shared" si="4"/>
        <v>12503.27862</v>
      </c>
      <c r="T33" s="5">
        <f t="shared" si="5"/>
        <v>12503.27862</v>
      </c>
      <c r="U33" s="36">
        <f t="shared" si="6"/>
        <v>5594.5847358</v>
      </c>
      <c r="W33" s="5">
        <f t="shared" si="64"/>
        <v>0</v>
      </c>
      <c r="X33" s="36">
        <f t="shared" si="7"/>
        <v>22656.44934</v>
      </c>
      <c r="Y33" s="36">
        <f t="shared" si="8"/>
        <v>22656.44934</v>
      </c>
      <c r="Z33" s="36">
        <f t="shared" si="9"/>
        <v>10137.6150606</v>
      </c>
      <c r="AB33" s="5">
        <f t="shared" si="65"/>
        <v>0</v>
      </c>
      <c r="AC33" s="5">
        <f t="shared" si="10"/>
        <v>18255.815619999998</v>
      </c>
      <c r="AD33" s="5">
        <f t="shared" si="11"/>
        <v>18255.815619999998</v>
      </c>
      <c r="AE33" s="36">
        <f t="shared" si="12"/>
        <v>8168.554065799999</v>
      </c>
      <c r="AG33" s="5">
        <f t="shared" si="66"/>
        <v>0</v>
      </c>
      <c r="AH33" s="5">
        <f t="shared" si="13"/>
        <v>21695.2358</v>
      </c>
      <c r="AI33" s="5">
        <f t="shared" si="14"/>
        <v>21695.2358</v>
      </c>
      <c r="AJ33" s="36">
        <f t="shared" si="15"/>
        <v>9707.520622</v>
      </c>
      <c r="AL33" s="36">
        <f t="shared" si="67"/>
        <v>0</v>
      </c>
      <c r="AM33" s="36">
        <f t="shared" si="16"/>
        <v>1295.86212</v>
      </c>
      <c r="AN33" s="5">
        <f t="shared" si="17"/>
        <v>1295.86212</v>
      </c>
      <c r="AO33" s="36">
        <f t="shared" si="18"/>
        <v>579.8327508</v>
      </c>
      <c r="AQ33" s="36">
        <f t="shared" si="68"/>
        <v>0</v>
      </c>
      <c r="AR33" s="36">
        <f t="shared" si="19"/>
        <v>116.64912000000001</v>
      </c>
      <c r="AS33" s="5">
        <f t="shared" si="20"/>
        <v>116.64912000000001</v>
      </c>
      <c r="AT33" s="36">
        <f t="shared" si="21"/>
        <v>52.194580800000004</v>
      </c>
      <c r="AU33" s="5"/>
      <c r="AV33" s="36">
        <f t="shared" si="69"/>
        <v>0</v>
      </c>
      <c r="AW33" s="36">
        <f t="shared" si="22"/>
        <v>23866.61872</v>
      </c>
      <c r="AX33" s="5">
        <f t="shared" si="23"/>
        <v>23866.61872</v>
      </c>
      <c r="AY33" s="36">
        <f t="shared" si="24"/>
        <v>10679.1046448</v>
      </c>
      <c r="AZ33" s="5"/>
      <c r="BA33" s="36">
        <f t="shared" si="70"/>
        <v>0</v>
      </c>
      <c r="BB33" s="36">
        <f t="shared" si="25"/>
        <v>0.84812</v>
      </c>
      <c r="BC33" s="5">
        <f t="shared" si="26"/>
        <v>0.84812</v>
      </c>
      <c r="BD33" s="36">
        <f t="shared" si="27"/>
        <v>0.3794908</v>
      </c>
      <c r="BE33" s="5"/>
      <c r="BF33" s="36">
        <f t="shared" si="71"/>
        <v>0</v>
      </c>
      <c r="BG33" s="36">
        <f t="shared" si="28"/>
        <v>30485.021</v>
      </c>
      <c r="BH33" s="5">
        <f t="shared" si="29"/>
        <v>30485.021</v>
      </c>
      <c r="BI33" s="36">
        <f t="shared" si="30"/>
        <v>13640.50489</v>
      </c>
      <c r="BJ33" s="5"/>
      <c r="BK33" s="36">
        <f t="shared" si="72"/>
        <v>0</v>
      </c>
      <c r="BL33" s="36">
        <f t="shared" si="31"/>
        <v>71.9271</v>
      </c>
      <c r="BM33" s="5">
        <f t="shared" si="32"/>
        <v>71.9271</v>
      </c>
      <c r="BN33" s="36">
        <f t="shared" si="33"/>
        <v>32.183738999999996</v>
      </c>
      <c r="BO33" s="5"/>
      <c r="BP33" s="36">
        <f t="shared" si="73"/>
        <v>0</v>
      </c>
      <c r="BQ33" s="36">
        <f t="shared" si="34"/>
        <v>12782.57106</v>
      </c>
      <c r="BR33" s="5">
        <f t="shared" si="35"/>
        <v>12782.57106</v>
      </c>
      <c r="BS33" s="36">
        <f t="shared" si="36"/>
        <v>5719.5539754</v>
      </c>
      <c r="BT33" s="5"/>
      <c r="BU33" s="5">
        <f t="shared" si="74"/>
        <v>0</v>
      </c>
      <c r="BV33" s="5">
        <f t="shared" si="37"/>
        <v>64.52236</v>
      </c>
      <c r="BW33" s="5">
        <f t="shared" si="38"/>
        <v>64.52236</v>
      </c>
      <c r="BX33" s="36">
        <f t="shared" si="39"/>
        <v>28.8704924</v>
      </c>
      <c r="BY33" s="5"/>
      <c r="BZ33" s="36">
        <f t="shared" si="75"/>
        <v>0</v>
      </c>
      <c r="CA33" s="36">
        <f t="shared" si="40"/>
        <v>2508.67372</v>
      </c>
      <c r="CB33" s="5">
        <f t="shared" si="41"/>
        <v>2508.67372</v>
      </c>
      <c r="CC33" s="36">
        <f t="shared" si="42"/>
        <v>1122.5045948</v>
      </c>
      <c r="CD33" s="5"/>
      <c r="CE33" s="36">
        <f t="shared" si="76"/>
        <v>0</v>
      </c>
      <c r="CF33" s="36">
        <f t="shared" si="43"/>
        <v>1335.56066</v>
      </c>
      <c r="CG33" s="5">
        <f t="shared" si="44"/>
        <v>1335.56066</v>
      </c>
      <c r="CH33" s="36">
        <f t="shared" si="45"/>
        <v>597.5958394</v>
      </c>
      <c r="CI33" s="5"/>
      <c r="CJ33" s="5">
        <f t="shared" si="77"/>
        <v>0</v>
      </c>
      <c r="CK33" s="36">
        <f t="shared" si="46"/>
        <v>4351.96468</v>
      </c>
      <c r="CL33" s="36">
        <f t="shared" si="47"/>
        <v>4351.96468</v>
      </c>
      <c r="CM33" s="36">
        <f t="shared" si="48"/>
        <v>1947.2840612</v>
      </c>
      <c r="CN33" s="5"/>
      <c r="CO33" s="5">
        <f t="shared" si="78"/>
        <v>0</v>
      </c>
      <c r="CP33" s="36">
        <f t="shared" si="49"/>
        <v>38308.17774</v>
      </c>
      <c r="CQ33" s="36">
        <f t="shared" si="50"/>
        <v>38308.17774</v>
      </c>
      <c r="CR33" s="36">
        <f t="shared" si="51"/>
        <v>17140.971816600002</v>
      </c>
      <c r="CS33" s="5"/>
      <c r="CT33" s="36">
        <f t="shared" si="79"/>
        <v>0</v>
      </c>
      <c r="CU33" s="36">
        <f t="shared" si="52"/>
        <v>79310.86534</v>
      </c>
      <c r="CV33" s="5">
        <f t="shared" si="53"/>
        <v>79310.86534</v>
      </c>
      <c r="CW33" s="36">
        <f t="shared" si="54"/>
        <v>35487.600500600005</v>
      </c>
      <c r="CX33" s="5"/>
      <c r="CY33" s="5">
        <f t="shared" si="80"/>
        <v>0</v>
      </c>
      <c r="CZ33" s="5">
        <f t="shared" si="55"/>
        <v>3519.9915800000003</v>
      </c>
      <c r="DA33" s="5">
        <f t="shared" si="56"/>
        <v>3519.9915800000003</v>
      </c>
      <c r="DB33" s="36">
        <f t="shared" si="57"/>
        <v>1575.0181822000002</v>
      </c>
      <c r="DC33" s="5"/>
      <c r="DD33" s="36">
        <f t="shared" si="81"/>
        <v>0</v>
      </c>
      <c r="DE33" s="36">
        <f t="shared" si="58"/>
        <v>3904.4509</v>
      </c>
      <c r="DF33" s="5">
        <f t="shared" si="59"/>
        <v>3904.4509</v>
      </c>
      <c r="DG33" s="36">
        <f t="shared" si="60"/>
        <v>1747.044281</v>
      </c>
      <c r="DH33" s="5"/>
      <c r="DI33" s="36"/>
      <c r="DJ33" s="36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</row>
    <row r="34" spans="1:131" ht="12.75">
      <c r="A34" s="37">
        <v>47027</v>
      </c>
      <c r="D34" s="3">
        <v>326200</v>
      </c>
      <c r="E34" s="35">
        <f t="shared" si="0"/>
        <v>326200</v>
      </c>
      <c r="F34" s="35">
        <v>145958</v>
      </c>
      <c r="H34" s="36"/>
      <c r="I34" s="36">
        <f>'Academic Project '!I34</f>
        <v>49165.5164</v>
      </c>
      <c r="J34" s="36">
        <f t="shared" si="61"/>
        <v>49165.5164</v>
      </c>
      <c r="K34" s="36">
        <f>'Academic Project '!K34</f>
        <v>21999.081675999998</v>
      </c>
      <c r="M34" s="36"/>
      <c r="N34" s="35">
        <f t="shared" si="1"/>
        <v>277034.4836</v>
      </c>
      <c r="O34" s="5">
        <f t="shared" si="2"/>
        <v>277034.4836</v>
      </c>
      <c r="P34" s="35">
        <f t="shared" si="3"/>
        <v>123958.91832399998</v>
      </c>
      <c r="R34" s="36"/>
      <c r="S34" s="36">
        <f t="shared" si="4"/>
        <v>12503.27862</v>
      </c>
      <c r="T34" s="5">
        <f t="shared" si="5"/>
        <v>12503.27862</v>
      </c>
      <c r="U34" s="36">
        <f t="shared" si="6"/>
        <v>5594.5847358</v>
      </c>
      <c r="X34" s="36">
        <f t="shared" si="7"/>
        <v>22656.44934</v>
      </c>
      <c r="Y34" s="36">
        <f t="shared" si="8"/>
        <v>22656.44934</v>
      </c>
      <c r="Z34" s="36">
        <f t="shared" si="9"/>
        <v>10137.6150606</v>
      </c>
      <c r="AC34" s="5">
        <f t="shared" si="10"/>
        <v>18255.815619999998</v>
      </c>
      <c r="AD34" s="5">
        <f t="shared" si="11"/>
        <v>18255.815619999998</v>
      </c>
      <c r="AE34" s="36">
        <f t="shared" si="12"/>
        <v>8168.554065799999</v>
      </c>
      <c r="AH34" s="5">
        <f t="shared" si="13"/>
        <v>21695.2358</v>
      </c>
      <c r="AI34" s="5">
        <f t="shared" si="14"/>
        <v>21695.2358</v>
      </c>
      <c r="AJ34" s="36">
        <f t="shared" si="15"/>
        <v>9707.520622</v>
      </c>
      <c r="AL34" s="36"/>
      <c r="AM34" s="36">
        <f t="shared" si="16"/>
        <v>1295.86212</v>
      </c>
      <c r="AN34" s="5">
        <f t="shared" si="17"/>
        <v>1295.86212</v>
      </c>
      <c r="AO34" s="36">
        <f t="shared" si="18"/>
        <v>579.8327508</v>
      </c>
      <c r="AQ34" s="36"/>
      <c r="AR34" s="36">
        <f t="shared" si="19"/>
        <v>116.64912000000001</v>
      </c>
      <c r="AS34" s="5">
        <f t="shared" si="20"/>
        <v>116.64912000000001</v>
      </c>
      <c r="AT34" s="36">
        <f t="shared" si="21"/>
        <v>52.194580800000004</v>
      </c>
      <c r="AU34" s="5"/>
      <c r="AV34" s="36"/>
      <c r="AW34" s="36">
        <f t="shared" si="22"/>
        <v>23866.61872</v>
      </c>
      <c r="AX34" s="5">
        <f t="shared" si="23"/>
        <v>23866.61872</v>
      </c>
      <c r="AY34" s="36">
        <f t="shared" si="24"/>
        <v>10679.1046448</v>
      </c>
      <c r="AZ34" s="5"/>
      <c r="BA34" s="36"/>
      <c r="BB34" s="36">
        <f t="shared" si="25"/>
        <v>0.84812</v>
      </c>
      <c r="BC34" s="5">
        <f t="shared" si="26"/>
        <v>0.84812</v>
      </c>
      <c r="BD34" s="36">
        <f t="shared" si="27"/>
        <v>0.3794908</v>
      </c>
      <c r="BE34" s="5"/>
      <c r="BF34" s="36"/>
      <c r="BG34" s="36">
        <f t="shared" si="28"/>
        <v>30485.021</v>
      </c>
      <c r="BH34" s="5">
        <f t="shared" si="29"/>
        <v>30485.021</v>
      </c>
      <c r="BI34" s="36">
        <f t="shared" si="30"/>
        <v>13640.50489</v>
      </c>
      <c r="BJ34" s="5"/>
      <c r="BK34" s="36"/>
      <c r="BL34" s="36">
        <f t="shared" si="31"/>
        <v>71.9271</v>
      </c>
      <c r="BM34" s="5">
        <f t="shared" si="32"/>
        <v>71.9271</v>
      </c>
      <c r="BN34" s="36">
        <f t="shared" si="33"/>
        <v>32.183738999999996</v>
      </c>
      <c r="BO34" s="5"/>
      <c r="BP34" s="36"/>
      <c r="BQ34" s="36">
        <f t="shared" si="34"/>
        <v>12782.57106</v>
      </c>
      <c r="BR34" s="5">
        <f t="shared" si="35"/>
        <v>12782.57106</v>
      </c>
      <c r="BS34" s="36">
        <f t="shared" si="36"/>
        <v>5719.5539754</v>
      </c>
      <c r="BT34" s="5"/>
      <c r="BU34" s="5"/>
      <c r="BV34" s="5">
        <f t="shared" si="37"/>
        <v>64.52236</v>
      </c>
      <c r="BW34" s="5">
        <f t="shared" si="38"/>
        <v>64.52236</v>
      </c>
      <c r="BX34" s="36">
        <f t="shared" si="39"/>
        <v>28.8704924</v>
      </c>
      <c r="BY34" s="5"/>
      <c r="BZ34" s="36"/>
      <c r="CA34" s="36">
        <f t="shared" si="40"/>
        <v>2508.67372</v>
      </c>
      <c r="CB34" s="5">
        <f t="shared" si="41"/>
        <v>2508.67372</v>
      </c>
      <c r="CC34" s="36">
        <f t="shared" si="42"/>
        <v>1122.5045948</v>
      </c>
      <c r="CD34" s="5"/>
      <c r="CE34" s="36"/>
      <c r="CF34" s="36">
        <f t="shared" si="43"/>
        <v>1335.56066</v>
      </c>
      <c r="CG34" s="5">
        <f t="shared" si="44"/>
        <v>1335.56066</v>
      </c>
      <c r="CH34" s="36">
        <f t="shared" si="45"/>
        <v>597.5958394</v>
      </c>
      <c r="CI34" s="5"/>
      <c r="CJ34" s="5"/>
      <c r="CK34" s="36">
        <f t="shared" si="46"/>
        <v>4351.96468</v>
      </c>
      <c r="CL34" s="36">
        <f t="shared" si="47"/>
        <v>4351.96468</v>
      </c>
      <c r="CM34" s="36">
        <f t="shared" si="48"/>
        <v>1947.2840612</v>
      </c>
      <c r="CN34" s="5"/>
      <c r="CO34" s="5"/>
      <c r="CP34" s="36">
        <f t="shared" si="49"/>
        <v>38308.17774</v>
      </c>
      <c r="CQ34" s="36">
        <f t="shared" si="50"/>
        <v>38308.17774</v>
      </c>
      <c r="CR34" s="36">
        <f t="shared" si="51"/>
        <v>17140.971816600002</v>
      </c>
      <c r="CS34" s="5"/>
      <c r="CT34" s="36"/>
      <c r="CU34" s="36">
        <f t="shared" si="52"/>
        <v>79310.86534</v>
      </c>
      <c r="CV34" s="5">
        <f t="shared" si="53"/>
        <v>79310.86534</v>
      </c>
      <c r="CW34" s="36">
        <f t="shared" si="54"/>
        <v>35487.600500600005</v>
      </c>
      <c r="CX34" s="5"/>
      <c r="CY34" s="5"/>
      <c r="CZ34" s="5">
        <f t="shared" si="55"/>
        <v>3519.9915800000003</v>
      </c>
      <c r="DA34" s="5">
        <f t="shared" si="56"/>
        <v>3519.9915800000003</v>
      </c>
      <c r="DB34" s="36">
        <f t="shared" si="57"/>
        <v>1575.0181822000002</v>
      </c>
      <c r="DC34" s="5"/>
      <c r="DD34" s="36"/>
      <c r="DE34" s="36">
        <f t="shared" si="58"/>
        <v>3904.4509</v>
      </c>
      <c r="DF34" s="5">
        <f t="shared" si="59"/>
        <v>3904.4509</v>
      </c>
      <c r="DG34" s="36">
        <f t="shared" si="60"/>
        <v>1747.044281</v>
      </c>
      <c r="DH34" s="5"/>
      <c r="DI34" s="36"/>
      <c r="DJ34" s="36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</row>
    <row r="35" spans="1:131" ht="12.75">
      <c r="A35" s="37">
        <v>47209</v>
      </c>
      <c r="C35" s="3">
        <v>7795000</v>
      </c>
      <c r="D35" s="3">
        <v>326200</v>
      </c>
      <c r="E35" s="35">
        <f t="shared" si="0"/>
        <v>8121200</v>
      </c>
      <c r="F35" s="35">
        <v>145958</v>
      </c>
      <c r="H35" s="36">
        <f>'Academic Project '!H35</f>
        <v>1174877.99</v>
      </c>
      <c r="I35" s="36">
        <f>'Academic Project '!I35</f>
        <v>49165.5164</v>
      </c>
      <c r="J35" s="36">
        <f t="shared" si="61"/>
        <v>1224043.5064</v>
      </c>
      <c r="K35" s="36">
        <f>'Academic Project '!K35</f>
        <v>21999.081675999998</v>
      </c>
      <c r="M35" s="36">
        <f t="shared" si="62"/>
        <v>6620122.01</v>
      </c>
      <c r="N35" s="35">
        <f t="shared" si="1"/>
        <v>277034.4836</v>
      </c>
      <c r="O35" s="5">
        <f t="shared" si="2"/>
        <v>6897156.4936</v>
      </c>
      <c r="P35" s="35">
        <f t="shared" si="3"/>
        <v>123958.91832399998</v>
      </c>
      <c r="R35" s="36">
        <f t="shared" si="63"/>
        <v>298783.1295</v>
      </c>
      <c r="S35" s="36">
        <f t="shared" si="4"/>
        <v>12503.27862</v>
      </c>
      <c r="T35" s="5">
        <f t="shared" si="5"/>
        <v>311286.40812</v>
      </c>
      <c r="U35" s="36">
        <f t="shared" si="6"/>
        <v>5594.5847358</v>
      </c>
      <c r="W35" s="5">
        <f t="shared" si="64"/>
        <v>541407.1815</v>
      </c>
      <c r="X35" s="36">
        <f t="shared" si="7"/>
        <v>22656.44934</v>
      </c>
      <c r="Y35" s="36">
        <f t="shared" si="8"/>
        <v>564063.63084</v>
      </c>
      <c r="Z35" s="36">
        <f t="shared" si="9"/>
        <v>10137.6150606</v>
      </c>
      <c r="AB35" s="5">
        <f t="shared" si="65"/>
        <v>436247.9545</v>
      </c>
      <c r="AC35" s="5">
        <f t="shared" si="10"/>
        <v>18255.815619999998</v>
      </c>
      <c r="AD35" s="5">
        <f t="shared" si="11"/>
        <v>454503.77012</v>
      </c>
      <c r="AE35" s="36">
        <f t="shared" si="12"/>
        <v>8168.554065799999</v>
      </c>
      <c r="AG35" s="5">
        <f t="shared" si="66"/>
        <v>518437.65499999997</v>
      </c>
      <c r="AH35" s="5">
        <f t="shared" si="13"/>
        <v>21695.2358</v>
      </c>
      <c r="AI35" s="5">
        <f t="shared" si="14"/>
        <v>540132.8907999999</v>
      </c>
      <c r="AJ35" s="36">
        <f t="shared" si="15"/>
        <v>9707.520622</v>
      </c>
      <c r="AL35" s="36">
        <f t="shared" si="67"/>
        <v>30966.416999999998</v>
      </c>
      <c r="AM35" s="36">
        <f t="shared" si="16"/>
        <v>1295.86212</v>
      </c>
      <c r="AN35" s="5">
        <f t="shared" si="17"/>
        <v>32262.27912</v>
      </c>
      <c r="AO35" s="36">
        <f t="shared" si="18"/>
        <v>579.8327508</v>
      </c>
      <c r="AQ35" s="36">
        <f t="shared" si="68"/>
        <v>2787.492</v>
      </c>
      <c r="AR35" s="36">
        <f t="shared" si="19"/>
        <v>116.64912000000001</v>
      </c>
      <c r="AS35" s="5">
        <f t="shared" si="20"/>
        <v>2904.1411200000002</v>
      </c>
      <c r="AT35" s="36">
        <f t="shared" si="21"/>
        <v>52.194580800000004</v>
      </c>
      <c r="AU35" s="5"/>
      <c r="AV35" s="36">
        <f t="shared" si="69"/>
        <v>570325.852</v>
      </c>
      <c r="AW35" s="36">
        <f t="shared" si="22"/>
        <v>23866.61872</v>
      </c>
      <c r="AX35" s="5">
        <f t="shared" si="23"/>
        <v>594192.47072</v>
      </c>
      <c r="AY35" s="36">
        <f t="shared" si="24"/>
        <v>10679.1046448</v>
      </c>
      <c r="AZ35" s="5"/>
      <c r="BA35" s="36">
        <f t="shared" si="70"/>
        <v>20.267</v>
      </c>
      <c r="BB35" s="36">
        <f t="shared" si="25"/>
        <v>0.84812</v>
      </c>
      <c r="BC35" s="5">
        <f t="shared" si="26"/>
        <v>21.11512</v>
      </c>
      <c r="BD35" s="36">
        <f t="shared" si="27"/>
        <v>0.3794908</v>
      </c>
      <c r="BE35" s="5"/>
      <c r="BF35" s="36">
        <f t="shared" si="71"/>
        <v>728481.725</v>
      </c>
      <c r="BG35" s="36">
        <f t="shared" si="28"/>
        <v>30485.021</v>
      </c>
      <c r="BH35" s="5">
        <f t="shared" si="29"/>
        <v>758966.7459999999</v>
      </c>
      <c r="BI35" s="36">
        <f t="shared" si="30"/>
        <v>13640.50489</v>
      </c>
      <c r="BJ35" s="5"/>
      <c r="BK35" s="36">
        <f t="shared" si="72"/>
        <v>1718.7975</v>
      </c>
      <c r="BL35" s="36">
        <f t="shared" si="31"/>
        <v>71.9271</v>
      </c>
      <c r="BM35" s="5">
        <f t="shared" si="32"/>
        <v>1790.7246</v>
      </c>
      <c r="BN35" s="36">
        <f t="shared" si="33"/>
        <v>32.183738999999996</v>
      </c>
      <c r="BO35" s="5"/>
      <c r="BP35" s="36">
        <f t="shared" si="73"/>
        <v>305457.2085</v>
      </c>
      <c r="BQ35" s="36">
        <f t="shared" si="34"/>
        <v>12782.57106</v>
      </c>
      <c r="BR35" s="5">
        <f t="shared" si="35"/>
        <v>318239.77956</v>
      </c>
      <c r="BS35" s="36">
        <f t="shared" si="36"/>
        <v>5719.5539754</v>
      </c>
      <c r="BT35" s="5"/>
      <c r="BU35" s="5">
        <f t="shared" si="74"/>
        <v>1541.851</v>
      </c>
      <c r="BV35" s="5">
        <f t="shared" si="37"/>
        <v>64.52236</v>
      </c>
      <c r="BW35" s="5">
        <f t="shared" si="38"/>
        <v>1606.37336</v>
      </c>
      <c r="BX35" s="36">
        <f t="shared" si="39"/>
        <v>28.8704924</v>
      </c>
      <c r="BY35" s="5"/>
      <c r="BZ35" s="36">
        <f t="shared" si="75"/>
        <v>59948.227</v>
      </c>
      <c r="CA35" s="36">
        <f t="shared" si="40"/>
        <v>2508.67372</v>
      </c>
      <c r="CB35" s="5">
        <f t="shared" si="41"/>
        <v>62456.90072</v>
      </c>
      <c r="CC35" s="36">
        <f t="shared" si="42"/>
        <v>1122.5045948</v>
      </c>
      <c r="CD35" s="5"/>
      <c r="CE35" s="36">
        <f t="shared" si="76"/>
        <v>31915.0685</v>
      </c>
      <c r="CF35" s="36">
        <f t="shared" si="43"/>
        <v>1335.56066</v>
      </c>
      <c r="CG35" s="5">
        <f t="shared" si="44"/>
        <v>33250.629160000004</v>
      </c>
      <c r="CH35" s="36">
        <f t="shared" si="45"/>
        <v>597.5958394</v>
      </c>
      <c r="CI35" s="5"/>
      <c r="CJ35" s="5">
        <f t="shared" si="77"/>
        <v>103996.213</v>
      </c>
      <c r="CK35" s="36">
        <f t="shared" si="46"/>
        <v>4351.96468</v>
      </c>
      <c r="CL35" s="36">
        <f t="shared" si="47"/>
        <v>108348.17768000001</v>
      </c>
      <c r="CM35" s="36">
        <f t="shared" si="48"/>
        <v>1947.2840612</v>
      </c>
      <c r="CN35" s="5"/>
      <c r="CO35" s="5">
        <f t="shared" si="78"/>
        <v>915426.8715</v>
      </c>
      <c r="CP35" s="36">
        <f t="shared" si="49"/>
        <v>38308.17774</v>
      </c>
      <c r="CQ35" s="36">
        <f t="shared" si="50"/>
        <v>953735.04924</v>
      </c>
      <c r="CR35" s="36">
        <f t="shared" si="51"/>
        <v>17140.971816600002</v>
      </c>
      <c r="CS35" s="5"/>
      <c r="CT35" s="36">
        <f t="shared" si="79"/>
        <v>1895242.7815</v>
      </c>
      <c r="CU35" s="36">
        <f t="shared" si="52"/>
        <v>79310.86534</v>
      </c>
      <c r="CV35" s="5">
        <f t="shared" si="53"/>
        <v>1974553.64684</v>
      </c>
      <c r="CW35" s="36">
        <f t="shared" si="54"/>
        <v>35487.600500600005</v>
      </c>
      <c r="CX35" s="5"/>
      <c r="CY35" s="5">
        <f t="shared" si="80"/>
        <v>84115.06550000001</v>
      </c>
      <c r="CZ35" s="5">
        <f t="shared" si="55"/>
        <v>3519.9915800000003</v>
      </c>
      <c r="DA35" s="5">
        <f t="shared" si="56"/>
        <v>87635.05708000001</v>
      </c>
      <c r="DB35" s="36">
        <f t="shared" si="57"/>
        <v>1575.0181822000002</v>
      </c>
      <c r="DC35" s="5"/>
      <c r="DD35" s="36">
        <f t="shared" si="81"/>
        <v>93302.25249999999</v>
      </c>
      <c r="DE35" s="36">
        <f t="shared" si="58"/>
        <v>3904.4509</v>
      </c>
      <c r="DF35" s="5">
        <f t="shared" si="59"/>
        <v>97206.70339999998</v>
      </c>
      <c r="DG35" s="36">
        <f t="shared" si="60"/>
        <v>1747.044281</v>
      </c>
      <c r="DH35" s="5"/>
      <c r="DI35" s="36"/>
      <c r="DJ35" s="36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</row>
    <row r="36" spans="1:131" ht="12.75">
      <c r="A36" s="37">
        <v>47392</v>
      </c>
      <c r="D36" s="3">
        <v>170300</v>
      </c>
      <c r="E36" s="35">
        <f t="shared" si="0"/>
        <v>170300</v>
      </c>
      <c r="F36" s="35">
        <v>145958</v>
      </c>
      <c r="H36" s="36"/>
      <c r="I36" s="36">
        <f>'Academic Project '!I36</f>
        <v>25667.956599999998</v>
      </c>
      <c r="J36" s="36">
        <f t="shared" si="61"/>
        <v>25667.956599999998</v>
      </c>
      <c r="K36" s="36">
        <f>'Academic Project '!K36</f>
        <v>21999.081675999998</v>
      </c>
      <c r="M36" s="36"/>
      <c r="N36" s="35">
        <f t="shared" si="1"/>
        <v>144632.0434</v>
      </c>
      <c r="O36" s="5">
        <f t="shared" si="2"/>
        <v>144632.0434</v>
      </c>
      <c r="P36" s="35">
        <f t="shared" si="3"/>
        <v>123958.91832399998</v>
      </c>
      <c r="R36" s="36"/>
      <c r="S36" s="36">
        <f t="shared" si="4"/>
        <v>6527.61603</v>
      </c>
      <c r="T36" s="5">
        <f t="shared" si="5"/>
        <v>6527.61603</v>
      </c>
      <c r="U36" s="36">
        <f t="shared" si="6"/>
        <v>5594.5847358</v>
      </c>
      <c r="X36" s="36">
        <f t="shared" si="7"/>
        <v>11828.305709999999</v>
      </c>
      <c r="Y36" s="36">
        <f t="shared" si="8"/>
        <v>11828.305709999999</v>
      </c>
      <c r="Z36" s="36">
        <f t="shared" si="9"/>
        <v>10137.6150606</v>
      </c>
      <c r="AC36" s="5">
        <f t="shared" si="10"/>
        <v>9530.85653</v>
      </c>
      <c r="AD36" s="5">
        <f t="shared" si="11"/>
        <v>9530.85653</v>
      </c>
      <c r="AE36" s="36">
        <f t="shared" si="12"/>
        <v>8168.554065799999</v>
      </c>
      <c r="AH36" s="5">
        <f t="shared" si="13"/>
        <v>11326.4827</v>
      </c>
      <c r="AI36" s="5">
        <f t="shared" si="14"/>
        <v>11326.4827</v>
      </c>
      <c r="AJ36" s="36">
        <f t="shared" si="15"/>
        <v>9707.520622</v>
      </c>
      <c r="AL36" s="36"/>
      <c r="AM36" s="36">
        <f t="shared" si="16"/>
        <v>676.53378</v>
      </c>
      <c r="AN36" s="5">
        <f t="shared" si="17"/>
        <v>676.53378</v>
      </c>
      <c r="AO36" s="36">
        <f t="shared" si="18"/>
        <v>579.8327508</v>
      </c>
      <c r="AQ36" s="36"/>
      <c r="AR36" s="36">
        <f t="shared" si="19"/>
        <v>60.899280000000005</v>
      </c>
      <c r="AS36" s="5">
        <f t="shared" si="20"/>
        <v>60.899280000000005</v>
      </c>
      <c r="AT36" s="36">
        <f t="shared" si="21"/>
        <v>52.194580800000004</v>
      </c>
      <c r="AU36" s="5"/>
      <c r="AV36" s="36"/>
      <c r="AW36" s="36">
        <f t="shared" si="22"/>
        <v>12460.10168</v>
      </c>
      <c r="AX36" s="5">
        <f t="shared" si="23"/>
        <v>12460.10168</v>
      </c>
      <c r="AY36" s="36">
        <f t="shared" si="24"/>
        <v>10679.1046448</v>
      </c>
      <c r="AZ36" s="5"/>
      <c r="BA36" s="36"/>
      <c r="BB36" s="36">
        <f t="shared" si="25"/>
        <v>0.44278</v>
      </c>
      <c r="BC36" s="5">
        <f t="shared" si="26"/>
        <v>0.44278</v>
      </c>
      <c r="BD36" s="36">
        <f t="shared" si="27"/>
        <v>0.3794908</v>
      </c>
      <c r="BE36" s="5"/>
      <c r="BF36" s="36"/>
      <c r="BG36" s="36">
        <f t="shared" si="28"/>
        <v>15915.386499999999</v>
      </c>
      <c r="BH36" s="5">
        <f t="shared" si="29"/>
        <v>15915.386499999999</v>
      </c>
      <c r="BI36" s="36">
        <f t="shared" si="30"/>
        <v>13640.50489</v>
      </c>
      <c r="BJ36" s="5"/>
      <c r="BK36" s="36"/>
      <c r="BL36" s="36">
        <f t="shared" si="31"/>
        <v>37.55115</v>
      </c>
      <c r="BM36" s="5">
        <f t="shared" si="32"/>
        <v>37.55115</v>
      </c>
      <c r="BN36" s="36">
        <f t="shared" si="33"/>
        <v>32.183738999999996</v>
      </c>
      <c r="BO36" s="5"/>
      <c r="BP36" s="36"/>
      <c r="BQ36" s="36">
        <f t="shared" si="34"/>
        <v>6673.42689</v>
      </c>
      <c r="BR36" s="5">
        <f t="shared" si="35"/>
        <v>6673.42689</v>
      </c>
      <c r="BS36" s="36">
        <f t="shared" si="36"/>
        <v>5719.5539754</v>
      </c>
      <c r="BT36" s="5"/>
      <c r="BU36" s="5"/>
      <c r="BV36" s="5">
        <f t="shared" si="37"/>
        <v>33.685340000000004</v>
      </c>
      <c r="BW36" s="5">
        <f t="shared" si="38"/>
        <v>33.685340000000004</v>
      </c>
      <c r="BX36" s="36">
        <f t="shared" si="39"/>
        <v>28.8704924</v>
      </c>
      <c r="BY36" s="5"/>
      <c r="BZ36" s="36"/>
      <c r="CA36" s="36">
        <f t="shared" si="40"/>
        <v>1309.70918</v>
      </c>
      <c r="CB36" s="5">
        <f t="shared" si="41"/>
        <v>1309.70918</v>
      </c>
      <c r="CC36" s="36">
        <f t="shared" si="42"/>
        <v>1122.5045948</v>
      </c>
      <c r="CD36" s="5"/>
      <c r="CE36" s="36"/>
      <c r="CF36" s="36">
        <f t="shared" si="43"/>
        <v>697.2592900000001</v>
      </c>
      <c r="CG36" s="5">
        <f t="shared" si="44"/>
        <v>697.2592900000001</v>
      </c>
      <c r="CH36" s="36">
        <f t="shared" si="45"/>
        <v>597.5958394</v>
      </c>
      <c r="CI36" s="5"/>
      <c r="CJ36" s="5"/>
      <c r="CK36" s="36">
        <f t="shared" si="46"/>
        <v>2272.04042</v>
      </c>
      <c r="CL36" s="36">
        <f t="shared" si="47"/>
        <v>2272.04042</v>
      </c>
      <c r="CM36" s="36">
        <f t="shared" si="48"/>
        <v>1947.2840612</v>
      </c>
      <c r="CN36" s="5"/>
      <c r="CO36" s="5"/>
      <c r="CP36" s="36">
        <f t="shared" si="49"/>
        <v>19999.640310000003</v>
      </c>
      <c r="CQ36" s="36">
        <f t="shared" si="50"/>
        <v>19999.640310000003</v>
      </c>
      <c r="CR36" s="36">
        <f t="shared" si="51"/>
        <v>17140.971816600002</v>
      </c>
      <c r="CS36" s="5"/>
      <c r="CT36" s="36"/>
      <c r="CU36" s="36">
        <f t="shared" si="52"/>
        <v>41406.00971</v>
      </c>
      <c r="CV36" s="5">
        <f t="shared" si="53"/>
        <v>41406.00971</v>
      </c>
      <c r="CW36" s="36">
        <f t="shared" si="54"/>
        <v>35487.600500600005</v>
      </c>
      <c r="CX36" s="5"/>
      <c r="CY36" s="5"/>
      <c r="CZ36" s="5">
        <f t="shared" si="55"/>
        <v>1837.69027</v>
      </c>
      <c r="DA36" s="5">
        <f t="shared" si="56"/>
        <v>1837.69027</v>
      </c>
      <c r="DB36" s="36">
        <f t="shared" si="57"/>
        <v>1575.0181822000002</v>
      </c>
      <c r="DC36" s="5"/>
      <c r="DD36" s="36"/>
      <c r="DE36" s="36">
        <f t="shared" si="58"/>
        <v>2038.4058499999999</v>
      </c>
      <c r="DF36" s="5">
        <f t="shared" si="59"/>
        <v>2038.4058499999999</v>
      </c>
      <c r="DG36" s="36">
        <f t="shared" si="60"/>
        <v>1747.044281</v>
      </c>
      <c r="DH36" s="5"/>
      <c r="DI36" s="36"/>
      <c r="DJ36" s="36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</row>
    <row r="37" spans="1:131" ht="12.75">
      <c r="A37" s="37">
        <v>11049</v>
      </c>
      <c r="C37" s="3">
        <v>0</v>
      </c>
      <c r="D37" s="3">
        <v>170300</v>
      </c>
      <c r="E37" s="35">
        <f t="shared" si="0"/>
        <v>170300</v>
      </c>
      <c r="F37" s="35">
        <v>145958</v>
      </c>
      <c r="H37" s="36">
        <f>'Academic Project '!H37</f>
        <v>0</v>
      </c>
      <c r="I37" s="36">
        <f>'Academic Project '!I37</f>
        <v>25667.956599999998</v>
      </c>
      <c r="J37" s="36">
        <f t="shared" si="61"/>
        <v>25667.956599999998</v>
      </c>
      <c r="K37" s="36">
        <f>'Academic Project '!K37</f>
        <v>21999.081675999998</v>
      </c>
      <c r="M37" s="36">
        <f t="shared" si="62"/>
        <v>0</v>
      </c>
      <c r="N37" s="35">
        <f t="shared" si="1"/>
        <v>144632.0434</v>
      </c>
      <c r="O37" s="5">
        <f t="shared" si="2"/>
        <v>144632.0434</v>
      </c>
      <c r="P37" s="35">
        <f t="shared" si="3"/>
        <v>123958.91832399998</v>
      </c>
      <c r="R37" s="36">
        <f t="shared" si="63"/>
        <v>0</v>
      </c>
      <c r="S37" s="36">
        <f t="shared" si="4"/>
        <v>6527.61603</v>
      </c>
      <c r="T37" s="5">
        <f t="shared" si="5"/>
        <v>6527.61603</v>
      </c>
      <c r="U37" s="36">
        <f t="shared" si="6"/>
        <v>5594.5847358</v>
      </c>
      <c r="W37" s="5">
        <f t="shared" si="64"/>
        <v>0</v>
      </c>
      <c r="X37" s="36">
        <f t="shared" si="7"/>
        <v>11828.305709999999</v>
      </c>
      <c r="Y37" s="36">
        <f t="shared" si="8"/>
        <v>11828.305709999999</v>
      </c>
      <c r="Z37" s="36">
        <f t="shared" si="9"/>
        <v>10137.6150606</v>
      </c>
      <c r="AB37" s="5">
        <f t="shared" si="65"/>
        <v>0</v>
      </c>
      <c r="AC37" s="5">
        <f t="shared" si="10"/>
        <v>9530.85653</v>
      </c>
      <c r="AD37" s="5">
        <f t="shared" si="11"/>
        <v>9530.85653</v>
      </c>
      <c r="AE37" s="36">
        <f t="shared" si="12"/>
        <v>8168.554065799999</v>
      </c>
      <c r="AG37" s="5">
        <f t="shared" si="66"/>
        <v>0</v>
      </c>
      <c r="AH37" s="5">
        <f t="shared" si="13"/>
        <v>11326.4827</v>
      </c>
      <c r="AI37" s="5">
        <f t="shared" si="14"/>
        <v>11326.4827</v>
      </c>
      <c r="AJ37" s="36">
        <f t="shared" si="15"/>
        <v>9707.520622</v>
      </c>
      <c r="AL37" s="36">
        <f t="shared" si="67"/>
        <v>0</v>
      </c>
      <c r="AM37" s="36">
        <f t="shared" si="16"/>
        <v>676.53378</v>
      </c>
      <c r="AN37" s="5">
        <f t="shared" si="17"/>
        <v>676.53378</v>
      </c>
      <c r="AO37" s="36">
        <f t="shared" si="18"/>
        <v>579.8327508</v>
      </c>
      <c r="AQ37" s="36">
        <f t="shared" si="68"/>
        <v>0</v>
      </c>
      <c r="AR37" s="36">
        <f t="shared" si="19"/>
        <v>60.899280000000005</v>
      </c>
      <c r="AS37" s="5">
        <f t="shared" si="20"/>
        <v>60.899280000000005</v>
      </c>
      <c r="AT37" s="36">
        <f t="shared" si="21"/>
        <v>52.194580800000004</v>
      </c>
      <c r="AU37" s="5"/>
      <c r="AV37" s="36">
        <f t="shared" si="69"/>
        <v>0</v>
      </c>
      <c r="AW37" s="36">
        <f t="shared" si="22"/>
        <v>12460.10168</v>
      </c>
      <c r="AX37" s="5">
        <f t="shared" si="23"/>
        <v>12460.10168</v>
      </c>
      <c r="AY37" s="36">
        <f t="shared" si="24"/>
        <v>10679.1046448</v>
      </c>
      <c r="AZ37" s="5"/>
      <c r="BA37" s="36">
        <f t="shared" si="70"/>
        <v>0</v>
      </c>
      <c r="BB37" s="36">
        <f t="shared" si="25"/>
        <v>0.44278</v>
      </c>
      <c r="BC37" s="5">
        <f t="shared" si="26"/>
        <v>0.44278</v>
      </c>
      <c r="BD37" s="36">
        <f t="shared" si="27"/>
        <v>0.3794908</v>
      </c>
      <c r="BE37" s="5"/>
      <c r="BF37" s="36">
        <f t="shared" si="71"/>
        <v>0</v>
      </c>
      <c r="BG37" s="36">
        <f t="shared" si="28"/>
        <v>15915.386499999999</v>
      </c>
      <c r="BH37" s="5">
        <f t="shared" si="29"/>
        <v>15915.386499999999</v>
      </c>
      <c r="BI37" s="36">
        <f t="shared" si="30"/>
        <v>13640.50489</v>
      </c>
      <c r="BJ37" s="5"/>
      <c r="BK37" s="36">
        <f t="shared" si="72"/>
        <v>0</v>
      </c>
      <c r="BL37" s="36">
        <f t="shared" si="31"/>
        <v>37.55115</v>
      </c>
      <c r="BM37" s="5">
        <f t="shared" si="32"/>
        <v>37.55115</v>
      </c>
      <c r="BN37" s="36">
        <f t="shared" si="33"/>
        <v>32.183738999999996</v>
      </c>
      <c r="BO37" s="5"/>
      <c r="BP37" s="36">
        <f t="shared" si="73"/>
        <v>0</v>
      </c>
      <c r="BQ37" s="36">
        <f t="shared" si="34"/>
        <v>6673.42689</v>
      </c>
      <c r="BR37" s="5">
        <f t="shared" si="35"/>
        <v>6673.42689</v>
      </c>
      <c r="BS37" s="36">
        <f t="shared" si="36"/>
        <v>5719.5539754</v>
      </c>
      <c r="BT37" s="5"/>
      <c r="BU37" s="5">
        <f t="shared" si="74"/>
        <v>0</v>
      </c>
      <c r="BV37" s="5">
        <f t="shared" si="37"/>
        <v>33.685340000000004</v>
      </c>
      <c r="BW37" s="5">
        <f t="shared" si="38"/>
        <v>33.685340000000004</v>
      </c>
      <c r="BX37" s="36">
        <f t="shared" si="39"/>
        <v>28.8704924</v>
      </c>
      <c r="BY37" s="5"/>
      <c r="BZ37" s="36">
        <f t="shared" si="75"/>
        <v>0</v>
      </c>
      <c r="CA37" s="36">
        <f t="shared" si="40"/>
        <v>1309.70918</v>
      </c>
      <c r="CB37" s="5">
        <f t="shared" si="41"/>
        <v>1309.70918</v>
      </c>
      <c r="CC37" s="36">
        <f t="shared" si="42"/>
        <v>1122.5045948</v>
      </c>
      <c r="CD37" s="5"/>
      <c r="CE37" s="36">
        <f t="shared" si="76"/>
        <v>0</v>
      </c>
      <c r="CF37" s="36">
        <f t="shared" si="43"/>
        <v>697.2592900000001</v>
      </c>
      <c r="CG37" s="5">
        <f t="shared" si="44"/>
        <v>697.2592900000001</v>
      </c>
      <c r="CH37" s="36">
        <f t="shared" si="45"/>
        <v>597.5958394</v>
      </c>
      <c r="CI37" s="5"/>
      <c r="CJ37" s="5">
        <f t="shared" si="77"/>
        <v>0</v>
      </c>
      <c r="CK37" s="36">
        <f t="shared" si="46"/>
        <v>2272.04042</v>
      </c>
      <c r="CL37" s="36">
        <f t="shared" si="47"/>
        <v>2272.04042</v>
      </c>
      <c r="CM37" s="36">
        <f t="shared" si="48"/>
        <v>1947.2840612</v>
      </c>
      <c r="CN37" s="5"/>
      <c r="CO37" s="5">
        <f t="shared" si="78"/>
        <v>0</v>
      </c>
      <c r="CP37" s="36">
        <f t="shared" si="49"/>
        <v>19999.640310000003</v>
      </c>
      <c r="CQ37" s="36">
        <f t="shared" si="50"/>
        <v>19999.640310000003</v>
      </c>
      <c r="CR37" s="36">
        <f t="shared" si="51"/>
        <v>17140.971816600002</v>
      </c>
      <c r="CS37" s="5"/>
      <c r="CT37" s="36">
        <f t="shared" si="79"/>
        <v>0</v>
      </c>
      <c r="CU37" s="36">
        <f t="shared" si="52"/>
        <v>41406.00971</v>
      </c>
      <c r="CV37" s="5">
        <f t="shared" si="53"/>
        <v>41406.00971</v>
      </c>
      <c r="CW37" s="36">
        <f t="shared" si="54"/>
        <v>35487.600500600005</v>
      </c>
      <c r="CX37" s="5"/>
      <c r="CY37" s="5">
        <f t="shared" si="80"/>
        <v>0</v>
      </c>
      <c r="CZ37" s="5">
        <f t="shared" si="55"/>
        <v>1837.69027</v>
      </c>
      <c r="DA37" s="5">
        <f t="shared" si="56"/>
        <v>1837.69027</v>
      </c>
      <c r="DB37" s="36">
        <f t="shared" si="57"/>
        <v>1575.0181822000002</v>
      </c>
      <c r="DC37" s="5"/>
      <c r="DD37" s="36">
        <f t="shared" si="81"/>
        <v>0</v>
      </c>
      <c r="DE37" s="36">
        <f t="shared" si="58"/>
        <v>2038.4058499999999</v>
      </c>
      <c r="DF37" s="5">
        <f t="shared" si="59"/>
        <v>2038.4058499999999</v>
      </c>
      <c r="DG37" s="36">
        <f t="shared" si="60"/>
        <v>1747.044281</v>
      </c>
      <c r="DH37" s="5"/>
      <c r="DI37" s="36"/>
      <c r="DJ37" s="36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</row>
    <row r="38" spans="1:131" ht="12.75">
      <c r="A38" s="37">
        <v>11232</v>
      </c>
      <c r="D38" s="3">
        <v>170300</v>
      </c>
      <c r="E38" s="35">
        <f t="shared" si="0"/>
        <v>170300</v>
      </c>
      <c r="F38" s="35">
        <v>145958</v>
      </c>
      <c r="H38" s="36"/>
      <c r="I38" s="36">
        <f>'Academic Project '!I38</f>
        <v>25667.956599999998</v>
      </c>
      <c r="J38" s="36">
        <f t="shared" si="61"/>
        <v>25667.956599999998</v>
      </c>
      <c r="K38" s="36">
        <f>'Academic Project '!K38</f>
        <v>21999.081675999998</v>
      </c>
      <c r="M38" s="36"/>
      <c r="N38" s="35">
        <f t="shared" si="1"/>
        <v>144632.0434</v>
      </c>
      <c r="O38" s="5">
        <f t="shared" si="2"/>
        <v>144632.0434</v>
      </c>
      <c r="P38" s="35">
        <f t="shared" si="3"/>
        <v>123958.91832399998</v>
      </c>
      <c r="R38" s="36"/>
      <c r="S38" s="36">
        <f t="shared" si="4"/>
        <v>6527.61603</v>
      </c>
      <c r="T38" s="5">
        <f t="shared" si="5"/>
        <v>6527.61603</v>
      </c>
      <c r="U38" s="36">
        <f t="shared" si="6"/>
        <v>5594.5847358</v>
      </c>
      <c r="X38" s="36">
        <f t="shared" si="7"/>
        <v>11828.305709999999</v>
      </c>
      <c r="Y38" s="36">
        <f t="shared" si="8"/>
        <v>11828.305709999999</v>
      </c>
      <c r="Z38" s="36">
        <f t="shared" si="9"/>
        <v>10137.6150606</v>
      </c>
      <c r="AC38" s="5">
        <f t="shared" si="10"/>
        <v>9530.85653</v>
      </c>
      <c r="AD38" s="5">
        <f t="shared" si="11"/>
        <v>9530.85653</v>
      </c>
      <c r="AE38" s="36">
        <f t="shared" si="12"/>
        <v>8168.554065799999</v>
      </c>
      <c r="AH38" s="5">
        <f t="shared" si="13"/>
        <v>11326.4827</v>
      </c>
      <c r="AI38" s="5">
        <f t="shared" si="14"/>
        <v>11326.4827</v>
      </c>
      <c r="AJ38" s="36">
        <f t="shared" si="15"/>
        <v>9707.520622</v>
      </c>
      <c r="AL38" s="36"/>
      <c r="AM38" s="36">
        <f t="shared" si="16"/>
        <v>676.53378</v>
      </c>
      <c r="AN38" s="5">
        <f t="shared" si="17"/>
        <v>676.53378</v>
      </c>
      <c r="AO38" s="36">
        <f t="shared" si="18"/>
        <v>579.8327508</v>
      </c>
      <c r="AQ38" s="36"/>
      <c r="AR38" s="36">
        <f t="shared" si="19"/>
        <v>60.899280000000005</v>
      </c>
      <c r="AS38" s="5">
        <f t="shared" si="20"/>
        <v>60.899280000000005</v>
      </c>
      <c r="AT38" s="36">
        <f t="shared" si="21"/>
        <v>52.194580800000004</v>
      </c>
      <c r="AU38" s="5"/>
      <c r="AV38" s="36"/>
      <c r="AW38" s="36">
        <f t="shared" si="22"/>
        <v>12460.10168</v>
      </c>
      <c r="AX38" s="5">
        <f t="shared" si="23"/>
        <v>12460.10168</v>
      </c>
      <c r="AY38" s="36">
        <f t="shared" si="24"/>
        <v>10679.1046448</v>
      </c>
      <c r="AZ38" s="5"/>
      <c r="BA38" s="36"/>
      <c r="BB38" s="36">
        <f t="shared" si="25"/>
        <v>0.44278</v>
      </c>
      <c r="BC38" s="5">
        <f t="shared" si="26"/>
        <v>0.44278</v>
      </c>
      <c r="BD38" s="36">
        <f t="shared" si="27"/>
        <v>0.3794908</v>
      </c>
      <c r="BE38" s="5"/>
      <c r="BF38" s="36"/>
      <c r="BG38" s="36">
        <f t="shared" si="28"/>
        <v>15915.386499999999</v>
      </c>
      <c r="BH38" s="5">
        <f t="shared" si="29"/>
        <v>15915.386499999999</v>
      </c>
      <c r="BI38" s="36">
        <f t="shared" si="30"/>
        <v>13640.50489</v>
      </c>
      <c r="BJ38" s="5"/>
      <c r="BK38" s="36"/>
      <c r="BL38" s="36">
        <f t="shared" si="31"/>
        <v>37.55115</v>
      </c>
      <c r="BM38" s="5">
        <f t="shared" si="32"/>
        <v>37.55115</v>
      </c>
      <c r="BN38" s="36">
        <f t="shared" si="33"/>
        <v>32.183738999999996</v>
      </c>
      <c r="BO38" s="5"/>
      <c r="BP38" s="36"/>
      <c r="BQ38" s="36">
        <f t="shared" si="34"/>
        <v>6673.42689</v>
      </c>
      <c r="BR38" s="5">
        <f t="shared" si="35"/>
        <v>6673.42689</v>
      </c>
      <c r="BS38" s="36">
        <f t="shared" si="36"/>
        <v>5719.5539754</v>
      </c>
      <c r="BT38" s="5"/>
      <c r="BU38" s="5"/>
      <c r="BV38" s="5">
        <f t="shared" si="37"/>
        <v>33.685340000000004</v>
      </c>
      <c r="BW38" s="5">
        <f t="shared" si="38"/>
        <v>33.685340000000004</v>
      </c>
      <c r="BX38" s="36">
        <f t="shared" si="39"/>
        <v>28.8704924</v>
      </c>
      <c r="BY38" s="5"/>
      <c r="BZ38" s="36"/>
      <c r="CA38" s="36">
        <f t="shared" si="40"/>
        <v>1309.70918</v>
      </c>
      <c r="CB38" s="5">
        <f t="shared" si="41"/>
        <v>1309.70918</v>
      </c>
      <c r="CC38" s="36">
        <f t="shared" si="42"/>
        <v>1122.5045948</v>
      </c>
      <c r="CD38" s="5"/>
      <c r="CE38" s="36"/>
      <c r="CF38" s="36">
        <f t="shared" si="43"/>
        <v>697.2592900000001</v>
      </c>
      <c r="CG38" s="5">
        <f t="shared" si="44"/>
        <v>697.2592900000001</v>
      </c>
      <c r="CH38" s="36">
        <f t="shared" si="45"/>
        <v>597.5958394</v>
      </c>
      <c r="CI38" s="5"/>
      <c r="CJ38" s="5"/>
      <c r="CK38" s="36">
        <f t="shared" si="46"/>
        <v>2272.04042</v>
      </c>
      <c r="CL38" s="36">
        <f t="shared" si="47"/>
        <v>2272.04042</v>
      </c>
      <c r="CM38" s="36">
        <f t="shared" si="48"/>
        <v>1947.2840612</v>
      </c>
      <c r="CN38" s="5"/>
      <c r="CO38" s="5"/>
      <c r="CP38" s="36">
        <f t="shared" si="49"/>
        <v>19999.640310000003</v>
      </c>
      <c r="CQ38" s="36">
        <f t="shared" si="50"/>
        <v>19999.640310000003</v>
      </c>
      <c r="CR38" s="36">
        <f t="shared" si="51"/>
        <v>17140.971816600002</v>
      </c>
      <c r="CS38" s="5"/>
      <c r="CT38" s="36"/>
      <c r="CU38" s="36">
        <f t="shared" si="52"/>
        <v>41406.00971</v>
      </c>
      <c r="CV38" s="5">
        <f t="shared" si="53"/>
        <v>41406.00971</v>
      </c>
      <c r="CW38" s="36">
        <f t="shared" si="54"/>
        <v>35487.600500600005</v>
      </c>
      <c r="CX38" s="5"/>
      <c r="CY38" s="5"/>
      <c r="CZ38" s="5">
        <f t="shared" si="55"/>
        <v>1837.69027</v>
      </c>
      <c r="DA38" s="5">
        <f t="shared" si="56"/>
        <v>1837.69027</v>
      </c>
      <c r="DB38" s="36">
        <f t="shared" si="57"/>
        <v>1575.0181822000002</v>
      </c>
      <c r="DC38" s="5"/>
      <c r="DD38" s="36"/>
      <c r="DE38" s="36">
        <f t="shared" si="58"/>
        <v>2038.4058499999999</v>
      </c>
      <c r="DF38" s="5">
        <f t="shared" si="59"/>
        <v>2038.4058499999999</v>
      </c>
      <c r="DG38" s="36">
        <f t="shared" si="60"/>
        <v>1747.044281</v>
      </c>
      <c r="DH38" s="5"/>
      <c r="DI38" s="36"/>
      <c r="DJ38" s="36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</row>
    <row r="39" spans="1:131" ht="12.75">
      <c r="A39" s="37">
        <v>11414</v>
      </c>
      <c r="C39" s="3">
        <v>8515000</v>
      </c>
      <c r="D39" s="3">
        <v>170300</v>
      </c>
      <c r="E39" s="35">
        <f t="shared" si="0"/>
        <v>8685300</v>
      </c>
      <c r="F39" s="35">
        <v>145958</v>
      </c>
      <c r="H39" s="36">
        <f>'Academic Project '!H39</f>
        <v>1283397.8299999998</v>
      </c>
      <c r="I39" s="36">
        <f>'Academic Project '!I39</f>
        <v>25667.956599999998</v>
      </c>
      <c r="J39" s="36">
        <f t="shared" si="61"/>
        <v>1309065.7865999998</v>
      </c>
      <c r="K39" s="36">
        <f>'Academic Project '!K39</f>
        <v>21999.081675999998</v>
      </c>
      <c r="M39" s="36">
        <f t="shared" si="62"/>
        <v>7231602.170000002</v>
      </c>
      <c r="N39" s="35">
        <f t="shared" si="1"/>
        <v>144632.0434</v>
      </c>
      <c r="O39" s="5">
        <f t="shared" si="2"/>
        <v>7376234.213400002</v>
      </c>
      <c r="P39" s="35">
        <f t="shared" si="3"/>
        <v>123958.91832399998</v>
      </c>
      <c r="R39" s="36">
        <f t="shared" si="63"/>
        <v>326380.8015</v>
      </c>
      <c r="S39" s="36">
        <f t="shared" si="4"/>
        <v>6527.61603</v>
      </c>
      <c r="T39" s="5">
        <f t="shared" si="5"/>
        <v>332908.41753</v>
      </c>
      <c r="U39" s="36">
        <f t="shared" si="6"/>
        <v>5594.5847358</v>
      </c>
      <c r="W39" s="5">
        <f t="shared" si="64"/>
        <v>591415.2855</v>
      </c>
      <c r="X39" s="36">
        <f t="shared" si="7"/>
        <v>11828.305709999999</v>
      </c>
      <c r="Y39" s="36">
        <f t="shared" si="8"/>
        <v>603243.59121</v>
      </c>
      <c r="Z39" s="36">
        <f t="shared" si="9"/>
        <v>10137.6150606</v>
      </c>
      <c r="AB39" s="5">
        <f t="shared" si="65"/>
        <v>476542.82649999997</v>
      </c>
      <c r="AC39" s="5">
        <f t="shared" si="10"/>
        <v>9530.85653</v>
      </c>
      <c r="AD39" s="5">
        <f t="shared" si="11"/>
        <v>486073.68302999996</v>
      </c>
      <c r="AE39" s="36">
        <f t="shared" si="12"/>
        <v>8168.554065799999</v>
      </c>
      <c r="AG39" s="5">
        <f t="shared" si="66"/>
        <v>566324.135</v>
      </c>
      <c r="AH39" s="5">
        <f t="shared" si="13"/>
        <v>11326.4827</v>
      </c>
      <c r="AI39" s="5">
        <f t="shared" si="14"/>
        <v>577650.6177000001</v>
      </c>
      <c r="AJ39" s="36">
        <f t="shared" si="15"/>
        <v>9707.520622</v>
      </c>
      <c r="AL39" s="36">
        <f t="shared" si="67"/>
        <v>33826.689</v>
      </c>
      <c r="AM39" s="36">
        <f t="shared" si="16"/>
        <v>676.53378</v>
      </c>
      <c r="AN39" s="5">
        <f t="shared" si="17"/>
        <v>34503.22278</v>
      </c>
      <c r="AO39" s="36">
        <f t="shared" si="18"/>
        <v>579.8327508</v>
      </c>
      <c r="AQ39" s="36">
        <f t="shared" si="68"/>
        <v>3044.964</v>
      </c>
      <c r="AR39" s="36">
        <f t="shared" si="19"/>
        <v>60.899280000000005</v>
      </c>
      <c r="AS39" s="5">
        <f t="shared" si="20"/>
        <v>3105.86328</v>
      </c>
      <c r="AT39" s="36">
        <f t="shared" si="21"/>
        <v>52.194580800000004</v>
      </c>
      <c r="AU39" s="5"/>
      <c r="AV39" s="36">
        <f t="shared" si="69"/>
        <v>623005.084</v>
      </c>
      <c r="AW39" s="36">
        <f t="shared" si="22"/>
        <v>12460.10168</v>
      </c>
      <c r="AX39" s="5">
        <f t="shared" si="23"/>
        <v>635465.18568</v>
      </c>
      <c r="AY39" s="36">
        <f t="shared" si="24"/>
        <v>10679.1046448</v>
      </c>
      <c r="AZ39" s="5"/>
      <c r="BA39" s="36">
        <f t="shared" si="70"/>
        <v>22.139</v>
      </c>
      <c r="BB39" s="36">
        <f t="shared" si="25"/>
        <v>0.44278</v>
      </c>
      <c r="BC39" s="5">
        <f t="shared" si="26"/>
        <v>22.58178</v>
      </c>
      <c r="BD39" s="36">
        <f t="shared" si="27"/>
        <v>0.3794908</v>
      </c>
      <c r="BE39" s="5"/>
      <c r="BF39" s="36">
        <f t="shared" si="71"/>
        <v>795769.325</v>
      </c>
      <c r="BG39" s="36">
        <f t="shared" si="28"/>
        <v>15915.386499999999</v>
      </c>
      <c r="BH39" s="5">
        <f t="shared" si="29"/>
        <v>811684.7115</v>
      </c>
      <c r="BI39" s="36">
        <f t="shared" si="30"/>
        <v>13640.50489</v>
      </c>
      <c r="BJ39" s="5"/>
      <c r="BK39" s="36">
        <f t="shared" si="72"/>
        <v>1877.5575</v>
      </c>
      <c r="BL39" s="36">
        <f t="shared" si="31"/>
        <v>37.55115</v>
      </c>
      <c r="BM39" s="5">
        <f t="shared" si="32"/>
        <v>1915.10865</v>
      </c>
      <c r="BN39" s="36">
        <f t="shared" si="33"/>
        <v>32.183738999999996</v>
      </c>
      <c r="BO39" s="5"/>
      <c r="BP39" s="36">
        <f t="shared" si="73"/>
        <v>333671.3445</v>
      </c>
      <c r="BQ39" s="36">
        <f t="shared" si="34"/>
        <v>6673.42689</v>
      </c>
      <c r="BR39" s="5">
        <f t="shared" si="35"/>
        <v>340344.77139</v>
      </c>
      <c r="BS39" s="36">
        <f t="shared" si="36"/>
        <v>5719.5539754</v>
      </c>
      <c r="BT39" s="5"/>
      <c r="BU39" s="5">
        <f t="shared" si="74"/>
        <v>1684.267</v>
      </c>
      <c r="BV39" s="5">
        <f t="shared" si="37"/>
        <v>33.685340000000004</v>
      </c>
      <c r="BW39" s="5">
        <f t="shared" si="38"/>
        <v>1717.95234</v>
      </c>
      <c r="BX39" s="36">
        <f t="shared" si="39"/>
        <v>28.8704924</v>
      </c>
      <c r="BY39" s="5"/>
      <c r="BZ39" s="36">
        <f t="shared" si="75"/>
        <v>65485.458999999995</v>
      </c>
      <c r="CA39" s="36">
        <f t="shared" si="40"/>
        <v>1309.70918</v>
      </c>
      <c r="CB39" s="5">
        <f t="shared" si="41"/>
        <v>66795.16818</v>
      </c>
      <c r="CC39" s="36">
        <f t="shared" si="42"/>
        <v>1122.5045948</v>
      </c>
      <c r="CD39" s="5"/>
      <c r="CE39" s="36">
        <f t="shared" si="76"/>
        <v>34862.9645</v>
      </c>
      <c r="CF39" s="36">
        <f t="shared" si="43"/>
        <v>697.2592900000001</v>
      </c>
      <c r="CG39" s="5">
        <f t="shared" si="44"/>
        <v>35560.223790000004</v>
      </c>
      <c r="CH39" s="36">
        <f t="shared" si="45"/>
        <v>597.5958394</v>
      </c>
      <c r="CI39" s="5"/>
      <c r="CJ39" s="5">
        <f t="shared" si="77"/>
        <v>113602.021</v>
      </c>
      <c r="CK39" s="36">
        <f t="shared" si="46"/>
        <v>2272.04042</v>
      </c>
      <c r="CL39" s="36">
        <f t="shared" si="47"/>
        <v>115874.06142</v>
      </c>
      <c r="CM39" s="36">
        <f t="shared" si="48"/>
        <v>1947.2840612</v>
      </c>
      <c r="CN39" s="5"/>
      <c r="CO39" s="5">
        <f t="shared" si="78"/>
        <v>999982.0155000001</v>
      </c>
      <c r="CP39" s="36">
        <f t="shared" si="49"/>
        <v>19999.640310000003</v>
      </c>
      <c r="CQ39" s="36">
        <f t="shared" si="50"/>
        <v>1019981.6558100001</v>
      </c>
      <c r="CR39" s="36">
        <f t="shared" si="51"/>
        <v>17140.971816600002</v>
      </c>
      <c r="CS39" s="5"/>
      <c r="CT39" s="36">
        <f t="shared" si="79"/>
        <v>2070300.4855000002</v>
      </c>
      <c r="CU39" s="36">
        <f t="shared" si="52"/>
        <v>41406.00971</v>
      </c>
      <c r="CV39" s="5">
        <f t="shared" si="53"/>
        <v>2111706.4952100003</v>
      </c>
      <c r="CW39" s="36">
        <f t="shared" si="54"/>
        <v>35487.600500600005</v>
      </c>
      <c r="CX39" s="5"/>
      <c r="CY39" s="5">
        <f t="shared" si="80"/>
        <v>91884.5135</v>
      </c>
      <c r="CZ39" s="5">
        <f t="shared" si="55"/>
        <v>1837.69027</v>
      </c>
      <c r="DA39" s="5">
        <f t="shared" si="56"/>
        <v>93722.20377000001</v>
      </c>
      <c r="DB39" s="36">
        <f t="shared" si="57"/>
        <v>1575.0181822000002</v>
      </c>
      <c r="DC39" s="5"/>
      <c r="DD39" s="36">
        <f t="shared" si="81"/>
        <v>101920.2925</v>
      </c>
      <c r="DE39" s="36">
        <f t="shared" si="58"/>
        <v>2038.4058499999999</v>
      </c>
      <c r="DF39" s="5">
        <f t="shared" si="59"/>
        <v>103958.69834999999</v>
      </c>
      <c r="DG39" s="36">
        <f t="shared" si="60"/>
        <v>1747.044281</v>
      </c>
      <c r="DH39" s="5"/>
      <c r="DI39" s="36"/>
      <c r="DJ39" s="36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</row>
    <row r="40" spans="2:131" ht="12.75">
      <c r="B40" s="34"/>
      <c r="C40" s="35"/>
      <c r="D40" s="35"/>
      <c r="E40" s="35"/>
      <c r="F40" s="35"/>
      <c r="H40" s="36"/>
      <c r="I40" s="36"/>
      <c r="J40" s="36"/>
      <c r="K40" s="35"/>
      <c r="M40" s="36"/>
      <c r="N40" s="35"/>
      <c r="O40" s="5"/>
      <c r="P40" s="35"/>
      <c r="R40" s="36"/>
      <c r="S40" s="36"/>
      <c r="T40" s="5"/>
      <c r="U40" s="35"/>
      <c r="X40" s="36"/>
      <c r="Y40" s="36"/>
      <c r="Z40" s="35"/>
      <c r="AE40" s="35"/>
      <c r="AJ40" s="35"/>
      <c r="AL40" s="36"/>
      <c r="AM40" s="36"/>
      <c r="AN40" s="5"/>
      <c r="AO40" s="35"/>
      <c r="AQ40" s="36"/>
      <c r="AR40" s="36"/>
      <c r="AS40" s="5"/>
      <c r="AT40" s="35"/>
      <c r="AU40" s="5"/>
      <c r="AV40" s="36"/>
      <c r="AW40" s="36"/>
      <c r="AX40" s="5"/>
      <c r="AY40" s="35"/>
      <c r="AZ40" s="5"/>
      <c r="BA40" s="36"/>
      <c r="BB40" s="36"/>
      <c r="BC40" s="5"/>
      <c r="BD40" s="35"/>
      <c r="BE40" s="5"/>
      <c r="BF40" s="36"/>
      <c r="BG40" s="36"/>
      <c r="BH40" s="5"/>
      <c r="BI40" s="35"/>
      <c r="BJ40" s="5"/>
      <c r="BK40" s="36"/>
      <c r="BL40" s="36"/>
      <c r="BM40" s="5"/>
      <c r="BN40" s="35"/>
      <c r="BO40" s="5"/>
      <c r="BP40" s="36"/>
      <c r="BQ40" s="36"/>
      <c r="BR40" s="5"/>
      <c r="BS40" s="35"/>
      <c r="BT40" s="5"/>
      <c r="BU40" s="5"/>
      <c r="BV40" s="5"/>
      <c r="BW40" s="5"/>
      <c r="BX40" s="35"/>
      <c r="BY40" s="5"/>
      <c r="BZ40" s="36"/>
      <c r="CA40" s="36"/>
      <c r="CB40" s="5"/>
      <c r="CC40" s="35"/>
      <c r="CD40" s="5"/>
      <c r="CE40" s="36"/>
      <c r="CF40" s="36"/>
      <c r="CG40" s="5"/>
      <c r="CH40" s="35"/>
      <c r="CI40" s="5"/>
      <c r="CJ40" s="5"/>
      <c r="CK40" s="36"/>
      <c r="CL40" s="36"/>
      <c r="CM40" s="35"/>
      <c r="CN40" s="5"/>
      <c r="CO40" s="5"/>
      <c r="CP40" s="36"/>
      <c r="CQ40" s="36"/>
      <c r="CR40" s="35"/>
      <c r="CS40" s="5"/>
      <c r="CT40" s="36"/>
      <c r="CU40" s="36"/>
      <c r="CV40" s="5"/>
      <c r="CW40" s="35"/>
      <c r="CX40" s="5"/>
      <c r="CY40" s="5"/>
      <c r="CZ40" s="5"/>
      <c r="DA40" s="5"/>
      <c r="DB40" s="35"/>
      <c r="DC40" s="5"/>
      <c r="DD40" s="36"/>
      <c r="DE40" s="36"/>
      <c r="DF40" s="5"/>
      <c r="DG40" s="35"/>
      <c r="DH40" s="5"/>
      <c r="DI40" s="36"/>
      <c r="DJ40" s="36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</row>
    <row r="41" spans="1:131" ht="13.5" thickBot="1">
      <c r="A41" s="39" t="s">
        <v>16</v>
      </c>
      <c r="C41" s="40">
        <f>SUM(C8:C40)</f>
        <v>51575000</v>
      </c>
      <c r="D41" s="40">
        <f>SUM(D8:D40)</f>
        <v>19051300</v>
      </c>
      <c r="E41" s="40">
        <f>SUM(E8:E40)</f>
        <v>70626300</v>
      </c>
      <c r="F41" s="40">
        <f>SUM(F8:F40)</f>
        <v>4805110</v>
      </c>
      <c r="H41" s="40">
        <f>SUM(H8:H40)</f>
        <v>7773487.150000001</v>
      </c>
      <c r="I41" s="40">
        <f>SUM(I8:I40)</f>
        <v>2871450.0386000015</v>
      </c>
      <c r="J41" s="40">
        <f>SUM(J8:J40)</f>
        <v>10644937.188599994</v>
      </c>
      <c r="K41" s="40">
        <f>SUM(K8:K40)</f>
        <v>724235.7894199999</v>
      </c>
      <c r="M41" s="40">
        <f>SUM(M8:M40)</f>
        <v>43801512.85000001</v>
      </c>
      <c r="N41" s="40">
        <f>SUM(N8:N40)</f>
        <v>16179849.961400002</v>
      </c>
      <c r="O41" s="40">
        <f>SUM(O8:O40)</f>
        <v>59981362.81139995</v>
      </c>
      <c r="P41" s="40">
        <f>SUM(P8:P40)</f>
        <v>4080874.210580003</v>
      </c>
      <c r="R41" s="40">
        <f>SUM(R8:R40)</f>
        <v>1976874.9075</v>
      </c>
      <c r="S41" s="40">
        <f>SUM(S8:S40)</f>
        <v>730238.2341300002</v>
      </c>
      <c r="T41" s="40">
        <f>SUM(T8:T40)</f>
        <v>2707113.1416300004</v>
      </c>
      <c r="U41" s="40">
        <f>SUM(U8:U40)</f>
        <v>184180.34681099994</v>
      </c>
      <c r="W41" s="40">
        <f>SUM(W8:W40)</f>
        <v>3582177.7275</v>
      </c>
      <c r="X41" s="40">
        <f>SUM(X8:X40)</f>
        <v>1323221.3774100004</v>
      </c>
      <c r="Y41" s="40">
        <f>SUM(Y8:Y40)</f>
        <v>4905399.104909997</v>
      </c>
      <c r="Z41" s="40">
        <f>SUM(Z8:Z40)</f>
        <v>333742.27862699976</v>
      </c>
      <c r="AB41" s="40">
        <f>SUM(AB8:AB40)</f>
        <v>2886400.0325</v>
      </c>
      <c r="AC41" s="40">
        <f>SUM(AC8:AC40)</f>
        <v>1066207.9096300001</v>
      </c>
      <c r="AD41" s="40">
        <f>SUM(AD8:AD40)</f>
        <v>3952607.942129999</v>
      </c>
      <c r="AE41" s="40">
        <f>SUM(AE8:AE40)</f>
        <v>268918.4616610001</v>
      </c>
      <c r="AG41" s="40">
        <f>SUM(AG8:AG40)</f>
        <v>3430201.675</v>
      </c>
      <c r="AH41" s="40">
        <f>SUM(AH8:AH40)</f>
        <v>1267082.9116999998</v>
      </c>
      <c r="AI41" s="40">
        <f>SUM(AI8:AI40)</f>
        <v>4697284.586699998</v>
      </c>
      <c r="AJ41" s="40">
        <f>SUM(AJ8:AJ40)</f>
        <v>319583.06099</v>
      </c>
      <c r="AL41" s="40">
        <f>SUM(AL8:AL40)</f>
        <v>204886.84499999997</v>
      </c>
      <c r="AM41" s="40">
        <f>SUM(AM8:AM40)</f>
        <v>75683.19438000002</v>
      </c>
      <c r="AN41" s="40">
        <f>SUM(AN8:AN40)</f>
        <v>280570.03938</v>
      </c>
      <c r="AO41" s="40">
        <f>SUM(AO8:AO40)</f>
        <v>19088.779986000005</v>
      </c>
      <c r="AQ41" s="40">
        <f>SUM(AQ8:AQ40)</f>
        <v>18443.22</v>
      </c>
      <c r="AR41" s="40">
        <f>SUM(AR8:AR40)</f>
        <v>6812.744879999999</v>
      </c>
      <c r="AS41" s="40">
        <f>SUM(AS8:AS40)</f>
        <v>25255.964879999992</v>
      </c>
      <c r="AT41" s="40">
        <f>SUM(AT8:AT40)</f>
        <v>1718.3073360000008</v>
      </c>
      <c r="AU41" s="5"/>
      <c r="AV41" s="40">
        <f>SUM(AV8:AV40)</f>
        <v>3773515.8200000003</v>
      </c>
      <c r="AW41" s="40">
        <f>SUM(AW8:AW40)</f>
        <v>1393899.7952799993</v>
      </c>
      <c r="AX41" s="40">
        <f>SUM(AX8:AX40)</f>
        <v>5167415.615280002</v>
      </c>
      <c r="AY41" s="40">
        <f>SUM(AY8:AY40)</f>
        <v>351568.75621600024</v>
      </c>
      <c r="AZ41" s="5"/>
      <c r="BA41" s="40">
        <f>SUM(BA8:BA40)</f>
        <v>134.095</v>
      </c>
      <c r="BB41" s="40">
        <f>SUM(BB8:BB40)</f>
        <v>49.533380000000015</v>
      </c>
      <c r="BC41" s="40">
        <f>SUM(BC8:BC40)</f>
        <v>183.6283799999999</v>
      </c>
      <c r="BD41" s="40">
        <f>SUM(BD8:BD40)</f>
        <v>12.493285999999994</v>
      </c>
      <c r="BE41" s="5"/>
      <c r="BF41" s="40">
        <f>SUM(BF8:BF40)</f>
        <v>4819941.625</v>
      </c>
      <c r="BG41" s="40">
        <f>SUM(BG8:BG40)</f>
        <v>1780439.2414999993</v>
      </c>
      <c r="BH41" s="40">
        <f>SUM(BH8:BH40)</f>
        <v>6600380.866499999</v>
      </c>
      <c r="BI41" s="40">
        <f>SUM(BI8:BI40)</f>
        <v>449061.55504999985</v>
      </c>
      <c r="BJ41" s="5"/>
      <c r="BK41" s="40">
        <f>SUM(BK8:BK40)</f>
        <v>11372.287499999999</v>
      </c>
      <c r="BL41" s="40">
        <f>SUM(BL8:BL40)</f>
        <v>4200.811649999999</v>
      </c>
      <c r="BM41" s="40">
        <f>SUM(BM8:BM40)</f>
        <v>15573.099150000005</v>
      </c>
      <c r="BN41" s="40">
        <f>SUM(BN8:BN40)</f>
        <v>1059.5267549999992</v>
      </c>
      <c r="BO41" s="5"/>
      <c r="BP41" s="40">
        <f>SUM(BP8:BP40)</f>
        <v>2021033.4224999999</v>
      </c>
      <c r="BQ41" s="40">
        <f>SUM(BQ8:BQ40)</f>
        <v>746549.9571899998</v>
      </c>
      <c r="BR41" s="40">
        <f>SUM(BR8:BR40)</f>
        <v>2767583.3796899994</v>
      </c>
      <c r="BS41" s="40">
        <f>SUM(BS8:BS40)</f>
        <v>188294.48199299996</v>
      </c>
      <c r="BT41" s="5"/>
      <c r="BU41" s="40">
        <f>SUM(BU8:BU40)</f>
        <v>10201.535</v>
      </c>
      <c r="BV41" s="40">
        <f>SUM(BV8:BV40)</f>
        <v>3768.3471399999994</v>
      </c>
      <c r="BW41" s="40">
        <f>SUM(BW8:BW40)</f>
        <v>13969.882140000005</v>
      </c>
      <c r="BX41" s="40">
        <f>SUM(BX8:BX40)</f>
        <v>950.4507579999997</v>
      </c>
      <c r="BY41" s="5"/>
      <c r="BZ41" s="40">
        <f>SUM(BZ8:BZ40)</f>
        <v>396642.69499999995</v>
      </c>
      <c r="CA41" s="40">
        <f>SUM(CA8:CA40)</f>
        <v>146515.92778000006</v>
      </c>
      <c r="CB41" s="40">
        <f>SUM(CB8:CB40)</f>
        <v>543158.6227800002</v>
      </c>
      <c r="CC41" s="40">
        <f>SUM(CC8:CC40)</f>
        <v>36954.178966</v>
      </c>
      <c r="CD41" s="5"/>
      <c r="CE41" s="40">
        <f>SUM(CE8:CE40)</f>
        <v>211163.52250000002</v>
      </c>
      <c r="CF41" s="40">
        <f>SUM(CF8:CF40)</f>
        <v>78001.73759000002</v>
      </c>
      <c r="CG41" s="40">
        <f>SUM(CG8:CG40)</f>
        <v>289165.2600899999</v>
      </c>
      <c r="CH41" s="40">
        <f>SUM(CH8:CH40)</f>
        <v>19673.561873000017</v>
      </c>
      <c r="CI41" s="5"/>
      <c r="CJ41" s="40">
        <f>SUM(CJ8:CJ40)</f>
        <v>688082.705</v>
      </c>
      <c r="CK41" s="40">
        <f>SUM(CK8:CK40)</f>
        <v>254171.01382000017</v>
      </c>
      <c r="CL41" s="40">
        <f>SUM(CL8:CL40)</f>
        <v>942253.7188199995</v>
      </c>
      <c r="CM41" s="40">
        <f>SUM(CM8:CM40)</f>
        <v>64106.894554</v>
      </c>
      <c r="CN41" s="5"/>
      <c r="CO41" s="40">
        <f>SUM(CO8:CO40)</f>
        <v>6056849.3775</v>
      </c>
      <c r="CP41" s="40">
        <f>SUM(CP8:CP40)</f>
        <v>2237340.8540100004</v>
      </c>
      <c r="CQ41" s="40">
        <f>SUM(CQ8:CQ40)</f>
        <v>8294190.23151</v>
      </c>
      <c r="CR41" s="40">
        <f>SUM(CR8:CR40)</f>
        <v>564301.0666470001</v>
      </c>
      <c r="CS41" s="5"/>
      <c r="CT41" s="40">
        <f>SUM(CT8:CT40)</f>
        <v>12539723.727500001</v>
      </c>
      <c r="CU41" s="40">
        <f>SUM(CU8:CU40)</f>
        <v>4632051.161410001</v>
      </c>
      <c r="CV41" s="40">
        <f>SUM(CV8:CV40)</f>
        <v>17171774.888910003</v>
      </c>
      <c r="CW41" s="40">
        <f>SUM(CW8:CW40)</f>
        <v>1168293.783426999</v>
      </c>
      <c r="CX41" s="5"/>
      <c r="CY41" s="40">
        <f>SUM(CY8:CY40)</f>
        <v>556540.6675</v>
      </c>
      <c r="CZ41" s="40">
        <f>SUM(CZ8:CZ40)</f>
        <v>205580.67316999997</v>
      </c>
      <c r="DA41" s="40">
        <f>SUM(DA8:DA40)</f>
        <v>762121.3406700004</v>
      </c>
      <c r="DB41" s="40">
        <f>SUM(DB8:DB40)</f>
        <v>51851.46149900003</v>
      </c>
      <c r="DC41" s="5"/>
      <c r="DD41" s="40">
        <f>SUM(DD8:DD40)</f>
        <v>617326.9625</v>
      </c>
      <c r="DE41" s="40">
        <f>SUM(DE8:DE40)</f>
        <v>228034.53534999996</v>
      </c>
      <c r="DF41" s="40">
        <f>SUM(DF8:DF40)</f>
        <v>845361.4978500004</v>
      </c>
      <c r="DG41" s="40">
        <f>SUM(DG8:DG40)</f>
        <v>57514.76414500002</v>
      </c>
      <c r="DH41" s="5"/>
      <c r="DI41" s="40">
        <f>SUM(DI8:DI40)</f>
        <v>0</v>
      </c>
      <c r="DJ41" s="40">
        <f>SUM(DJ8:DJ40)</f>
        <v>0</v>
      </c>
      <c r="DK41" s="40">
        <f>SUM(DK8:DK40)</f>
        <v>0</v>
      </c>
      <c r="DL41" s="3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</row>
    <row r="42" spans="18:131" ht="13.5" thickTop="1">
      <c r="R42" s="5"/>
      <c r="S42" s="5"/>
      <c r="T42" s="5"/>
      <c r="U42" s="5"/>
      <c r="AL42" s="5"/>
      <c r="AM42" s="5"/>
      <c r="AN42" s="5"/>
      <c r="AO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</row>
    <row r="43" spans="3:131" ht="12.75">
      <c r="C43" s="3">
        <f>H41+M41</f>
        <v>51575000.00000001</v>
      </c>
      <c r="D43" s="3">
        <f>I41+N41</f>
        <v>19051300.000000004</v>
      </c>
      <c r="E43" s="3">
        <f>J41+O41</f>
        <v>70626299.99999994</v>
      </c>
      <c r="F43" s="3">
        <f>K41+P41</f>
        <v>4805110.000000003</v>
      </c>
      <c r="N43" s="5"/>
      <c r="R43" s="5"/>
      <c r="S43" s="5"/>
      <c r="T43" s="5"/>
      <c r="U43" s="5"/>
      <c r="AL43" s="5"/>
      <c r="AM43" s="5"/>
      <c r="AN43" s="5"/>
      <c r="AO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</row>
    <row r="44" spans="18:131" ht="12.75"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</row>
    <row r="45" spans="18:131" ht="12.75"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</row>
    <row r="46" spans="18:131" ht="12.75"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</row>
    <row r="47" spans="18:131" ht="12.75"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</row>
    <row r="48" spans="1:131" ht="12.75">
      <c r="A48"/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</row>
    <row r="49" spans="1:131" ht="12.75">
      <c r="A49"/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</row>
    <row r="50" spans="1:131" ht="12.75">
      <c r="A50"/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:131" ht="12.75">
      <c r="A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</row>
    <row r="52" spans="1:131" ht="12.75">
      <c r="A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</row>
    <row r="53" spans="1:131" ht="12.75">
      <c r="A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</row>
    <row r="54" spans="1:131" ht="12.75">
      <c r="A54"/>
      <c r="C54"/>
      <c r="D54"/>
      <c r="E54"/>
      <c r="F54"/>
      <c r="H54"/>
      <c r="I54"/>
      <c r="J54"/>
      <c r="K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</row>
    <row r="55" spans="1:131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131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</row>
    <row r="57" spans="1:131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</row>
    <row r="58" spans="1:131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</row>
    <row r="59" spans="1:131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</row>
    <row r="60" spans="1:131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</row>
    <row r="61" spans="1:131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</row>
    <row r="62" spans="1:131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</row>
    <row r="63" spans="1:131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</row>
    <row r="64" spans="1:131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</row>
    <row r="65" spans="1:131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</row>
    <row r="66" spans="1:131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</row>
    <row r="67" spans="1:131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</row>
    <row r="68" spans="1:131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</row>
    <row r="69" spans="1:131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</row>
    <row r="70" spans="1:131" ht="12.75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</row>
    <row r="71" spans="1:131" ht="12.75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</row>
    <row r="72" spans="1:131" ht="12.75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</row>
    <row r="73" spans="1:131" ht="12.75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</row>
    <row r="74" spans="1:131" ht="12.75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</row>
    <row r="75" spans="3:131" ht="12.75"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</row>
    <row r="76" spans="3:131" ht="12.75"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</row>
    <row r="77" spans="3:131" ht="12.75"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</row>
    <row r="78" spans="3:131" ht="12.75"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</row>
    <row r="79" spans="3:131" ht="12.75"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</row>
    <row r="80" spans="3:131" ht="12.75"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</row>
    <row r="81" spans="18:131" ht="12.75"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</row>
    <row r="82" spans="18:131" ht="12.75"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</row>
    <row r="83" spans="18:131" ht="12.75"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</row>
    <row r="84" spans="18:131" ht="12.75"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</row>
    <row r="85" spans="18:131" ht="12.75"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</row>
    <row r="86" spans="18:131" ht="12.75"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</row>
    <row r="87" spans="18:131" ht="12.75"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</row>
    <row r="88" spans="18:131" ht="12.75"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</row>
    <row r="89" spans="18:131" ht="12.75"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</row>
    <row r="90" spans="18:131" ht="12.75"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</row>
    <row r="91" spans="18:131" ht="12.75"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</row>
    <row r="92" spans="18:131" ht="12.75"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</row>
    <row r="93" spans="18:131" ht="12.75"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</row>
    <row r="94" spans="18:131" ht="12.75"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</row>
    <row r="95" spans="18:131" ht="12.75"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</row>
    <row r="96" spans="18:131" ht="12.75"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</row>
    <row r="97" spans="18:131" ht="12.75"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</row>
    <row r="98" spans="18:131" ht="12.75"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</row>
    <row r="99" spans="18:131" ht="12.75"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</row>
    <row r="100" spans="18:131" ht="12.75"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</row>
    <row r="101" spans="18:131" ht="12.75"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</row>
    <row r="102" spans="18:131" ht="12.75"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</row>
    <row r="103" spans="18:131" ht="12.75"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</row>
    <row r="104" spans="18:131" ht="12.75"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</row>
    <row r="105" spans="18:131" ht="12.75"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</row>
    <row r="106" spans="18:131" ht="12.75"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</row>
    <row r="107" spans="18:131" ht="12.75"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</row>
    <row r="108" spans="18:131" ht="12.75"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</row>
    <row r="109" spans="18:131" ht="12.75"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</row>
    <row r="110" spans="18:131" ht="12.75"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</row>
    <row r="111" spans="18:131" ht="12.75"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</row>
    <row r="112" spans="18:131" ht="12.75"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</row>
    <row r="113" spans="18:131" ht="12.75"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</row>
    <row r="114" spans="18:131" ht="12.75"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</row>
    <row r="115" spans="18:131" ht="12.75"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</row>
    <row r="116" spans="18:131" ht="12.75"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</row>
    <row r="117" spans="18:131" ht="12.75"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</row>
    <row r="118" spans="18:131" ht="12.75"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</row>
    <row r="119" spans="18:131" ht="12.75"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</row>
    <row r="120" spans="18:131" ht="12.75"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</row>
    <row r="121" spans="18:131" ht="12.75"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</row>
    <row r="122" spans="18:131" ht="12.75"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</row>
    <row r="123" spans="18:131" ht="12.75"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</row>
    <row r="124" spans="18:131" ht="12.75"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</row>
    <row r="125" spans="18:131" ht="12.75"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</row>
    <row r="126" spans="18:131" ht="12.75"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</row>
    <row r="127" spans="18:131" ht="12.75"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</row>
    <row r="128" spans="18:131" ht="12.75"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</row>
    <row r="129" spans="18:131" ht="12.75"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</row>
    <row r="130" spans="18:131" ht="12.75"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</row>
    <row r="131" spans="18:131" ht="12.75"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</row>
    <row r="132" spans="18:131" ht="12.75"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</row>
    <row r="133" spans="18:131" ht="12.75"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</row>
    <row r="134" spans="18:131" ht="12.75"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</row>
    <row r="135" spans="18:131" ht="12.75"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</row>
    <row r="136" spans="18:131" ht="12.75"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</row>
    <row r="137" spans="18:131" ht="12.75"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</row>
    <row r="138" spans="18:131" ht="12.75"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</row>
    <row r="139" spans="18:131" ht="12.75"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</row>
    <row r="140" spans="18:131" ht="12.75"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</row>
    <row r="141" spans="18:131" ht="12.75"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</row>
    <row r="142" spans="18:131" ht="12.75"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</row>
    <row r="143" spans="18:131" ht="12.75"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</row>
    <row r="144" spans="18:131" ht="12.75"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</row>
    <row r="145" spans="18:131" ht="12.75"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</row>
    <row r="146" spans="18:131" ht="12.75"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</row>
    <row r="147" spans="18:131" ht="12.75"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</row>
    <row r="148" spans="18:131" ht="12.75"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</row>
    <row r="149" spans="18:131" ht="12.75"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</row>
    <row r="150" spans="18:131" ht="12.75"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</row>
    <row r="151" spans="18:131" ht="12.75"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</row>
    <row r="152" spans="18:131" ht="12.75"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</row>
    <row r="153" spans="18:131" ht="12.75"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</row>
    <row r="154" spans="18:131" ht="12.75"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</row>
    <row r="155" spans="18:131" ht="12.75"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</row>
    <row r="156" spans="18:131" ht="12.75"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</row>
    <row r="157" spans="18:131" ht="12.75"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</row>
    <row r="158" spans="18:131" ht="12.75"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</row>
    <row r="159" spans="18:131" ht="12.75"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</row>
    <row r="160" spans="18:131" ht="12.75"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</row>
    <row r="161" spans="18:131" ht="12.75"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</row>
    <row r="162" spans="18:131" ht="12.75"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</row>
    <row r="163" spans="18:131" ht="12.75"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</row>
    <row r="164" spans="18:131" ht="12.75"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</row>
    <row r="165" spans="18:131" ht="12.75"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</row>
    <row r="166" spans="18:131" ht="12.75"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</row>
    <row r="167" spans="18:131" ht="12.75"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</row>
    <row r="168" spans="18:131" ht="12.75"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</row>
    <row r="169" spans="18:131" ht="12.75"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</row>
    <row r="170" spans="18:131" ht="12.75"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</row>
    <row r="171" spans="18:131" ht="12.75"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</row>
    <row r="172" spans="18:131" ht="12.75"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</row>
    <row r="173" spans="18:131" ht="12.75"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</row>
    <row r="174" spans="18:131" ht="12.75"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</row>
    <row r="175" spans="18:131" ht="12.75"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</row>
    <row r="176" spans="18:131" ht="12.75"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</row>
    <row r="177" spans="18:131" ht="12.75"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</row>
    <row r="178" spans="18:131" ht="12.75"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</row>
    <row r="179" spans="18:131" ht="12.75"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</row>
    <row r="180" spans="18:131" ht="12.75"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</row>
    <row r="181" spans="18:131" ht="12.75"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</row>
    <row r="182" spans="18:131" ht="12.75"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</row>
    <row r="183" spans="18:131" ht="12.75"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</row>
    <row r="184" spans="18:131" ht="12.75"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</row>
    <row r="185" spans="18:131" ht="12.75"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</row>
    <row r="186" spans="18:131" ht="12.75"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</row>
    <row r="187" spans="18:131" ht="12.75"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</row>
    <row r="188" spans="18:131" ht="12.75"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</row>
    <row r="189" spans="18:131" ht="12.75"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</row>
    <row r="190" spans="18:131" ht="12.75"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</row>
    <row r="191" spans="18:131" ht="12.75"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</row>
    <row r="192" spans="18:131" ht="12.75"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</row>
    <row r="193" spans="18:131" ht="12.75"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</row>
    <row r="194" spans="18:131" ht="12.75"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</row>
    <row r="195" spans="18:131" ht="12.75"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</row>
    <row r="196" spans="18:131" ht="12.75"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</row>
    <row r="197" spans="18:131" ht="12.75"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</row>
    <row r="198" spans="18:131" ht="12.75"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</row>
    <row r="199" spans="18:131" ht="12.75"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</row>
    <row r="200" spans="18:131" ht="12.75"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</row>
    <row r="201" spans="18:131" ht="12.75"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</row>
    <row r="202" spans="18:131" ht="12.75"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</row>
    <row r="203" spans="18:131" ht="12.75"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</row>
    <row r="204" spans="18:131" ht="12.75"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</row>
    <row r="205" spans="18:131" ht="12.75"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</row>
    <row r="206" spans="18:131" ht="12.75"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</row>
    <row r="207" spans="18:131" ht="12.75"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</row>
    <row r="208" spans="18:131" ht="12.75"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</row>
    <row r="209" spans="18:131" ht="12.75"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</row>
    <row r="210" spans="18:131" ht="12.75"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</row>
    <row r="211" spans="18:131" ht="12.75"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</row>
    <row r="212" spans="18:131" ht="12.75"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</row>
    <row r="213" spans="18:131" ht="12.75"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</row>
    <row r="214" spans="18:131" ht="12.75"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</row>
    <row r="215" spans="18:131" ht="12.75"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</row>
    <row r="216" spans="18:131" ht="12.75"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</row>
    <row r="217" spans="18:131" ht="12.75"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</row>
    <row r="218" spans="18:131" ht="12.75"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</row>
    <row r="219" spans="18:131" ht="12.75"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</row>
    <row r="220" spans="18:131" ht="12.75"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</row>
    <row r="221" spans="18:131" ht="12.75"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</row>
    <row r="222" spans="18:131" ht="12.75"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</row>
    <row r="223" spans="18:131" ht="12.75"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</row>
    <row r="224" spans="18:131" ht="12.75"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</row>
    <row r="225" spans="18:131" ht="12.75"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</row>
    <row r="226" spans="18:131" ht="12.75"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</row>
    <row r="227" spans="18:131" ht="12.75"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</row>
    <row r="228" spans="18:131" ht="12.75"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</row>
    <row r="229" spans="18:131" ht="12.75"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</row>
    <row r="230" spans="18:131" ht="12.75"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</row>
    <row r="231" spans="18:131" ht="12.75"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</row>
    <row r="232" spans="18:131" ht="12.75"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</row>
    <row r="233" spans="18:131" ht="12.75"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</row>
    <row r="234" spans="18:131" ht="12.75"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</row>
    <row r="235" spans="18:131" ht="12.75"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</row>
    <row r="236" spans="18:131" ht="12.75"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</row>
    <row r="237" spans="18:131" ht="12.75"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</row>
    <row r="238" spans="18:131" ht="12.75"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</row>
    <row r="239" spans="18:131" ht="12.75"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</row>
    <row r="240" spans="18:131" ht="12.75"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</row>
    <row r="241" spans="18:131" ht="12.75"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</row>
    <row r="242" spans="18:131" ht="12.75"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</row>
    <row r="243" spans="18:131" ht="12.75"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</row>
    <row r="244" spans="18:131" ht="12.75"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</row>
    <row r="245" spans="18:131" ht="12.75"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</row>
    <row r="246" spans="18:131" ht="12.75"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</row>
    <row r="247" spans="18:131" ht="12.75"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</row>
    <row r="248" spans="18:131" ht="12.75"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</row>
    <row r="249" spans="18:131" ht="12.75"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</row>
    <row r="250" spans="18:131" ht="12.75"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</row>
    <row r="251" spans="18:131" ht="12.75"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</row>
    <row r="252" spans="18:131" ht="12.75"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</row>
    <row r="253" spans="18:131" ht="12.75"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</row>
    <row r="254" spans="18:131" ht="12.75"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</row>
    <row r="255" spans="18:131" ht="12.75"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</row>
    <row r="256" spans="18:131" ht="12.75"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</row>
    <row r="257" spans="18:131" ht="12.75"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</row>
    <row r="258" spans="18:131" ht="12.75"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</row>
    <row r="259" spans="18:131" ht="12.75"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</row>
    <row r="260" spans="18:131" ht="12.75"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</row>
    <row r="261" spans="18:131" ht="12.75"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</row>
    <row r="262" spans="18:131" ht="12.75"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</row>
    <row r="263" spans="18:131" ht="12.75"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</row>
    <row r="264" spans="18:131" ht="12.75"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</row>
    <row r="265" spans="18:131" ht="12.75"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</row>
    <row r="266" spans="18:131" ht="12.75"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</row>
    <row r="267" spans="18:131" ht="12.75"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</row>
    <row r="268" spans="18:131" ht="12.75"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</row>
    <row r="269" spans="18:131" ht="12.75"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</row>
    <row r="270" spans="18:131" ht="12.75"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</row>
    <row r="271" spans="18:131" ht="12.75"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</row>
    <row r="272" spans="18:131" ht="12.75"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</row>
    <row r="273" spans="18:131" ht="12.75"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</row>
    <row r="274" spans="18:131" ht="12.75"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</row>
    <row r="275" spans="18:131" ht="12.75"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</row>
    <row r="276" spans="18:131" ht="12.75"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</row>
    <row r="277" spans="18:131" ht="12.75"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</row>
    <row r="278" spans="18:131" ht="12.75"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</row>
    <row r="279" spans="18:131" ht="12.75"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</row>
    <row r="280" spans="18:131" ht="12.75"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</row>
    <row r="281" spans="18:131" ht="12.75"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</row>
    <row r="282" spans="18:131" ht="12.75"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</row>
    <row r="283" spans="18:131" ht="12.75"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</row>
    <row r="284" spans="18:131" ht="12.75"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</row>
    <row r="285" spans="18:131" ht="12.75"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</row>
    <row r="286" spans="18:131" ht="12.75"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</row>
    <row r="287" spans="18:131" ht="12.75"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</row>
    <row r="288" spans="18:131" ht="12.75"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</row>
    <row r="289" spans="18:131" ht="12.75"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</row>
    <row r="290" spans="18:131" ht="12.75"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</row>
    <row r="291" spans="18:131" ht="12.75"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</row>
    <row r="292" spans="18:131" ht="12.75"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</row>
    <row r="293" spans="18:131" ht="12.75"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</row>
    <row r="294" spans="18:131" ht="12.75"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</row>
    <row r="295" spans="18:131" ht="12.75"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</row>
    <row r="296" spans="18:131" ht="12.75"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</row>
    <row r="297" spans="18:131" ht="12.75"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</row>
    <row r="298" spans="18:131" ht="12.75"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</row>
    <row r="299" spans="18:131" ht="12.75"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</row>
    <row r="300" spans="18:131" ht="12.75"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</row>
    <row r="301" spans="18:131" ht="12.75"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</row>
    <row r="302" spans="18:131" ht="12.75"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</row>
    <row r="303" spans="18:131" ht="12.75"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</row>
    <row r="304" spans="18:131" ht="12.75"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</row>
    <row r="305" spans="18:131" ht="12.75"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</row>
    <row r="306" spans="18:131" ht="12.75"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</row>
    <row r="307" spans="18:131" ht="12.75"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</row>
    <row r="308" spans="18:131" ht="12.75"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</row>
    <row r="309" spans="18:131" ht="12.75"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</row>
    <row r="310" spans="18:131" ht="12.75"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</row>
    <row r="311" spans="18:131" ht="12.75"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</row>
    <row r="312" spans="18:131" ht="12.75"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</row>
    <row r="313" spans="18:131" ht="12.75"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</row>
    <row r="314" spans="18:131" ht="12.75"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</row>
    <row r="315" spans="18:131" ht="12.75"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</row>
    <row r="316" spans="18:131" ht="12.75"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</row>
    <row r="317" spans="18:131" ht="12.75"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</row>
    <row r="318" spans="18:131" ht="12.75"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</row>
    <row r="319" spans="18:131" ht="12.75"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</row>
    <row r="320" spans="18:131" ht="12.75"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</row>
    <row r="321" spans="18:131" ht="12.75"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</row>
    <row r="322" spans="18:131" ht="12.75"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</row>
    <row r="323" spans="18:131" ht="12.75"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</row>
    <row r="324" spans="18:131" ht="12.75"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</row>
    <row r="325" spans="18:131" ht="12.75"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</row>
    <row r="326" spans="18:131" ht="12.75"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</row>
    <row r="327" spans="18:131" ht="12.75"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</row>
    <row r="328" spans="18:131" ht="12.75"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</row>
    <row r="329" spans="18:131" ht="12.75"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</row>
    <row r="330" spans="18:131" ht="12.75"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</row>
    <row r="331" spans="18:131" ht="12.75"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</row>
    <row r="332" spans="18:131" ht="12.75"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</row>
    <row r="333" spans="18:131" ht="12.75"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</row>
    <row r="334" spans="18:131" ht="12.75"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</row>
    <row r="335" spans="18:131" ht="12.75"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</row>
    <row r="336" spans="18:131" ht="12.75"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</row>
    <row r="337" spans="18:131" ht="12.75"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</row>
    <row r="338" spans="18:131" ht="12.75"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</row>
    <row r="339" spans="18:131" ht="12.75"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</row>
    <row r="340" spans="18:131" ht="12.75"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</row>
    <row r="341" spans="18:131" ht="12.75"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</row>
    <row r="342" spans="18:131" ht="12.75"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</row>
    <row r="343" spans="18:131" ht="12.75"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</row>
    <row r="344" spans="18:131" ht="12.75"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</row>
    <row r="345" spans="18:131" ht="12.75"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</row>
    <row r="346" spans="18:131" ht="12.75"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</row>
    <row r="347" spans="18:131" ht="12.75"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</row>
    <row r="348" spans="18:131" ht="12.75"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</row>
    <row r="349" spans="18:131" ht="12.75"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</row>
    <row r="350" spans="18:131" ht="12.75"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</row>
    <row r="351" spans="18:131" ht="12.75"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</row>
    <row r="352" spans="18:131" ht="12.75"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</row>
    <row r="353" spans="18:131" ht="12.75"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</row>
    <row r="354" spans="18:131" ht="12.75"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</row>
    <row r="355" spans="18:131" ht="12.75"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</row>
    <row r="356" spans="18:131" ht="12.75"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</row>
    <row r="357" spans="18:131" ht="12.75"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</row>
    <row r="358" spans="18:131" ht="12.75"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</row>
    <row r="359" spans="18:131" ht="12.75"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</row>
    <row r="360" spans="18:131" ht="12.75"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</row>
    <row r="361" spans="18:131" ht="12.75"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</row>
    <row r="362" spans="18:131" ht="12.75"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</row>
    <row r="363" spans="18:131" ht="12.75"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</row>
    <row r="364" spans="18:131" ht="12.75"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</row>
    <row r="365" spans="18:131" ht="12.75"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</row>
    <row r="366" spans="18:131" ht="12.75"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</row>
    <row r="367" spans="18:131" ht="12.75"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</row>
    <row r="368" spans="18:131" ht="12.75"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</row>
    <row r="369" spans="18:131" ht="12.75"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</row>
    <row r="370" spans="18:131" ht="12.75"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</row>
    <row r="371" spans="18:131" ht="12.75"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</row>
    <row r="372" spans="18:131" ht="12.75"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</row>
    <row r="373" spans="18:131" ht="12.75"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</row>
    <row r="374" spans="18:131" ht="12.75"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</row>
    <row r="375" spans="18:131" ht="12.75"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</row>
    <row r="376" spans="18:131" ht="12.75"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</row>
    <row r="377" spans="18:131" ht="12.75"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</row>
    <row r="378" spans="18:131" ht="12.75"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</row>
    <row r="379" spans="18:131" ht="12.75"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</row>
    <row r="380" spans="18:131" ht="12.75"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</row>
    <row r="381" spans="18:131" ht="12.75"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</row>
    <row r="382" spans="18:131" ht="12.75"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</row>
    <row r="383" spans="18:131" ht="12.75"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</row>
    <row r="384" spans="18:131" ht="12.75"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</row>
    <row r="385" spans="18:131" ht="12.75"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</row>
    <row r="386" spans="18:131" ht="12.75"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</row>
    <row r="387" spans="18:131" ht="12.75"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</row>
    <row r="388" spans="18:131" ht="12.75"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</row>
    <row r="389" spans="18:131" ht="12.75"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</row>
    <row r="390" spans="18:131" ht="12.75"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</row>
    <row r="391" spans="18:131" ht="12.75"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</row>
    <row r="392" spans="18:131" ht="12.75"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</row>
    <row r="393" spans="18:131" ht="12.75"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</row>
    <row r="394" spans="18:131" ht="12.75"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</row>
    <row r="395" spans="18:131" ht="12.75"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</row>
    <row r="396" spans="18:131" ht="12.75"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</row>
    <row r="397" spans="18:131" ht="12.75"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</row>
    <row r="398" spans="18:131" ht="12.75"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</row>
    <row r="399" spans="18:131" ht="12.75"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</row>
    <row r="400" spans="18:131" ht="12.75"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</row>
    <row r="401" spans="18:131" ht="12.75"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</row>
    <row r="402" spans="18:131" ht="12.75"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</row>
    <row r="403" spans="18:131" ht="12.75"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</row>
    <row r="404" spans="18:131" ht="12.75"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</row>
    <row r="405" spans="18:131" ht="12.75"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</row>
    <row r="406" spans="18:131" ht="12.75"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</row>
    <row r="407" spans="18:131" ht="12.75"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</row>
    <row r="408" spans="18:131" ht="12.75"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</row>
    <row r="409" spans="18:131" ht="12.75"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</row>
    <row r="410" spans="18:131" ht="12.75"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</row>
    <row r="411" spans="18:131" ht="12.75"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</row>
    <row r="412" spans="18:131" ht="12.75"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</row>
    <row r="413" spans="18:131" ht="12.75"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</row>
    <row r="414" spans="18:131" ht="12.75"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</row>
    <row r="415" spans="18:131" ht="12.75"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</row>
    <row r="416" spans="18:131" ht="12.75"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</row>
    <row r="417" spans="18:131" ht="12.75"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</row>
    <row r="418" spans="18:131" ht="12.75"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</row>
    <row r="419" spans="18:131" ht="12.75"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</row>
    <row r="420" spans="18:131" ht="12.75"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</row>
    <row r="421" spans="18:131" ht="12.75"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</row>
    <row r="422" spans="18:131" ht="12.75"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</row>
    <row r="423" spans="18:131" ht="12.75"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</row>
    <row r="424" spans="18:131" ht="12.75"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</row>
    <row r="425" spans="18:131" ht="12.75"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</row>
    <row r="426" spans="18:131" ht="12.75"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</row>
    <row r="427" spans="18:131" ht="12.75"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</row>
    <row r="428" spans="18:131" ht="12.75"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</row>
    <row r="429" spans="18:131" ht="12.75"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</row>
    <row r="430" spans="18:131" ht="12.75"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</row>
    <row r="431" spans="18:131" ht="12.75"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</row>
    <row r="432" spans="18:131" ht="12.75"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</row>
    <row r="433" spans="18:131" ht="12.75"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</row>
    <row r="434" spans="18:131" ht="12.75"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</row>
    <row r="435" spans="18:131" ht="12.75"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</row>
    <row r="436" spans="18:131" ht="12.75"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</row>
    <row r="437" spans="18:131" ht="12.75"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</row>
    <row r="438" spans="18:131" ht="12.75"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</row>
    <row r="439" spans="18:131" ht="12.75"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</row>
    <row r="440" spans="18:131" ht="12.75"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</row>
    <row r="441" spans="18:131" ht="12.75"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</row>
    <row r="442" spans="18:131" ht="12.75"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</row>
    <row r="443" spans="18:131" ht="12.75"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</row>
    <row r="444" spans="18:131" ht="12.75"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</row>
    <row r="445" spans="18:131" ht="12.75"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</row>
    <row r="446" spans="18:131" ht="12.75"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</row>
    <row r="447" spans="18:131" ht="12.75"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</row>
    <row r="448" spans="18:131" ht="12.75"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</row>
    <row r="449" spans="18:131" ht="12.75"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</row>
    <row r="450" spans="18:131" ht="12.75"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</row>
    <row r="451" spans="18:131" ht="12.75"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</row>
    <row r="452" spans="18:131" ht="12.75"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</row>
    <row r="453" spans="18:131" ht="12.75"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</row>
    <row r="454" spans="18:131" ht="12.75"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</row>
    <row r="455" spans="18:131" ht="12.75"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</row>
    <row r="456" spans="18:131" ht="12.75"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</row>
    <row r="457" spans="18:131" ht="12.75"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</row>
    <row r="458" spans="18:131" ht="12.75"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</row>
    <row r="459" spans="18:131" ht="12.75"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</row>
    <row r="460" spans="18:131" ht="12.75"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</row>
    <row r="461" spans="18:131" ht="12.75"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</row>
    <row r="462" spans="18:131" ht="12.75"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</row>
    <row r="463" spans="18:131" ht="12.75"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</row>
    <row r="464" spans="18:131" ht="12.75"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</row>
    <row r="465" spans="18:131" ht="12.75"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</row>
    <row r="466" spans="18:131" ht="12.75"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</row>
    <row r="467" spans="18:131" ht="12.75"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</row>
    <row r="468" spans="18:131" ht="12.75"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</row>
    <row r="469" spans="18:131" ht="12.75"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</row>
    <row r="470" spans="18:131" ht="12.75"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</row>
    <row r="471" spans="18:131" ht="12.75"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</row>
    <row r="472" spans="18:131" ht="12.75"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</row>
    <row r="473" spans="18:131" ht="12.75"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</row>
    <row r="474" spans="18:131" ht="12.75"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</row>
    <row r="475" spans="18:131" ht="12.75"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</row>
    <row r="476" spans="18:131" ht="12.75"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</row>
    <row r="477" spans="18:131" ht="12.75"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</row>
    <row r="478" spans="18:131" ht="12.75"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</row>
    <row r="479" spans="18:131" ht="12.75"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</row>
    <row r="480" spans="18:131" ht="12.75"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</row>
    <row r="481" spans="18:131" ht="12.75"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</row>
    <row r="482" spans="18:131" ht="12.75"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</row>
    <row r="483" spans="18:131" ht="12.75"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</row>
    <row r="484" spans="18:131" ht="12.75"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</row>
    <row r="485" spans="18:131" ht="12.75"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</row>
    <row r="486" spans="18:131" ht="12.75"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</row>
    <row r="487" spans="18:131" ht="12.75"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</row>
    <row r="488" spans="18:131" ht="12.75"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</row>
    <row r="489" spans="18:131" ht="12.75"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</row>
    <row r="490" spans="18:131" ht="12.75"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</row>
    <row r="491" spans="18:131" ht="12.75"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</row>
    <row r="492" spans="18:131" ht="12.75"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</row>
    <row r="493" spans="18:131" ht="12.75"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</row>
    <row r="494" spans="18:131" ht="12.75"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</row>
    <row r="495" spans="18:131" ht="12.75"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</row>
    <row r="496" spans="18:131" ht="12.75"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</row>
    <row r="497" spans="18:131" ht="12.75"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</row>
    <row r="498" spans="18:131" ht="12.75"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</row>
    <row r="499" spans="18:131" ht="12.75"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</row>
    <row r="500" spans="18:131" ht="12.75"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</row>
    <row r="501" spans="18:131" ht="12.75"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</row>
    <row r="502" spans="18:131" ht="12.75"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</row>
    <row r="503" spans="18:131" ht="12.75"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</row>
    <row r="504" spans="18:131" ht="12.75"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</row>
    <row r="505" spans="18:131" ht="12.75"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</row>
    <row r="506" spans="18:131" ht="12.75"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</row>
    <row r="507" spans="18:131" ht="12.75"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</row>
    <row r="508" spans="18:131" ht="12.75"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</row>
    <row r="509" spans="18:131" ht="12.75"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</row>
    <row r="510" spans="18:131" ht="12.75"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</row>
    <row r="511" spans="18:131" ht="12.75"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</row>
    <row r="512" spans="18:131" ht="12.75"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</row>
    <row r="513" spans="18:131" ht="12.75"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</row>
    <row r="514" spans="18:131" ht="12.75"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</row>
    <row r="515" spans="18:131" ht="12.75"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</row>
    <row r="516" spans="18:131" ht="12.75"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</row>
    <row r="517" spans="18:131" ht="12.75"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</row>
    <row r="518" spans="18:131" ht="12.75"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</row>
    <row r="519" spans="18:131" ht="12.75"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</row>
    <row r="520" spans="18:131" ht="12.75"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</row>
    <row r="521" spans="18:131" ht="12.75"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</row>
    <row r="522" spans="18:131" ht="12.75"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</row>
    <row r="523" spans="18:131" ht="12.75"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</row>
    <row r="524" spans="18:131" ht="12.75"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</row>
    <row r="525" spans="18:131" ht="12.75"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</row>
    <row r="526" spans="18:131" ht="12.75"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</row>
    <row r="527" spans="18:131" ht="12.75"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</row>
    <row r="528" spans="18:131" ht="12.75"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</row>
    <row r="529" spans="18:131" ht="12.75"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</row>
    <row r="530" spans="18:131" ht="12.75"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</row>
    <row r="531" spans="18:131" ht="12.75"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</row>
    <row r="532" spans="18:131" ht="12.75"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</row>
    <row r="533" spans="18:131" ht="12.75"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</row>
    <row r="534" spans="18:131" ht="12.75"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</row>
    <row r="535" spans="18:131" ht="12.75"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</row>
    <row r="536" spans="18:131" ht="12.75"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</row>
    <row r="537" spans="18:131" ht="12.75"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</row>
    <row r="538" spans="18:131" ht="12.75"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</row>
    <row r="539" spans="18:131" ht="12.75"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</row>
    <row r="540" spans="18:131" ht="12.75"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</row>
    <row r="541" spans="18:131" ht="12.75"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</row>
    <row r="542" spans="18:131" ht="12.75"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</row>
    <row r="543" spans="18:131" ht="12.75"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</row>
    <row r="544" spans="18:131" ht="12.75"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</row>
    <row r="545" spans="18:131" ht="12.75"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</row>
    <row r="546" spans="18:131" ht="12.75"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</row>
    <row r="547" spans="18:131" ht="12.75"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</row>
    <row r="548" spans="18:131" ht="12.75"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</row>
    <row r="549" spans="18:131" ht="12.75"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</row>
    <row r="550" spans="18:131" ht="12.75"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</row>
    <row r="551" spans="18:131" ht="12.75"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</row>
    <row r="552" spans="18:131" ht="12.75"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</row>
    <row r="553" spans="18:131" ht="12.75"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</row>
    <row r="554" spans="18:131" ht="12.75"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</row>
    <row r="555" spans="18:131" ht="12.75"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</row>
    <row r="556" spans="18:131" ht="12.75"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</row>
    <row r="557" spans="18:131" ht="12.75"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</row>
    <row r="558" spans="18:131" ht="12.75"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</row>
    <row r="559" spans="18:131" ht="12.75"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</row>
    <row r="560" spans="18:131" ht="12.75"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</row>
    <row r="561" spans="18:131" ht="12.75"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</row>
    <row r="562" spans="18:131" ht="12.75"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</row>
    <row r="563" spans="18:131" ht="12.75"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</row>
    <row r="564" spans="18:131" ht="12.75">
      <c r="R564" s="5"/>
      <c r="S564" s="5"/>
      <c r="T564" s="5"/>
      <c r="U564" s="5"/>
      <c r="AL564" s="5"/>
      <c r="AM564" s="5"/>
      <c r="AN564" s="5"/>
      <c r="AO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</row>
    <row r="565" spans="18:131" ht="12.75">
      <c r="R565" s="5"/>
      <c r="S565" s="5"/>
      <c r="T565" s="5"/>
      <c r="U565" s="5"/>
      <c r="AL565" s="5"/>
      <c r="AM565" s="5"/>
      <c r="AN565" s="5"/>
      <c r="AO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</row>
    <row r="566" spans="18:131" ht="12.75">
      <c r="R566" s="5"/>
      <c r="S566" s="5"/>
      <c r="T566" s="5"/>
      <c r="U566" s="5"/>
      <c r="AL566" s="5"/>
      <c r="AM566" s="5"/>
      <c r="AN566" s="5"/>
      <c r="AO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</row>
    <row r="567" spans="18:131" ht="12.75">
      <c r="R567" s="5"/>
      <c r="S567" s="5"/>
      <c r="T567" s="5"/>
      <c r="U567" s="5"/>
      <c r="AL567" s="5"/>
      <c r="AM567" s="5"/>
      <c r="AN567" s="5"/>
      <c r="AO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</row>
    <row r="568" spans="18:131" ht="12.75">
      <c r="R568" s="5"/>
      <c r="S568" s="5"/>
      <c r="T568" s="5"/>
      <c r="U568" s="5"/>
      <c r="AL568" s="5"/>
      <c r="AM568" s="5"/>
      <c r="AN568" s="5"/>
      <c r="AO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</row>
    <row r="569" spans="18:131" ht="12.75">
      <c r="R569" s="5"/>
      <c r="S569" s="5"/>
      <c r="T569" s="5"/>
      <c r="U569" s="5"/>
      <c r="AL569" s="5"/>
      <c r="AM569" s="5"/>
      <c r="AN569" s="5"/>
      <c r="AO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</row>
    <row r="570" spans="18:131" ht="12.75">
      <c r="R570" s="5"/>
      <c r="S570" s="5"/>
      <c r="T570" s="5"/>
      <c r="U570" s="5"/>
      <c r="AL570" s="5"/>
      <c r="AM570" s="5"/>
      <c r="AN570" s="5"/>
      <c r="AO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</row>
    <row r="571" spans="18:131" ht="12.75">
      <c r="R571" s="5"/>
      <c r="S571" s="5"/>
      <c r="T571" s="5"/>
      <c r="U571" s="5"/>
      <c r="AL571" s="5"/>
      <c r="AM571" s="5"/>
      <c r="AN571" s="5"/>
      <c r="AO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81"/>
  <sheetViews>
    <sheetView zoomScale="150" zoomScaleNormal="15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4" sqref="W4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</cols>
  <sheetData>
    <row r="1" spans="1:128" ht="12.75">
      <c r="A1" s="1"/>
      <c r="B1" s="2"/>
      <c r="D1" s="4"/>
      <c r="H1" s="4" t="s">
        <v>95</v>
      </c>
      <c r="R1" s="4"/>
      <c r="W1" s="4" t="s">
        <v>95</v>
      </c>
      <c r="AL1" s="4" t="s">
        <v>95</v>
      </c>
      <c r="AV1" s="4"/>
      <c r="BA1" s="4" t="s">
        <v>95</v>
      </c>
      <c r="BP1" s="4" t="s">
        <v>95</v>
      </c>
      <c r="CE1" s="4" t="s">
        <v>95</v>
      </c>
      <c r="CJ1" s="4"/>
      <c r="CO1" s="4"/>
      <c r="CT1" s="4" t="s">
        <v>95</v>
      </c>
      <c r="DI1" s="4" t="s">
        <v>95</v>
      </c>
      <c r="DX1" s="4" t="s">
        <v>95</v>
      </c>
    </row>
    <row r="2" spans="1:128" ht="12.75">
      <c r="A2" s="1"/>
      <c r="B2" s="2"/>
      <c r="D2" s="4"/>
      <c r="H2" s="4" t="s">
        <v>94</v>
      </c>
      <c r="R2" s="4"/>
      <c r="W2" s="4" t="s">
        <v>94</v>
      </c>
      <c r="AL2" s="4" t="s">
        <v>94</v>
      </c>
      <c r="AV2" s="4"/>
      <c r="BA2" s="4" t="s">
        <v>94</v>
      </c>
      <c r="BP2" s="4" t="s">
        <v>94</v>
      </c>
      <c r="CE2" s="4" t="s">
        <v>94</v>
      </c>
      <c r="CJ2" s="4"/>
      <c r="CO2" s="4"/>
      <c r="CT2" s="4" t="s">
        <v>94</v>
      </c>
      <c r="DI2" s="4" t="s">
        <v>94</v>
      </c>
      <c r="DX2" s="4" t="s">
        <v>94</v>
      </c>
    </row>
    <row r="3" spans="1:128" ht="12.75">
      <c r="A3" s="1"/>
      <c r="B3" s="2"/>
      <c r="D3" s="7"/>
      <c r="H3" s="4" t="str">
        <f>'2011A'!H3</f>
        <v>    2011 Series A Bond Funded Projects after 2016B</v>
      </c>
      <c r="R3" s="4"/>
      <c r="W3" s="4" t="str">
        <f>H3</f>
        <v>    2011 Series A Bond Funded Projects after 2016B</v>
      </c>
      <c r="AL3" s="4" t="s">
        <v>122</v>
      </c>
      <c r="AV3" s="4"/>
      <c r="BA3" s="4" t="s">
        <v>122</v>
      </c>
      <c r="BP3" s="4" t="s">
        <v>122</v>
      </c>
      <c r="CE3" s="4" t="s">
        <v>122</v>
      </c>
      <c r="CJ3" s="4"/>
      <c r="CO3" s="4"/>
      <c r="CT3" s="4" t="s">
        <v>122</v>
      </c>
      <c r="DI3" s="4" t="s">
        <v>122</v>
      </c>
      <c r="DX3" s="4" t="s">
        <v>122</v>
      </c>
    </row>
    <row r="4" spans="1:4" ht="12.75">
      <c r="A4" s="1"/>
      <c r="B4" s="2"/>
      <c r="C4" s="7"/>
      <c r="D4" s="4"/>
    </row>
    <row r="5" spans="1:127" ht="12.75">
      <c r="A5" s="9" t="s">
        <v>0</v>
      </c>
      <c r="C5" s="10" t="s">
        <v>121</v>
      </c>
      <c r="D5" s="11"/>
      <c r="E5" s="12"/>
      <c r="F5" s="12"/>
      <c r="H5" s="13" t="s">
        <v>130</v>
      </c>
      <c r="I5" s="16"/>
      <c r="J5" s="15"/>
      <c r="K5" s="74"/>
      <c r="M5" s="42" t="s">
        <v>17</v>
      </c>
      <c r="N5" s="14"/>
      <c r="O5" s="15"/>
      <c r="P5" s="74"/>
      <c r="R5" s="42" t="s">
        <v>18</v>
      </c>
      <c r="S5" s="14"/>
      <c r="T5" s="15"/>
      <c r="U5" s="74"/>
      <c r="W5" s="75" t="s">
        <v>161</v>
      </c>
      <c r="X5" s="14"/>
      <c r="Y5" s="15"/>
      <c r="Z5" s="74"/>
      <c r="AB5" s="75" t="s">
        <v>162</v>
      </c>
      <c r="AC5" s="14"/>
      <c r="AD5" s="15"/>
      <c r="AE5" s="74"/>
      <c r="AG5" s="42" t="s">
        <v>19</v>
      </c>
      <c r="AH5" s="14"/>
      <c r="AI5" s="15"/>
      <c r="AJ5" s="74"/>
      <c r="AL5" s="42" t="s">
        <v>20</v>
      </c>
      <c r="AM5" s="14"/>
      <c r="AN5" s="15"/>
      <c r="AO5" s="74"/>
      <c r="AQ5" s="42" t="s">
        <v>21</v>
      </c>
      <c r="AR5" s="14"/>
      <c r="AS5" s="15"/>
      <c r="AT5" s="74"/>
      <c r="AV5" s="42" t="s">
        <v>22</v>
      </c>
      <c r="AW5" s="14"/>
      <c r="AX5" s="15"/>
      <c r="AY5" s="74"/>
      <c r="BA5" s="13" t="s">
        <v>23</v>
      </c>
      <c r="BB5" s="14"/>
      <c r="BC5" s="15"/>
      <c r="BD5" s="74"/>
      <c r="BF5" s="42" t="s">
        <v>126</v>
      </c>
      <c r="BG5" s="14"/>
      <c r="BH5" s="15"/>
      <c r="BI5" s="74"/>
      <c r="BK5" s="13" t="s">
        <v>96</v>
      </c>
      <c r="BL5" s="14"/>
      <c r="BM5" s="15"/>
      <c r="BN5" s="74"/>
      <c r="BP5" s="13" t="s">
        <v>158</v>
      </c>
      <c r="BQ5" s="14"/>
      <c r="BR5" s="15"/>
      <c r="BS5" s="74"/>
      <c r="BU5" s="13" t="s">
        <v>24</v>
      </c>
      <c r="BV5" s="14"/>
      <c r="BW5" s="15"/>
      <c r="BX5" s="74"/>
      <c r="BZ5" s="42" t="s">
        <v>127</v>
      </c>
      <c r="CA5" s="14"/>
      <c r="CB5" s="15"/>
      <c r="CC5" s="74"/>
      <c r="CE5" s="42" t="s">
        <v>25</v>
      </c>
      <c r="CF5" s="14"/>
      <c r="CG5" s="15"/>
      <c r="CH5" s="74"/>
      <c r="CJ5" s="42" t="s">
        <v>128</v>
      </c>
      <c r="CK5" s="14"/>
      <c r="CL5" s="15"/>
      <c r="CM5" s="74"/>
      <c r="CO5" s="42" t="s">
        <v>146</v>
      </c>
      <c r="CP5" s="16"/>
      <c r="CQ5" s="15"/>
      <c r="CR5" s="74"/>
      <c r="CT5" s="42" t="s">
        <v>26</v>
      </c>
      <c r="CU5" s="16"/>
      <c r="CV5" s="15"/>
      <c r="CW5" s="74"/>
      <c r="CY5" s="13" t="s">
        <v>27</v>
      </c>
      <c r="CZ5" s="16"/>
      <c r="DA5" s="15"/>
      <c r="DB5" s="74"/>
      <c r="DD5" s="13" t="s">
        <v>28</v>
      </c>
      <c r="DE5" s="16"/>
      <c r="DF5" s="15"/>
      <c r="DG5" s="74"/>
      <c r="DI5" s="13" t="s">
        <v>97</v>
      </c>
      <c r="DJ5" s="16"/>
      <c r="DK5" s="15"/>
      <c r="DL5" s="74"/>
      <c r="DN5" s="42" t="s">
        <v>129</v>
      </c>
      <c r="DO5" s="16"/>
      <c r="DP5" s="15"/>
      <c r="DQ5" s="74"/>
      <c r="DR5" s="43"/>
      <c r="DS5" s="13" t="s">
        <v>29</v>
      </c>
      <c r="DT5" s="16"/>
      <c r="DU5" s="15"/>
      <c r="DV5" s="74"/>
      <c r="DW5" s="44"/>
    </row>
    <row r="6" spans="1:127" ht="12.75">
      <c r="A6" s="22" t="s">
        <v>13</v>
      </c>
      <c r="B6" s="8"/>
      <c r="C6" s="42" t="s">
        <v>135</v>
      </c>
      <c r="D6" s="14"/>
      <c r="E6" s="41"/>
      <c r="F6" s="31" t="s">
        <v>159</v>
      </c>
      <c r="H6" s="23">
        <f>M6+R6+W6+AG6+AL6+AQ6+AV6+BA6+BF6+BK6+BU6+BZ6+CE6+CJ6+CT6+CY6+DD6+DI6+DN6+DS6+CO6</f>
        <v>0.027609599999999998</v>
      </c>
      <c r="I6" s="24">
        <f>N6+S6+X6+AH6+AM6+AR6+AW6+BB6+BG6+BL6+BV6+CA6+CF6+CK6+CU6+CZ6+DE6+DJ6+DO6+DT6+CP6</f>
        <v>0.11840270000000001</v>
      </c>
      <c r="J6" s="25">
        <f>O6+T6+Y6+AI6+AN6+BC6+BH6+BM6+BW6+CB6+CV6+DA6+DP6+AS6+AX6+CG6+DF6+DK6+DU6+CL6+AD6+BR6+CQ6</f>
        <v>0.15072199999999997</v>
      </c>
      <c r="K6" s="31" t="s">
        <v>159</v>
      </c>
      <c r="M6" s="45">
        <v>0.0100458</v>
      </c>
      <c r="N6" s="8">
        <v>0.052307</v>
      </c>
      <c r="O6" s="25">
        <v>0.0626544</v>
      </c>
      <c r="P6" s="31" t="s">
        <v>159</v>
      </c>
      <c r="R6" s="45">
        <v>2.65E-05</v>
      </c>
      <c r="S6" s="8">
        <v>2.66E-05</v>
      </c>
      <c r="T6" s="25">
        <v>2.77E-05</v>
      </c>
      <c r="U6" s="31" t="s">
        <v>159</v>
      </c>
      <c r="W6" s="45">
        <v>3.72E-05</v>
      </c>
      <c r="X6" s="8">
        <v>0.0011716</v>
      </c>
      <c r="Y6" s="25">
        <v>0.0012403</v>
      </c>
      <c r="Z6" s="31" t="s">
        <v>159</v>
      </c>
      <c r="AB6" s="45">
        <v>0</v>
      </c>
      <c r="AC6" s="8">
        <v>0</v>
      </c>
      <c r="AD6" s="25">
        <v>0.0007469</v>
      </c>
      <c r="AE6" s="31" t="s">
        <v>159</v>
      </c>
      <c r="AG6" s="45">
        <v>0.0016866</v>
      </c>
      <c r="AH6" s="8">
        <v>0.0049811</v>
      </c>
      <c r="AI6" s="25">
        <v>0.005551</v>
      </c>
      <c r="AJ6" s="31" t="s">
        <v>159</v>
      </c>
      <c r="AL6" s="45">
        <v>0.0002723</v>
      </c>
      <c r="AM6" s="8">
        <v>0.0006498</v>
      </c>
      <c r="AN6" s="25">
        <v>0.0017202</v>
      </c>
      <c r="AO6" s="31" t="s">
        <v>159</v>
      </c>
      <c r="AQ6" s="45">
        <v>0.0010803</v>
      </c>
      <c r="AR6" s="8">
        <v>0.0029386</v>
      </c>
      <c r="AS6" s="25">
        <v>0.0032386</v>
      </c>
      <c r="AT6" s="31" t="s">
        <v>159</v>
      </c>
      <c r="AV6" s="45">
        <v>5.25E-05</v>
      </c>
      <c r="AW6" s="8">
        <v>0.0004128</v>
      </c>
      <c r="AX6" s="25">
        <v>0.0006858</v>
      </c>
      <c r="AY6" s="31" t="s">
        <v>159</v>
      </c>
      <c r="BA6" s="45">
        <v>0.0002484</v>
      </c>
      <c r="BB6" s="8">
        <v>0.0077563</v>
      </c>
      <c r="BC6" s="25">
        <v>0.0122283</v>
      </c>
      <c r="BD6" s="31" t="s">
        <v>159</v>
      </c>
      <c r="BF6" s="45">
        <v>0.0054241</v>
      </c>
      <c r="BG6" s="8">
        <v>0.00544</v>
      </c>
      <c r="BH6" s="25">
        <v>0.0056618</v>
      </c>
      <c r="BI6" s="31" t="s">
        <v>159</v>
      </c>
      <c r="BK6" s="45">
        <v>0.0004603</v>
      </c>
      <c r="BL6" s="8">
        <v>0.0013952</v>
      </c>
      <c r="BM6" s="25">
        <v>0.0027116</v>
      </c>
      <c r="BN6" s="31" t="s">
        <v>159</v>
      </c>
      <c r="BP6" s="45">
        <v>0</v>
      </c>
      <c r="BQ6" s="8">
        <v>0</v>
      </c>
      <c r="BR6" s="25">
        <v>0.0004001</v>
      </c>
      <c r="BS6" s="31" t="s">
        <v>159</v>
      </c>
      <c r="BU6" s="45">
        <v>0.0008507</v>
      </c>
      <c r="BV6" s="8">
        <v>0.0015946</v>
      </c>
      <c r="BW6" s="25">
        <v>0.0017739</v>
      </c>
      <c r="BX6" s="31" t="s">
        <v>159</v>
      </c>
      <c r="BZ6" s="45">
        <v>4.45E-05</v>
      </c>
      <c r="CA6" s="8">
        <v>8.15E-05</v>
      </c>
      <c r="CB6" s="25">
        <v>0.0002443</v>
      </c>
      <c r="CC6" s="31" t="s">
        <v>159</v>
      </c>
      <c r="CE6" s="45">
        <v>0.0001117</v>
      </c>
      <c r="CF6" s="8">
        <v>0.003689</v>
      </c>
      <c r="CG6" s="25">
        <v>0.0050964</v>
      </c>
      <c r="CH6" s="31" t="s">
        <v>159</v>
      </c>
      <c r="CJ6" s="45">
        <v>0.0005897</v>
      </c>
      <c r="CK6" s="8">
        <v>0.0006701</v>
      </c>
      <c r="CL6" s="25">
        <v>0.0009872</v>
      </c>
      <c r="CM6" s="31" t="s">
        <v>159</v>
      </c>
      <c r="CO6" s="45">
        <v>0</v>
      </c>
      <c r="CP6" s="24">
        <v>0.0007801</v>
      </c>
      <c r="CQ6" s="25">
        <v>0.0013061</v>
      </c>
      <c r="CR6" s="31" t="s">
        <v>159</v>
      </c>
      <c r="CT6" s="45">
        <v>0.0010986</v>
      </c>
      <c r="CU6" s="24">
        <v>0.0017139</v>
      </c>
      <c r="CV6" s="25">
        <v>0.0042458</v>
      </c>
      <c r="CW6" s="31" t="s">
        <v>159</v>
      </c>
      <c r="CY6" s="45">
        <v>0.0015892</v>
      </c>
      <c r="CZ6" s="24">
        <v>0.0015939</v>
      </c>
      <c r="DA6" s="25">
        <v>0.0024961</v>
      </c>
      <c r="DB6" s="31" t="s">
        <v>159</v>
      </c>
      <c r="DD6" s="45">
        <v>0.0003515</v>
      </c>
      <c r="DE6" s="24">
        <v>0.0019244</v>
      </c>
      <c r="DF6" s="25">
        <v>0.0028177</v>
      </c>
      <c r="DG6" s="31" t="s">
        <v>159</v>
      </c>
      <c r="DI6" s="45">
        <v>0.0020374</v>
      </c>
      <c r="DJ6" s="24">
        <v>0.0271257</v>
      </c>
      <c r="DK6" s="25">
        <v>0.0326233</v>
      </c>
      <c r="DL6" s="31" t="s">
        <v>159</v>
      </c>
      <c r="DN6" s="45">
        <v>0.0011508</v>
      </c>
      <c r="DO6" s="24">
        <v>0.0011542</v>
      </c>
      <c r="DP6" s="25">
        <v>0.0012012</v>
      </c>
      <c r="DQ6" s="31" t="s">
        <v>159</v>
      </c>
      <c r="DR6" s="43"/>
      <c r="DS6" s="45">
        <v>0.0004515</v>
      </c>
      <c r="DT6" s="24">
        <v>0.0009963</v>
      </c>
      <c r="DU6" s="25">
        <v>0.0010633</v>
      </c>
      <c r="DV6" s="31" t="s">
        <v>159</v>
      </c>
      <c r="DW6" s="44"/>
    </row>
    <row r="7" spans="1:12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1" t="s">
        <v>14</v>
      </c>
      <c r="S7" s="31" t="s">
        <v>15</v>
      </c>
      <c r="T7" s="31" t="s">
        <v>16</v>
      </c>
      <c r="U7" s="31" t="s">
        <v>160</v>
      </c>
      <c r="W7" s="31" t="s">
        <v>14</v>
      </c>
      <c r="X7" s="31" t="s">
        <v>15</v>
      </c>
      <c r="Y7" s="31" t="s">
        <v>16</v>
      </c>
      <c r="Z7" s="31" t="s">
        <v>160</v>
      </c>
      <c r="AB7" s="31" t="s">
        <v>14</v>
      </c>
      <c r="AC7" s="31" t="s">
        <v>15</v>
      </c>
      <c r="AD7" s="31" t="s">
        <v>16</v>
      </c>
      <c r="AE7" s="31" t="s">
        <v>160</v>
      </c>
      <c r="AG7" s="31" t="s">
        <v>14</v>
      </c>
      <c r="AH7" s="31" t="s">
        <v>15</v>
      </c>
      <c r="AI7" s="31" t="s">
        <v>16</v>
      </c>
      <c r="AJ7" s="31" t="s">
        <v>160</v>
      </c>
      <c r="AL7" s="31" t="s">
        <v>14</v>
      </c>
      <c r="AM7" s="31" t="s">
        <v>15</v>
      </c>
      <c r="AN7" s="31" t="s">
        <v>16</v>
      </c>
      <c r="AO7" s="31" t="s">
        <v>160</v>
      </c>
      <c r="AQ7" s="31" t="s">
        <v>14</v>
      </c>
      <c r="AR7" s="31" t="s">
        <v>15</v>
      </c>
      <c r="AS7" s="31" t="s">
        <v>16</v>
      </c>
      <c r="AT7" s="31" t="s">
        <v>160</v>
      </c>
      <c r="AV7" s="31" t="s">
        <v>14</v>
      </c>
      <c r="AW7" s="31" t="s">
        <v>15</v>
      </c>
      <c r="AX7" s="31" t="s">
        <v>16</v>
      </c>
      <c r="AY7" s="31" t="s">
        <v>160</v>
      </c>
      <c r="BA7" s="31" t="s">
        <v>14</v>
      </c>
      <c r="BB7" s="31" t="s">
        <v>15</v>
      </c>
      <c r="BC7" s="31" t="s">
        <v>16</v>
      </c>
      <c r="BD7" s="31" t="s">
        <v>160</v>
      </c>
      <c r="BF7" s="31" t="s">
        <v>14</v>
      </c>
      <c r="BG7" s="31" t="s">
        <v>15</v>
      </c>
      <c r="BH7" s="31" t="s">
        <v>16</v>
      </c>
      <c r="BI7" s="31" t="s">
        <v>160</v>
      </c>
      <c r="BK7" s="31" t="s">
        <v>14</v>
      </c>
      <c r="BL7" s="31" t="s">
        <v>15</v>
      </c>
      <c r="BM7" s="31" t="s">
        <v>16</v>
      </c>
      <c r="BN7" s="31" t="s">
        <v>160</v>
      </c>
      <c r="BP7" s="31" t="s">
        <v>14</v>
      </c>
      <c r="BQ7" s="31" t="s">
        <v>15</v>
      </c>
      <c r="BR7" s="31" t="s">
        <v>16</v>
      </c>
      <c r="BS7" s="31" t="s">
        <v>160</v>
      </c>
      <c r="BU7" s="31" t="s">
        <v>14</v>
      </c>
      <c r="BV7" s="31" t="s">
        <v>15</v>
      </c>
      <c r="BW7" s="31" t="s">
        <v>16</v>
      </c>
      <c r="BX7" s="31" t="s">
        <v>160</v>
      </c>
      <c r="BZ7" s="31" t="s">
        <v>14</v>
      </c>
      <c r="CA7" s="31" t="s">
        <v>15</v>
      </c>
      <c r="CB7" s="31" t="s">
        <v>16</v>
      </c>
      <c r="CC7" s="31" t="s">
        <v>160</v>
      </c>
      <c r="CE7" s="31" t="s">
        <v>14</v>
      </c>
      <c r="CF7" s="31" t="s">
        <v>15</v>
      </c>
      <c r="CG7" s="31" t="s">
        <v>16</v>
      </c>
      <c r="CH7" s="31" t="s">
        <v>160</v>
      </c>
      <c r="CJ7" s="31" t="s">
        <v>14</v>
      </c>
      <c r="CK7" s="31" t="s">
        <v>15</v>
      </c>
      <c r="CL7" s="31" t="s">
        <v>16</v>
      </c>
      <c r="CM7" s="31" t="s">
        <v>160</v>
      </c>
      <c r="CO7" s="31" t="s">
        <v>14</v>
      </c>
      <c r="CP7" s="31" t="s">
        <v>15</v>
      </c>
      <c r="CQ7" s="31" t="s">
        <v>16</v>
      </c>
      <c r="CR7" s="31" t="s">
        <v>160</v>
      </c>
      <c r="CT7" s="31" t="s">
        <v>14</v>
      </c>
      <c r="CU7" s="31" t="s">
        <v>15</v>
      </c>
      <c r="CV7" s="31" t="s">
        <v>16</v>
      </c>
      <c r="CW7" s="31" t="s">
        <v>160</v>
      </c>
      <c r="CY7" s="31" t="s">
        <v>14</v>
      </c>
      <c r="CZ7" s="31" t="s">
        <v>15</v>
      </c>
      <c r="DA7" s="31" t="s">
        <v>16</v>
      </c>
      <c r="DB7" s="31" t="s">
        <v>160</v>
      </c>
      <c r="DD7" s="31" t="s">
        <v>14</v>
      </c>
      <c r="DE7" s="31" t="s">
        <v>15</v>
      </c>
      <c r="DF7" s="31" t="s">
        <v>16</v>
      </c>
      <c r="DG7" s="31" t="s">
        <v>160</v>
      </c>
      <c r="DI7" s="31" t="s">
        <v>14</v>
      </c>
      <c r="DJ7" s="31" t="s">
        <v>15</v>
      </c>
      <c r="DK7" s="31" t="s">
        <v>16</v>
      </c>
      <c r="DL7" s="31" t="s">
        <v>160</v>
      </c>
      <c r="DN7" s="31" t="s">
        <v>14</v>
      </c>
      <c r="DO7" s="31" t="s">
        <v>15</v>
      </c>
      <c r="DP7" s="31" t="s">
        <v>16</v>
      </c>
      <c r="DQ7" s="31" t="s">
        <v>160</v>
      </c>
      <c r="DR7" s="46"/>
      <c r="DS7" s="31" t="s">
        <v>14</v>
      </c>
      <c r="DT7" s="31" t="s">
        <v>15</v>
      </c>
      <c r="DU7" s="31" t="s">
        <v>16</v>
      </c>
      <c r="DV7" s="31" t="s">
        <v>160</v>
      </c>
      <c r="DW7" s="73"/>
      <c r="DX7" s="34"/>
    </row>
    <row r="8" spans="1:126" ht="12.75">
      <c r="A8" s="37">
        <v>42278</v>
      </c>
      <c r="D8" s="3">
        <v>2278875</v>
      </c>
      <c r="E8" s="35">
        <f aca="true" t="shared" si="0" ref="E8:E39">C8+D8</f>
        <v>2278875</v>
      </c>
      <c r="F8" s="35">
        <f>'2011A'!F8</f>
        <v>280412</v>
      </c>
      <c r="H8" s="47"/>
      <c r="I8" s="36">
        <f aca="true" t="shared" si="1" ref="I8:I39">N8+S8+AH8+AM8+BB8+BG8+BL8+BV8+CA8+CF8+CU8+CZ8+DO8+X8+AR8+AW8+DE8+DJ8+DT8+CK8+CP8+AC8+BQ8</f>
        <v>343476.5977499999</v>
      </c>
      <c r="J8" s="36">
        <f aca="true" t="shared" si="2" ref="J8:J39">H8+I8</f>
        <v>343476.5977499999</v>
      </c>
      <c r="K8" s="36">
        <f aca="true" t="shared" si="3" ref="K8:K39">P8+U8+AJ8+AO8+BD8+BI8+BN8+BX8+CC8+CH8+CW8+DB8+DQ8+Z8+AT8+AY8+DG8+DL8+DV8+CM8+CR8+AE8+BS8</f>
        <v>42264.25746400001</v>
      </c>
      <c r="N8" s="5">
        <f aca="true" t="shared" si="4" ref="N8:N39">D8*$O$6</f>
        <v>142781.5458</v>
      </c>
      <c r="O8" s="5">
        <f aca="true" t="shared" si="5" ref="O8:O39">M8+N8</f>
        <v>142781.5458</v>
      </c>
      <c r="P8" s="35">
        <f aca="true" t="shared" si="6" ref="P8:P39">O$6*$F8</f>
        <v>17569.0456128</v>
      </c>
      <c r="S8" s="36">
        <f aca="true" t="shared" si="7" ref="S8:S39">D8*$T$6</f>
        <v>63.1248375</v>
      </c>
      <c r="T8" s="36">
        <f aca="true" t="shared" si="8" ref="T8:T39">R8+S8</f>
        <v>63.1248375</v>
      </c>
      <c r="U8" s="35">
        <f aca="true" t="shared" si="9" ref="U8:U39">T$6*$F8</f>
        <v>7.7674123999999996</v>
      </c>
      <c r="X8" s="5">
        <f aca="true" t="shared" si="10" ref="X8:X39">D8*$Y$6</f>
        <v>2826.4886625</v>
      </c>
      <c r="Y8" s="5">
        <f aca="true" t="shared" si="11" ref="Y8:Y13">W8+X8</f>
        <v>2826.4886625</v>
      </c>
      <c r="Z8" s="35">
        <f aca="true" t="shared" si="12" ref="Z8:Z39">Y$6*$F8</f>
        <v>347.7950036</v>
      </c>
      <c r="AC8" s="5">
        <f aca="true" t="shared" si="13" ref="AC8:AC39">D8*$AD$6</f>
        <v>1702.0917375</v>
      </c>
      <c r="AD8" s="5">
        <f aca="true" t="shared" si="14" ref="AD8:AD39">AB8+AC8</f>
        <v>1702.0917375</v>
      </c>
      <c r="AE8" s="35">
        <f aca="true" t="shared" si="15" ref="AE8:AE39">AD$6*$F8</f>
        <v>209.4397228</v>
      </c>
      <c r="AH8" s="5">
        <f aca="true" t="shared" si="16" ref="AH8:AH39">D8*$AI$6</f>
        <v>12650.035125</v>
      </c>
      <c r="AI8" s="5">
        <f aca="true" t="shared" si="17" ref="AI8:AI39">AG8+AH8</f>
        <v>12650.035125</v>
      </c>
      <c r="AJ8" s="35">
        <f aca="true" t="shared" si="18" ref="AJ8:AJ39">AI$6*$F8</f>
        <v>1556.5670120000002</v>
      </c>
      <c r="AM8" s="5">
        <f aca="true" t="shared" si="19" ref="AM8:AM39">D8*$AN$6</f>
        <v>3920.1207750000003</v>
      </c>
      <c r="AN8" s="5">
        <f aca="true" t="shared" si="20" ref="AN8:AN39">AL8+AM8</f>
        <v>3920.1207750000003</v>
      </c>
      <c r="AO8" s="35">
        <f aca="true" t="shared" si="21" ref="AO8:AO39">AN$6*$F8</f>
        <v>482.3647224</v>
      </c>
      <c r="AR8" s="5">
        <f aca="true" t="shared" si="22" ref="AR8:AR39">D8*$AS$6</f>
        <v>7380.364575</v>
      </c>
      <c r="AS8" s="5">
        <f aca="true" t="shared" si="23" ref="AS8:AS39">AQ8+AR8</f>
        <v>7380.364575</v>
      </c>
      <c r="AT8" s="35">
        <f aca="true" t="shared" si="24" ref="AT8:AT39">AS$6*$F8</f>
        <v>908.1423032</v>
      </c>
      <c r="AW8" s="5">
        <f aca="true" t="shared" si="25" ref="AW8:AW39">D8*$AX$6</f>
        <v>1562.852475</v>
      </c>
      <c r="AX8" s="5">
        <f aca="true" t="shared" si="26" ref="AX8:AX39">AV8+AW8</f>
        <v>1562.852475</v>
      </c>
      <c r="AY8" s="35">
        <f aca="true" t="shared" si="27" ref="AY8:AY39">AX$6*$F8</f>
        <v>192.30654959999998</v>
      </c>
      <c r="BB8" s="5">
        <f aca="true" t="shared" si="28" ref="BB8:BB39">D8*$BC$6</f>
        <v>27866.767162499997</v>
      </c>
      <c r="BC8" s="5">
        <f aca="true" t="shared" si="29" ref="BC8:BC39">BA8+BB8</f>
        <v>27866.767162499997</v>
      </c>
      <c r="BD8" s="35">
        <f aca="true" t="shared" si="30" ref="BD8:BD39">BC$6*$F8</f>
        <v>3428.9620596</v>
      </c>
      <c r="BF8" s="36"/>
      <c r="BG8" s="5">
        <f aca="true" t="shared" si="31" ref="BG8:BG39">D8*$BH$6</f>
        <v>12902.534475</v>
      </c>
      <c r="BH8" s="36">
        <f aca="true" t="shared" si="32" ref="BH8:BH39">BF8+BG8</f>
        <v>12902.534475</v>
      </c>
      <c r="BI8" s="35">
        <f aca="true" t="shared" si="33" ref="BI8:BI39">BH$6*$F8</f>
        <v>1587.6366616</v>
      </c>
      <c r="BL8" s="5">
        <f aca="true" t="shared" si="34" ref="BL8:BL39">D8*$BM$6</f>
        <v>6179.39745</v>
      </c>
      <c r="BM8" s="5">
        <f aca="true" t="shared" si="35" ref="BM8:BM39">BK8+BL8</f>
        <v>6179.39745</v>
      </c>
      <c r="BN8" s="35">
        <f aca="true" t="shared" si="36" ref="BN8:BN39">BM$6*$F8</f>
        <v>760.3651792000001</v>
      </c>
      <c r="BP8" s="5">
        <f aca="true" t="shared" si="37" ref="BP8:BP39">C8*$BR$6</f>
        <v>0</v>
      </c>
      <c r="BQ8" s="5">
        <f aca="true" t="shared" si="38" ref="BQ8:BQ39">D8*$BR$6</f>
        <v>911.7778875</v>
      </c>
      <c r="BR8" s="5">
        <f aca="true" t="shared" si="39" ref="BR8:BR39">BP8+BQ8</f>
        <v>911.7778875</v>
      </c>
      <c r="BS8" s="35">
        <f aca="true" t="shared" si="40" ref="BS8:BS39">BR$6*$F8</f>
        <v>112.1928412</v>
      </c>
      <c r="BV8" s="5">
        <f aca="true" t="shared" si="41" ref="BV8:BV39">D8*$BW$6</f>
        <v>4042.4963624999996</v>
      </c>
      <c r="BW8" s="5">
        <f aca="true" t="shared" si="42" ref="BW8:BW39">BU8+BV8</f>
        <v>4042.4963624999996</v>
      </c>
      <c r="BX8" s="35">
        <f aca="true" t="shared" si="43" ref="BX8:BX39">BW$6*$F8</f>
        <v>497.4228468</v>
      </c>
      <c r="CA8" s="5">
        <f aca="true" t="shared" si="44" ref="CA8:CA39">D8*$CB$6</f>
        <v>556.7291624999999</v>
      </c>
      <c r="CB8" s="5">
        <f aca="true" t="shared" si="45" ref="CB8:CB39">BZ8+CA8</f>
        <v>556.7291624999999</v>
      </c>
      <c r="CC8" s="35">
        <f aca="true" t="shared" si="46" ref="CC8:CC39">CB$6*$F8</f>
        <v>68.50465159999999</v>
      </c>
      <c r="CF8" s="5">
        <f aca="true" t="shared" si="47" ref="CF8:CF39">D8*$CG$6</f>
        <v>11614.05855</v>
      </c>
      <c r="CG8" s="5">
        <f aca="true" t="shared" si="48" ref="CG8:CG39">CE8+CF8</f>
        <v>11614.05855</v>
      </c>
      <c r="CH8" s="35">
        <f aca="true" t="shared" si="49" ref="CH8:CH39">CG$6*$F8</f>
        <v>1429.0917168</v>
      </c>
      <c r="CK8" s="5">
        <f aca="true" t="shared" si="50" ref="CK8:CK39">D8*$CL$6</f>
        <v>2249.7054</v>
      </c>
      <c r="CL8" s="5">
        <f aca="true" t="shared" si="51" ref="CL8:CL39">CJ8+CK8</f>
        <v>2249.7054</v>
      </c>
      <c r="CM8" s="35">
        <f aca="true" t="shared" si="52" ref="CM8:CM39">CL$6*$F8</f>
        <v>276.82272639999996</v>
      </c>
      <c r="CP8" s="5">
        <f aca="true" t="shared" si="53" ref="CP8:CP39">D8*$CQ$6</f>
        <v>2976.4386375</v>
      </c>
      <c r="CQ8" s="36">
        <f aca="true" t="shared" si="54" ref="CQ8:CQ39">CO8+CP8</f>
        <v>2976.4386375</v>
      </c>
      <c r="CR8" s="35">
        <f aca="true" t="shared" si="55" ref="CR8:CR39">CQ$6*$F8</f>
        <v>366.24611319999997</v>
      </c>
      <c r="CU8" s="5">
        <f aca="true" t="shared" si="56" ref="CU8:CU39">D8*$CV$6</f>
        <v>9675.647475</v>
      </c>
      <c r="CV8" s="36">
        <f aca="true" t="shared" si="57" ref="CV8:CV39">CT8+CU8</f>
        <v>9675.647475</v>
      </c>
      <c r="CW8" s="35">
        <f aca="true" t="shared" si="58" ref="CW8:CW39">CV$6*$F8</f>
        <v>1190.5732696</v>
      </c>
      <c r="CZ8" s="5">
        <f aca="true" t="shared" si="59" ref="CZ8:CZ39">D8*$DA$6</f>
        <v>5688.299887499999</v>
      </c>
      <c r="DA8" s="5">
        <f aca="true" t="shared" si="60" ref="DA8:DA39">CY8+CZ8</f>
        <v>5688.299887499999</v>
      </c>
      <c r="DB8" s="35">
        <f aca="true" t="shared" si="61" ref="DB8:DB39">DA$6*$F8</f>
        <v>699.9363932</v>
      </c>
      <c r="DE8" s="5">
        <f aca="true" t="shared" si="62" ref="DE8:DE39">D8*$DF$6</f>
        <v>6421.186087499999</v>
      </c>
      <c r="DF8" s="5">
        <f aca="true" t="shared" si="63" ref="DF8:DF39">DD8+DE8</f>
        <v>6421.186087499999</v>
      </c>
      <c r="DG8" s="35">
        <f aca="true" t="shared" si="64" ref="DG8:DG39">DF$6*$F8</f>
        <v>790.1168924</v>
      </c>
      <c r="DJ8" s="5">
        <f aca="true" t="shared" si="65" ref="DJ8:DJ39">D8*$DK$6</f>
        <v>74344.4227875</v>
      </c>
      <c r="DK8" s="5">
        <f aca="true" t="shared" si="66" ref="DK8:DK39">DI8+DJ8</f>
        <v>74344.4227875</v>
      </c>
      <c r="DL8" s="35">
        <f aca="true" t="shared" si="67" ref="DL8:DL39">DK$6*$F8</f>
        <v>9147.9647996</v>
      </c>
      <c r="DO8" s="5">
        <f aca="true" t="shared" si="68" ref="DO8:DO39">D8*$DP$6</f>
        <v>2737.38465</v>
      </c>
      <c r="DP8" s="36">
        <f aca="true" t="shared" si="69" ref="DP8:DP39">DN8+DO8</f>
        <v>2737.38465</v>
      </c>
      <c r="DQ8" s="35">
        <f aca="true" t="shared" si="70" ref="DQ8:DQ39">DP$6*$F8</f>
        <v>336.8308944</v>
      </c>
      <c r="DT8" s="36">
        <f aca="true" t="shared" si="71" ref="DT8:DT39">D8*$DU$6</f>
        <v>2423.1277875</v>
      </c>
      <c r="DU8" s="36">
        <f aca="true" t="shared" si="72" ref="DU8:DU39">DS8+DT8</f>
        <v>2423.1277875</v>
      </c>
      <c r="DV8" s="35">
        <f aca="true" t="shared" si="73" ref="DV8:DV39">DU$6*$F8</f>
        <v>298.1620796</v>
      </c>
    </row>
    <row r="9" spans="1:126" ht="12.75">
      <c r="A9" s="37">
        <v>42461</v>
      </c>
      <c r="C9" s="3">
        <v>4295000</v>
      </c>
      <c r="D9" s="3">
        <v>2278875</v>
      </c>
      <c r="E9" s="35">
        <f t="shared" si="0"/>
        <v>6573875</v>
      </c>
      <c r="F9" s="35">
        <f>'2011A'!F9</f>
        <v>145958</v>
      </c>
      <c r="H9" s="47">
        <f aca="true" t="shared" si="74" ref="H9:H39">M9+R9+W9+AG9+AL9+BA9+BF9+BK9+BU9+BZ9+CT9+DN9+AQ9+AV9+CE9+CY9+DD9+DI9+DS9+CJ9+CO9+AB9+BP9</f>
        <v>647350.9899999999</v>
      </c>
      <c r="I9" s="36">
        <f t="shared" si="1"/>
        <v>343476.5977499999</v>
      </c>
      <c r="J9" s="36">
        <f t="shared" si="2"/>
        <v>990827.5877499997</v>
      </c>
      <c r="K9" s="36">
        <f t="shared" si="3"/>
        <v>21999.081675999998</v>
      </c>
      <c r="M9" s="5">
        <f aca="true" t="shared" si="75" ref="M9:M39">C9*$O$6</f>
        <v>269100.648</v>
      </c>
      <c r="N9" s="5">
        <f t="shared" si="4"/>
        <v>142781.5458</v>
      </c>
      <c r="O9" s="5">
        <f t="shared" si="5"/>
        <v>411882.1938</v>
      </c>
      <c r="P9" s="35">
        <f t="shared" si="6"/>
        <v>9144.9109152</v>
      </c>
      <c r="R9" s="5">
        <f aca="true" t="shared" si="76" ref="R9:R39">C9*$T$6</f>
        <v>118.97149999999999</v>
      </c>
      <c r="S9" s="36">
        <f t="shared" si="7"/>
        <v>63.1248375</v>
      </c>
      <c r="T9" s="36">
        <f t="shared" si="8"/>
        <v>182.0963375</v>
      </c>
      <c r="U9" s="35">
        <f t="shared" si="9"/>
        <v>4.0430366</v>
      </c>
      <c r="W9" s="5">
        <f aca="true" t="shared" si="77" ref="W9:W39">C9*$Y$6</f>
        <v>5327.0885</v>
      </c>
      <c r="X9" s="5">
        <f t="shared" si="10"/>
        <v>2826.4886625</v>
      </c>
      <c r="Y9" s="5">
        <f t="shared" si="11"/>
        <v>8153.5771625</v>
      </c>
      <c r="Z9" s="35">
        <f t="shared" si="12"/>
        <v>181.0317074</v>
      </c>
      <c r="AB9" s="5">
        <f aca="true" t="shared" si="78" ref="AB9:AB39">C9*$AD$6</f>
        <v>3207.9355</v>
      </c>
      <c r="AC9" s="5">
        <f t="shared" si="13"/>
        <v>1702.0917375</v>
      </c>
      <c r="AD9" s="5">
        <f t="shared" si="14"/>
        <v>4910.0272375</v>
      </c>
      <c r="AE9" s="35">
        <f t="shared" si="15"/>
        <v>109.0160302</v>
      </c>
      <c r="AG9" s="5">
        <f aca="true" t="shared" si="79" ref="AG9:AG39">C9*$AI$6</f>
        <v>23841.545000000002</v>
      </c>
      <c r="AH9" s="5">
        <f t="shared" si="16"/>
        <v>12650.035125</v>
      </c>
      <c r="AI9" s="5">
        <f t="shared" si="17"/>
        <v>36491.580125</v>
      </c>
      <c r="AJ9" s="35">
        <f t="shared" si="18"/>
        <v>810.2128580000001</v>
      </c>
      <c r="AL9" s="5">
        <f aca="true" t="shared" si="80" ref="AL9:AL39">C9*$AN$6</f>
        <v>7388.259</v>
      </c>
      <c r="AM9" s="5">
        <f t="shared" si="19"/>
        <v>3920.1207750000003</v>
      </c>
      <c r="AN9" s="5">
        <f t="shared" si="20"/>
        <v>11308.379775000001</v>
      </c>
      <c r="AO9" s="35">
        <f t="shared" si="21"/>
        <v>251.0769516</v>
      </c>
      <c r="AQ9" s="5">
        <f aca="true" t="shared" si="81" ref="AQ9:AQ39">C9*$AS$6</f>
        <v>13909.787</v>
      </c>
      <c r="AR9" s="5">
        <f t="shared" si="22"/>
        <v>7380.364575</v>
      </c>
      <c r="AS9" s="5">
        <f t="shared" si="23"/>
        <v>21290.151575</v>
      </c>
      <c r="AT9" s="35">
        <f t="shared" si="24"/>
        <v>472.6995788</v>
      </c>
      <c r="AV9" s="5">
        <f aca="true" t="shared" si="82" ref="AV9:AV39">C9*$AX$6</f>
        <v>2945.511</v>
      </c>
      <c r="AW9" s="5">
        <f t="shared" si="25"/>
        <v>1562.852475</v>
      </c>
      <c r="AX9" s="5">
        <f t="shared" si="26"/>
        <v>4508.363475</v>
      </c>
      <c r="AY9" s="35">
        <f t="shared" si="27"/>
        <v>100.0979964</v>
      </c>
      <c r="BA9" s="5">
        <f aca="true" t="shared" si="83" ref="BA9:BA39">C9*$BC$6</f>
        <v>52520.5485</v>
      </c>
      <c r="BB9" s="5">
        <f t="shared" si="28"/>
        <v>27866.767162499997</v>
      </c>
      <c r="BC9" s="5">
        <f t="shared" si="29"/>
        <v>80387.3156625</v>
      </c>
      <c r="BD9" s="35">
        <f t="shared" si="30"/>
        <v>1784.8182113999999</v>
      </c>
      <c r="BF9" s="36">
        <f aca="true" t="shared" si="84" ref="BF9:BF39">C9*$BH$6</f>
        <v>24317.431</v>
      </c>
      <c r="BG9" s="5">
        <f t="shared" si="31"/>
        <v>12902.534475</v>
      </c>
      <c r="BH9" s="36">
        <f t="shared" si="32"/>
        <v>37219.965475000005</v>
      </c>
      <c r="BI9" s="35">
        <f t="shared" si="33"/>
        <v>826.3850044</v>
      </c>
      <c r="BK9" s="5">
        <f aca="true" t="shared" si="85" ref="BK9:BK39">C9*$BM$6</f>
        <v>11646.322</v>
      </c>
      <c r="BL9" s="5">
        <f t="shared" si="34"/>
        <v>6179.39745</v>
      </c>
      <c r="BM9" s="5">
        <f t="shared" si="35"/>
        <v>17825.71945</v>
      </c>
      <c r="BN9" s="35">
        <f t="shared" si="36"/>
        <v>395.7797128</v>
      </c>
      <c r="BP9" s="5">
        <f t="shared" si="37"/>
        <v>1718.4295000000002</v>
      </c>
      <c r="BQ9" s="5">
        <f t="shared" si="38"/>
        <v>911.7778875</v>
      </c>
      <c r="BR9" s="5">
        <f t="shared" si="39"/>
        <v>2630.2073875</v>
      </c>
      <c r="BS9" s="35">
        <f t="shared" si="40"/>
        <v>58.397795800000004</v>
      </c>
      <c r="BU9" s="5">
        <f aca="true" t="shared" si="86" ref="BU9:BU39">C9*$BW$6</f>
        <v>7618.9005</v>
      </c>
      <c r="BV9" s="5">
        <f t="shared" si="41"/>
        <v>4042.4963624999996</v>
      </c>
      <c r="BW9" s="5">
        <f t="shared" si="42"/>
        <v>11661.3968625</v>
      </c>
      <c r="BX9" s="35">
        <f t="shared" si="43"/>
        <v>258.9148962</v>
      </c>
      <c r="BZ9" s="5">
        <f aca="true" t="shared" si="87" ref="BZ9:BZ39">C9*$CB$6</f>
        <v>1049.2685</v>
      </c>
      <c r="CA9" s="5">
        <f t="shared" si="44"/>
        <v>556.7291624999999</v>
      </c>
      <c r="CB9" s="5">
        <f t="shared" si="45"/>
        <v>1605.9976625</v>
      </c>
      <c r="CC9" s="35">
        <f t="shared" si="46"/>
        <v>35.6575394</v>
      </c>
      <c r="CE9" s="5">
        <f aca="true" t="shared" si="88" ref="CE9:CE39">C9*$CG$6</f>
        <v>21889.038</v>
      </c>
      <c r="CF9" s="5">
        <f t="shared" si="47"/>
        <v>11614.05855</v>
      </c>
      <c r="CG9" s="5">
        <f t="shared" si="48"/>
        <v>33503.09655</v>
      </c>
      <c r="CH9" s="35">
        <f t="shared" si="49"/>
        <v>743.8603512</v>
      </c>
      <c r="CJ9" s="5">
        <f aca="true" t="shared" si="89" ref="CJ9:CJ39">C9*$CL$6</f>
        <v>4240.023999999999</v>
      </c>
      <c r="CK9" s="5">
        <f t="shared" si="50"/>
        <v>2249.7054</v>
      </c>
      <c r="CL9" s="5">
        <f t="shared" si="51"/>
        <v>6489.729399999999</v>
      </c>
      <c r="CM9" s="35">
        <f t="shared" si="52"/>
        <v>144.08973759999998</v>
      </c>
      <c r="CO9" s="5">
        <f aca="true" t="shared" si="90" ref="CO9:CO39">C9*$CQ$6</f>
        <v>5609.6995</v>
      </c>
      <c r="CP9" s="5">
        <f t="shared" si="53"/>
        <v>2976.4386375</v>
      </c>
      <c r="CQ9" s="36">
        <f t="shared" si="54"/>
        <v>8586.1381375</v>
      </c>
      <c r="CR9" s="35">
        <f t="shared" si="55"/>
        <v>190.6357438</v>
      </c>
      <c r="CT9" s="5">
        <f aca="true" t="shared" si="91" ref="CT9:CT39">C9*$CV$6</f>
        <v>18235.711</v>
      </c>
      <c r="CU9" s="5">
        <f t="shared" si="56"/>
        <v>9675.647475</v>
      </c>
      <c r="CV9" s="36">
        <f t="shared" si="57"/>
        <v>27911.358475</v>
      </c>
      <c r="CW9" s="35">
        <f t="shared" si="58"/>
        <v>619.7084764</v>
      </c>
      <c r="CY9" s="5">
        <f aca="true" t="shared" si="92" ref="CY9:CY39">C9*$DA$6</f>
        <v>10720.7495</v>
      </c>
      <c r="CZ9" s="5">
        <f t="shared" si="59"/>
        <v>5688.299887499999</v>
      </c>
      <c r="DA9" s="5">
        <f t="shared" si="60"/>
        <v>16409.0493875</v>
      </c>
      <c r="DB9" s="35">
        <f t="shared" si="61"/>
        <v>364.32576379999995</v>
      </c>
      <c r="DD9" s="5">
        <f aca="true" t="shared" si="93" ref="DD9:DD39">C9*$DF$6</f>
        <v>12102.021499999999</v>
      </c>
      <c r="DE9" s="5">
        <f t="shared" si="62"/>
        <v>6421.186087499999</v>
      </c>
      <c r="DF9" s="5">
        <f t="shared" si="63"/>
        <v>18523.207587499997</v>
      </c>
      <c r="DG9" s="35">
        <f t="shared" si="64"/>
        <v>411.26585659999995</v>
      </c>
      <c r="DI9" s="5">
        <f aca="true" t="shared" si="94" ref="DI9:DI39">C9*$DK$6</f>
        <v>140117.0735</v>
      </c>
      <c r="DJ9" s="5">
        <f t="shared" si="65"/>
        <v>74344.4227875</v>
      </c>
      <c r="DK9" s="5">
        <f t="shared" si="66"/>
        <v>214461.49628750002</v>
      </c>
      <c r="DL9" s="35">
        <f t="shared" si="67"/>
        <v>4761.6316214</v>
      </c>
      <c r="DN9" s="5">
        <f aca="true" t="shared" si="95" ref="DN9:DN39">C9*$DP$6</f>
        <v>5159.1539999999995</v>
      </c>
      <c r="DO9" s="5">
        <f t="shared" si="68"/>
        <v>2737.38465</v>
      </c>
      <c r="DP9" s="36">
        <f t="shared" si="69"/>
        <v>7896.5386499999995</v>
      </c>
      <c r="DQ9" s="35">
        <f t="shared" si="70"/>
        <v>175.3247496</v>
      </c>
      <c r="DS9" s="5">
        <f aca="true" t="shared" si="96" ref="DS9:DS39">C9*$DU$6</f>
        <v>4566.873500000001</v>
      </c>
      <c r="DT9" s="36">
        <f t="shared" si="71"/>
        <v>2423.1277875</v>
      </c>
      <c r="DU9" s="36">
        <f t="shared" si="72"/>
        <v>6990.001287500001</v>
      </c>
      <c r="DV9" s="35">
        <f t="shared" si="73"/>
        <v>155.19714140000002</v>
      </c>
    </row>
    <row r="10" spans="1:126" ht="12.75">
      <c r="A10" s="37">
        <v>42644</v>
      </c>
      <c r="D10" s="3">
        <v>1037600</v>
      </c>
      <c r="E10" s="35">
        <f t="shared" si="0"/>
        <v>1037600</v>
      </c>
      <c r="F10" s="35">
        <f>'2011A'!F10</f>
        <v>145958</v>
      </c>
      <c r="H10" s="47"/>
      <c r="I10" s="36">
        <f t="shared" si="1"/>
        <v>156389.14720000004</v>
      </c>
      <c r="J10" s="36">
        <f t="shared" si="2"/>
        <v>156389.14720000004</v>
      </c>
      <c r="K10" s="36">
        <f t="shared" si="3"/>
        <v>21999.081675999998</v>
      </c>
      <c r="N10" s="5">
        <f t="shared" si="4"/>
        <v>65010.20544</v>
      </c>
      <c r="O10" s="5">
        <f t="shared" si="5"/>
        <v>65010.20544</v>
      </c>
      <c r="P10" s="35">
        <f t="shared" si="6"/>
        <v>9144.9109152</v>
      </c>
      <c r="S10" s="36">
        <f t="shared" si="7"/>
        <v>28.741519999999998</v>
      </c>
      <c r="T10" s="36">
        <f t="shared" si="8"/>
        <v>28.741519999999998</v>
      </c>
      <c r="U10" s="35">
        <f t="shared" si="9"/>
        <v>4.0430366</v>
      </c>
      <c r="X10" s="5">
        <f t="shared" si="10"/>
        <v>1286.93528</v>
      </c>
      <c r="Y10" s="5">
        <f t="shared" si="11"/>
        <v>1286.93528</v>
      </c>
      <c r="Z10" s="35">
        <f t="shared" si="12"/>
        <v>181.0317074</v>
      </c>
      <c r="AC10" s="5">
        <f t="shared" si="13"/>
        <v>774.98344</v>
      </c>
      <c r="AD10" s="5">
        <f t="shared" si="14"/>
        <v>774.98344</v>
      </c>
      <c r="AE10" s="35">
        <f t="shared" si="15"/>
        <v>109.0160302</v>
      </c>
      <c r="AH10" s="5">
        <f t="shared" si="16"/>
        <v>5759.7176</v>
      </c>
      <c r="AI10" s="5">
        <f t="shared" si="17"/>
        <v>5759.7176</v>
      </c>
      <c r="AJ10" s="35">
        <f t="shared" si="18"/>
        <v>810.2128580000001</v>
      </c>
      <c r="AM10" s="5">
        <f t="shared" si="19"/>
        <v>1784.8795200000002</v>
      </c>
      <c r="AN10" s="5">
        <f t="shared" si="20"/>
        <v>1784.8795200000002</v>
      </c>
      <c r="AO10" s="35">
        <f t="shared" si="21"/>
        <v>251.0769516</v>
      </c>
      <c r="AR10" s="5">
        <f t="shared" si="22"/>
        <v>3360.37136</v>
      </c>
      <c r="AS10" s="5">
        <f t="shared" si="23"/>
        <v>3360.37136</v>
      </c>
      <c r="AT10" s="35">
        <f t="shared" si="24"/>
        <v>472.6995788</v>
      </c>
      <c r="AW10" s="5">
        <f t="shared" si="25"/>
        <v>711.5860799999999</v>
      </c>
      <c r="AX10" s="5">
        <f t="shared" si="26"/>
        <v>711.5860799999999</v>
      </c>
      <c r="AY10" s="35">
        <f t="shared" si="27"/>
        <v>100.0979964</v>
      </c>
      <c r="BB10" s="5">
        <f t="shared" si="28"/>
        <v>12688.084079999999</v>
      </c>
      <c r="BC10" s="5">
        <f t="shared" si="29"/>
        <v>12688.084079999999</v>
      </c>
      <c r="BD10" s="35">
        <f t="shared" si="30"/>
        <v>1784.8182113999999</v>
      </c>
      <c r="BF10" s="36"/>
      <c r="BG10" s="5">
        <f t="shared" si="31"/>
        <v>5874.68368</v>
      </c>
      <c r="BH10" s="36">
        <f t="shared" si="32"/>
        <v>5874.68368</v>
      </c>
      <c r="BI10" s="35">
        <f t="shared" si="33"/>
        <v>826.3850044</v>
      </c>
      <c r="BL10" s="5">
        <f t="shared" si="34"/>
        <v>2813.55616</v>
      </c>
      <c r="BM10" s="5">
        <f t="shared" si="35"/>
        <v>2813.55616</v>
      </c>
      <c r="BN10" s="35">
        <f t="shared" si="36"/>
        <v>395.7797128</v>
      </c>
      <c r="BP10" s="5">
        <f t="shared" si="37"/>
        <v>0</v>
      </c>
      <c r="BQ10" s="5">
        <f t="shared" si="38"/>
        <v>415.14376000000004</v>
      </c>
      <c r="BR10" s="5">
        <f t="shared" si="39"/>
        <v>415.14376000000004</v>
      </c>
      <c r="BS10" s="35">
        <f t="shared" si="40"/>
        <v>58.397795800000004</v>
      </c>
      <c r="BV10" s="5">
        <f t="shared" si="41"/>
        <v>1840.59864</v>
      </c>
      <c r="BW10" s="5">
        <f t="shared" si="42"/>
        <v>1840.59864</v>
      </c>
      <c r="BX10" s="35">
        <f t="shared" si="43"/>
        <v>258.9148962</v>
      </c>
      <c r="CA10" s="5">
        <f t="shared" si="44"/>
        <v>253.48567999999997</v>
      </c>
      <c r="CB10" s="5">
        <f t="shared" si="45"/>
        <v>253.48567999999997</v>
      </c>
      <c r="CC10" s="35">
        <f t="shared" si="46"/>
        <v>35.6575394</v>
      </c>
      <c r="CF10" s="5">
        <f t="shared" si="47"/>
        <v>5288.02464</v>
      </c>
      <c r="CG10" s="5">
        <f t="shared" si="48"/>
        <v>5288.02464</v>
      </c>
      <c r="CH10" s="35">
        <f t="shared" si="49"/>
        <v>743.8603512</v>
      </c>
      <c r="CK10" s="5">
        <f t="shared" si="50"/>
        <v>1024.31872</v>
      </c>
      <c r="CL10" s="5">
        <f t="shared" si="51"/>
        <v>1024.31872</v>
      </c>
      <c r="CM10" s="35">
        <f t="shared" si="52"/>
        <v>144.08973759999998</v>
      </c>
      <c r="CP10" s="5">
        <f t="shared" si="53"/>
        <v>1355.2093599999998</v>
      </c>
      <c r="CQ10" s="36">
        <f t="shared" si="54"/>
        <v>1355.2093599999998</v>
      </c>
      <c r="CR10" s="35">
        <f t="shared" si="55"/>
        <v>190.6357438</v>
      </c>
      <c r="CU10" s="5">
        <f t="shared" si="56"/>
        <v>4405.44208</v>
      </c>
      <c r="CV10" s="36">
        <f t="shared" si="57"/>
        <v>4405.44208</v>
      </c>
      <c r="CW10" s="35">
        <f t="shared" si="58"/>
        <v>619.7084764</v>
      </c>
      <c r="CZ10" s="5">
        <f t="shared" si="59"/>
        <v>2589.95336</v>
      </c>
      <c r="DA10" s="5">
        <f t="shared" si="60"/>
        <v>2589.95336</v>
      </c>
      <c r="DB10" s="35">
        <f t="shared" si="61"/>
        <v>364.32576379999995</v>
      </c>
      <c r="DE10" s="5">
        <f t="shared" si="62"/>
        <v>2923.6455199999996</v>
      </c>
      <c r="DF10" s="5">
        <f t="shared" si="63"/>
        <v>2923.6455199999996</v>
      </c>
      <c r="DG10" s="35">
        <f t="shared" si="64"/>
        <v>411.26585659999995</v>
      </c>
      <c r="DJ10" s="5">
        <f t="shared" si="65"/>
        <v>33849.93608</v>
      </c>
      <c r="DK10" s="5">
        <f t="shared" si="66"/>
        <v>33849.93608</v>
      </c>
      <c r="DL10" s="35">
        <f t="shared" si="67"/>
        <v>4761.6316214</v>
      </c>
      <c r="DO10" s="5">
        <f t="shared" si="68"/>
        <v>1246.36512</v>
      </c>
      <c r="DP10" s="36">
        <f t="shared" si="69"/>
        <v>1246.36512</v>
      </c>
      <c r="DQ10" s="35">
        <f t="shared" si="70"/>
        <v>175.3247496</v>
      </c>
      <c r="DT10" s="36">
        <f t="shared" si="71"/>
        <v>1103.28008</v>
      </c>
      <c r="DU10" s="36">
        <f t="shared" si="72"/>
        <v>1103.28008</v>
      </c>
      <c r="DV10" s="35">
        <f t="shared" si="73"/>
        <v>155.19714140000002</v>
      </c>
    </row>
    <row r="11" spans="1:126" ht="12.75">
      <c r="A11" s="37">
        <v>42826</v>
      </c>
      <c r="C11" s="3">
        <v>4470000</v>
      </c>
      <c r="D11" s="3">
        <v>1037600</v>
      </c>
      <c r="E11" s="35">
        <f t="shared" si="0"/>
        <v>5507600</v>
      </c>
      <c r="F11" s="35">
        <f>'2011A'!F11</f>
        <v>145958</v>
      </c>
      <c r="H11" s="47">
        <f t="shared" si="74"/>
        <v>673727.3400000001</v>
      </c>
      <c r="I11" s="36">
        <f t="shared" si="1"/>
        <v>156389.14720000004</v>
      </c>
      <c r="J11" s="36">
        <f t="shared" si="2"/>
        <v>830116.4872000001</v>
      </c>
      <c r="K11" s="36">
        <f t="shared" si="3"/>
        <v>21999.081675999998</v>
      </c>
      <c r="M11" s="5">
        <f t="shared" si="75"/>
        <v>280065.168</v>
      </c>
      <c r="N11" s="5">
        <f t="shared" si="4"/>
        <v>65010.20544</v>
      </c>
      <c r="O11" s="5">
        <f t="shared" si="5"/>
        <v>345075.37344</v>
      </c>
      <c r="P11" s="35">
        <f t="shared" si="6"/>
        <v>9144.9109152</v>
      </c>
      <c r="R11" s="5">
        <f t="shared" si="76"/>
        <v>123.819</v>
      </c>
      <c r="S11" s="36">
        <f t="shared" si="7"/>
        <v>28.741519999999998</v>
      </c>
      <c r="T11" s="36">
        <f t="shared" si="8"/>
        <v>152.56052</v>
      </c>
      <c r="U11" s="35">
        <f t="shared" si="9"/>
        <v>4.0430366</v>
      </c>
      <c r="W11" s="5">
        <f t="shared" si="77"/>
        <v>5544.141</v>
      </c>
      <c r="X11" s="5">
        <f t="shared" si="10"/>
        <v>1286.93528</v>
      </c>
      <c r="Y11" s="5">
        <f t="shared" si="11"/>
        <v>6831.076279999999</v>
      </c>
      <c r="Z11" s="35">
        <f t="shared" si="12"/>
        <v>181.0317074</v>
      </c>
      <c r="AB11" s="5">
        <f t="shared" si="78"/>
        <v>3338.643</v>
      </c>
      <c r="AC11" s="5">
        <f t="shared" si="13"/>
        <v>774.98344</v>
      </c>
      <c r="AD11" s="5">
        <f t="shared" si="14"/>
        <v>4113.62644</v>
      </c>
      <c r="AE11" s="35">
        <f t="shared" si="15"/>
        <v>109.0160302</v>
      </c>
      <c r="AG11" s="5">
        <f t="shared" si="79"/>
        <v>24812.97</v>
      </c>
      <c r="AH11" s="5">
        <f t="shared" si="16"/>
        <v>5759.7176</v>
      </c>
      <c r="AI11" s="5">
        <f t="shared" si="17"/>
        <v>30572.6876</v>
      </c>
      <c r="AJ11" s="35">
        <f t="shared" si="18"/>
        <v>810.2128580000001</v>
      </c>
      <c r="AL11" s="5">
        <f t="shared" si="80"/>
        <v>7689.294</v>
      </c>
      <c r="AM11" s="5">
        <f t="shared" si="19"/>
        <v>1784.8795200000002</v>
      </c>
      <c r="AN11" s="5">
        <f t="shared" si="20"/>
        <v>9474.17352</v>
      </c>
      <c r="AO11" s="35">
        <f t="shared" si="21"/>
        <v>251.0769516</v>
      </c>
      <c r="AQ11" s="5">
        <f t="shared" si="81"/>
        <v>14476.542</v>
      </c>
      <c r="AR11" s="5">
        <f t="shared" si="22"/>
        <v>3360.37136</v>
      </c>
      <c r="AS11" s="5">
        <f t="shared" si="23"/>
        <v>17836.91336</v>
      </c>
      <c r="AT11" s="35">
        <f t="shared" si="24"/>
        <v>472.6995788</v>
      </c>
      <c r="AV11" s="5">
        <f t="shared" si="82"/>
        <v>3065.526</v>
      </c>
      <c r="AW11" s="5">
        <f t="shared" si="25"/>
        <v>711.5860799999999</v>
      </c>
      <c r="AX11" s="5">
        <f t="shared" si="26"/>
        <v>3777.11208</v>
      </c>
      <c r="AY11" s="35">
        <f t="shared" si="27"/>
        <v>100.0979964</v>
      </c>
      <c r="BA11" s="5">
        <f t="shared" si="83"/>
        <v>54660.501</v>
      </c>
      <c r="BB11" s="5">
        <f t="shared" si="28"/>
        <v>12688.084079999999</v>
      </c>
      <c r="BC11" s="5">
        <f t="shared" si="29"/>
        <v>67348.58507999999</v>
      </c>
      <c r="BD11" s="35">
        <f t="shared" si="30"/>
        <v>1784.8182113999999</v>
      </c>
      <c r="BF11" s="36">
        <f t="shared" si="84"/>
        <v>25308.246</v>
      </c>
      <c r="BG11" s="5">
        <f t="shared" si="31"/>
        <v>5874.68368</v>
      </c>
      <c r="BH11" s="36">
        <f t="shared" si="32"/>
        <v>31182.92968</v>
      </c>
      <c r="BI11" s="35">
        <f t="shared" si="33"/>
        <v>826.3850044</v>
      </c>
      <c r="BK11" s="5">
        <f t="shared" si="85"/>
        <v>12120.852</v>
      </c>
      <c r="BL11" s="5">
        <f t="shared" si="34"/>
        <v>2813.55616</v>
      </c>
      <c r="BM11" s="5">
        <f t="shared" si="35"/>
        <v>14934.40816</v>
      </c>
      <c r="BN11" s="35">
        <f t="shared" si="36"/>
        <v>395.7797128</v>
      </c>
      <c r="BP11" s="5">
        <f t="shared" si="37"/>
        <v>1788.4470000000001</v>
      </c>
      <c r="BQ11" s="5">
        <f t="shared" si="38"/>
        <v>415.14376000000004</v>
      </c>
      <c r="BR11" s="5">
        <f t="shared" si="39"/>
        <v>2203.59076</v>
      </c>
      <c r="BS11" s="35">
        <f t="shared" si="40"/>
        <v>58.397795800000004</v>
      </c>
      <c r="BU11" s="5">
        <f t="shared" si="86"/>
        <v>7929.333</v>
      </c>
      <c r="BV11" s="5">
        <f t="shared" si="41"/>
        <v>1840.59864</v>
      </c>
      <c r="BW11" s="5">
        <f t="shared" si="42"/>
        <v>9769.931639999999</v>
      </c>
      <c r="BX11" s="35">
        <f t="shared" si="43"/>
        <v>258.9148962</v>
      </c>
      <c r="BZ11" s="5">
        <f t="shared" si="87"/>
        <v>1092.021</v>
      </c>
      <c r="CA11" s="5">
        <f t="shared" si="44"/>
        <v>253.48567999999997</v>
      </c>
      <c r="CB11" s="5">
        <f t="shared" si="45"/>
        <v>1345.50668</v>
      </c>
      <c r="CC11" s="35">
        <f t="shared" si="46"/>
        <v>35.6575394</v>
      </c>
      <c r="CE11" s="5">
        <f t="shared" si="88"/>
        <v>22780.908</v>
      </c>
      <c r="CF11" s="5">
        <f t="shared" si="47"/>
        <v>5288.02464</v>
      </c>
      <c r="CG11" s="5">
        <f t="shared" si="48"/>
        <v>28068.93264</v>
      </c>
      <c r="CH11" s="35">
        <f t="shared" si="49"/>
        <v>743.8603512</v>
      </c>
      <c r="CJ11" s="5">
        <f t="shared" si="89"/>
        <v>4412.784</v>
      </c>
      <c r="CK11" s="5">
        <f t="shared" si="50"/>
        <v>1024.31872</v>
      </c>
      <c r="CL11" s="5">
        <f t="shared" si="51"/>
        <v>5437.10272</v>
      </c>
      <c r="CM11" s="35">
        <f t="shared" si="52"/>
        <v>144.08973759999998</v>
      </c>
      <c r="CO11" s="5">
        <f t="shared" si="90"/>
        <v>5838.267</v>
      </c>
      <c r="CP11" s="5">
        <f t="shared" si="53"/>
        <v>1355.2093599999998</v>
      </c>
      <c r="CQ11" s="36">
        <f t="shared" si="54"/>
        <v>7193.47636</v>
      </c>
      <c r="CR11" s="35">
        <f t="shared" si="55"/>
        <v>190.6357438</v>
      </c>
      <c r="CT11" s="5">
        <f t="shared" si="91"/>
        <v>18978.726</v>
      </c>
      <c r="CU11" s="5">
        <f t="shared" si="56"/>
        <v>4405.44208</v>
      </c>
      <c r="CV11" s="36">
        <f t="shared" si="57"/>
        <v>23384.16808</v>
      </c>
      <c r="CW11" s="35">
        <f t="shared" si="58"/>
        <v>619.7084764</v>
      </c>
      <c r="CY11" s="5">
        <f t="shared" si="92"/>
        <v>11157.567</v>
      </c>
      <c r="CZ11" s="5">
        <f t="shared" si="59"/>
        <v>2589.95336</v>
      </c>
      <c r="DA11" s="5">
        <f t="shared" si="60"/>
        <v>13747.520359999999</v>
      </c>
      <c r="DB11" s="35">
        <f t="shared" si="61"/>
        <v>364.32576379999995</v>
      </c>
      <c r="DD11" s="5">
        <f t="shared" si="93"/>
        <v>12595.118999999999</v>
      </c>
      <c r="DE11" s="5">
        <f t="shared" si="62"/>
        <v>2923.6455199999996</v>
      </c>
      <c r="DF11" s="5">
        <f t="shared" si="63"/>
        <v>15518.764519999999</v>
      </c>
      <c r="DG11" s="35">
        <f t="shared" si="64"/>
        <v>411.26585659999995</v>
      </c>
      <c r="DI11" s="5">
        <f t="shared" si="94"/>
        <v>145826.151</v>
      </c>
      <c r="DJ11" s="5">
        <f t="shared" si="65"/>
        <v>33849.93608</v>
      </c>
      <c r="DK11" s="5">
        <f t="shared" si="66"/>
        <v>179676.08708000003</v>
      </c>
      <c r="DL11" s="35">
        <f t="shared" si="67"/>
        <v>4761.6316214</v>
      </c>
      <c r="DN11" s="5">
        <f t="shared" si="95"/>
        <v>5369.364</v>
      </c>
      <c r="DO11" s="5">
        <f t="shared" si="68"/>
        <v>1246.36512</v>
      </c>
      <c r="DP11" s="36">
        <f t="shared" si="69"/>
        <v>6615.72912</v>
      </c>
      <c r="DQ11" s="35">
        <f t="shared" si="70"/>
        <v>175.3247496</v>
      </c>
      <c r="DS11" s="5">
        <f t="shared" si="96"/>
        <v>4752.951</v>
      </c>
      <c r="DT11" s="36">
        <f t="shared" si="71"/>
        <v>1103.28008</v>
      </c>
      <c r="DU11" s="36">
        <f t="shared" si="72"/>
        <v>5856.23108</v>
      </c>
      <c r="DV11" s="35">
        <f t="shared" si="73"/>
        <v>155.19714140000002</v>
      </c>
    </row>
    <row r="12" spans="1:126" ht="12.75">
      <c r="A12" s="37">
        <v>43009</v>
      </c>
      <c r="B12" s="38"/>
      <c r="D12" s="3">
        <v>925850</v>
      </c>
      <c r="E12" s="35">
        <f t="shared" si="0"/>
        <v>925850</v>
      </c>
      <c r="F12" s="35">
        <f>'2011A'!F12</f>
        <v>145958</v>
      </c>
      <c r="H12" s="47"/>
      <c r="I12" s="36">
        <f t="shared" si="1"/>
        <v>139545.96370000005</v>
      </c>
      <c r="J12" s="36">
        <f t="shared" si="2"/>
        <v>139545.96370000005</v>
      </c>
      <c r="K12" s="36">
        <f t="shared" si="3"/>
        <v>21999.081675999998</v>
      </c>
      <c r="N12" s="5">
        <f t="shared" si="4"/>
        <v>58008.57624</v>
      </c>
      <c r="O12" s="5">
        <f t="shared" si="5"/>
        <v>58008.57624</v>
      </c>
      <c r="P12" s="35">
        <f t="shared" si="6"/>
        <v>9144.9109152</v>
      </c>
      <c r="S12" s="36">
        <f t="shared" si="7"/>
        <v>25.646045</v>
      </c>
      <c r="T12" s="36">
        <f t="shared" si="8"/>
        <v>25.646045</v>
      </c>
      <c r="U12" s="35">
        <f t="shared" si="9"/>
        <v>4.0430366</v>
      </c>
      <c r="X12" s="5">
        <f t="shared" si="10"/>
        <v>1148.331755</v>
      </c>
      <c r="Y12" s="5">
        <f t="shared" si="11"/>
        <v>1148.331755</v>
      </c>
      <c r="Z12" s="35">
        <f t="shared" si="12"/>
        <v>181.0317074</v>
      </c>
      <c r="AC12" s="5">
        <f t="shared" si="13"/>
        <v>691.517365</v>
      </c>
      <c r="AD12" s="5">
        <f t="shared" si="14"/>
        <v>691.517365</v>
      </c>
      <c r="AE12" s="35">
        <f t="shared" si="15"/>
        <v>109.0160302</v>
      </c>
      <c r="AH12" s="5">
        <f t="shared" si="16"/>
        <v>5139.39335</v>
      </c>
      <c r="AI12" s="5">
        <f t="shared" si="17"/>
        <v>5139.39335</v>
      </c>
      <c r="AJ12" s="35">
        <f t="shared" si="18"/>
        <v>810.2128580000001</v>
      </c>
      <c r="AM12" s="5">
        <f t="shared" si="19"/>
        <v>1592.64717</v>
      </c>
      <c r="AN12" s="5">
        <f t="shared" si="20"/>
        <v>1592.64717</v>
      </c>
      <c r="AO12" s="35">
        <f t="shared" si="21"/>
        <v>251.0769516</v>
      </c>
      <c r="AR12" s="5">
        <f t="shared" si="22"/>
        <v>2998.45781</v>
      </c>
      <c r="AS12" s="5">
        <f t="shared" si="23"/>
        <v>2998.45781</v>
      </c>
      <c r="AT12" s="35">
        <f t="shared" si="24"/>
        <v>472.6995788</v>
      </c>
      <c r="AW12" s="5">
        <f t="shared" si="25"/>
        <v>634.9479299999999</v>
      </c>
      <c r="AX12" s="5">
        <f t="shared" si="26"/>
        <v>634.9479299999999</v>
      </c>
      <c r="AY12" s="35">
        <f t="shared" si="27"/>
        <v>100.0979964</v>
      </c>
      <c r="BB12" s="5">
        <f t="shared" si="28"/>
        <v>11321.571554999999</v>
      </c>
      <c r="BC12" s="5">
        <f t="shared" si="29"/>
        <v>11321.571554999999</v>
      </c>
      <c r="BD12" s="35">
        <f t="shared" si="30"/>
        <v>1784.8182113999999</v>
      </c>
      <c r="BF12" s="36"/>
      <c r="BG12" s="5">
        <f t="shared" si="31"/>
        <v>5241.97753</v>
      </c>
      <c r="BH12" s="36">
        <f t="shared" si="32"/>
        <v>5241.97753</v>
      </c>
      <c r="BI12" s="35">
        <f t="shared" si="33"/>
        <v>826.3850044</v>
      </c>
      <c r="BL12" s="5">
        <f t="shared" si="34"/>
        <v>2510.53486</v>
      </c>
      <c r="BM12" s="5">
        <f t="shared" si="35"/>
        <v>2510.53486</v>
      </c>
      <c r="BN12" s="35">
        <f t="shared" si="36"/>
        <v>395.7797128</v>
      </c>
      <c r="BP12" s="5">
        <f t="shared" si="37"/>
        <v>0</v>
      </c>
      <c r="BQ12" s="5">
        <f t="shared" si="38"/>
        <v>370.432585</v>
      </c>
      <c r="BR12" s="5">
        <f t="shared" si="39"/>
        <v>370.432585</v>
      </c>
      <c r="BS12" s="35">
        <f t="shared" si="40"/>
        <v>58.397795800000004</v>
      </c>
      <c r="BV12" s="5">
        <f t="shared" si="41"/>
        <v>1642.365315</v>
      </c>
      <c r="BW12" s="5">
        <f t="shared" si="42"/>
        <v>1642.365315</v>
      </c>
      <c r="BX12" s="35">
        <f t="shared" si="43"/>
        <v>258.9148962</v>
      </c>
      <c r="CA12" s="5">
        <f t="shared" si="44"/>
        <v>226.18515499999998</v>
      </c>
      <c r="CB12" s="5">
        <f t="shared" si="45"/>
        <v>226.18515499999998</v>
      </c>
      <c r="CC12" s="35">
        <f t="shared" si="46"/>
        <v>35.6575394</v>
      </c>
      <c r="CF12" s="5">
        <f t="shared" si="47"/>
        <v>4718.50194</v>
      </c>
      <c r="CG12" s="5">
        <f t="shared" si="48"/>
        <v>4718.50194</v>
      </c>
      <c r="CH12" s="35">
        <f t="shared" si="49"/>
        <v>743.8603512</v>
      </c>
      <c r="CK12" s="5">
        <f t="shared" si="50"/>
        <v>913.99912</v>
      </c>
      <c r="CL12" s="5">
        <f t="shared" si="51"/>
        <v>913.99912</v>
      </c>
      <c r="CM12" s="35">
        <f t="shared" si="52"/>
        <v>144.08973759999998</v>
      </c>
      <c r="CP12" s="5">
        <f t="shared" si="53"/>
        <v>1209.252685</v>
      </c>
      <c r="CQ12" s="36">
        <f t="shared" si="54"/>
        <v>1209.252685</v>
      </c>
      <c r="CR12" s="35">
        <f t="shared" si="55"/>
        <v>190.6357438</v>
      </c>
      <c r="CU12" s="5">
        <f t="shared" si="56"/>
        <v>3930.97393</v>
      </c>
      <c r="CV12" s="36">
        <f t="shared" si="57"/>
        <v>3930.97393</v>
      </c>
      <c r="CW12" s="35">
        <f t="shared" si="58"/>
        <v>619.7084764</v>
      </c>
      <c r="CZ12" s="5">
        <f t="shared" si="59"/>
        <v>2311.014185</v>
      </c>
      <c r="DA12" s="5">
        <f t="shared" si="60"/>
        <v>2311.014185</v>
      </c>
      <c r="DB12" s="35">
        <f t="shared" si="61"/>
        <v>364.32576379999995</v>
      </c>
      <c r="DE12" s="5">
        <f t="shared" si="62"/>
        <v>2608.7675449999997</v>
      </c>
      <c r="DF12" s="5">
        <f t="shared" si="63"/>
        <v>2608.7675449999997</v>
      </c>
      <c r="DG12" s="35">
        <f t="shared" si="64"/>
        <v>411.26585659999995</v>
      </c>
      <c r="DJ12" s="5">
        <f t="shared" si="65"/>
        <v>30204.282305</v>
      </c>
      <c r="DK12" s="5">
        <f t="shared" si="66"/>
        <v>30204.282305</v>
      </c>
      <c r="DL12" s="35">
        <f t="shared" si="67"/>
        <v>4761.6316214</v>
      </c>
      <c r="DO12" s="5">
        <f t="shared" si="68"/>
        <v>1112.13102</v>
      </c>
      <c r="DP12" s="36">
        <f t="shared" si="69"/>
        <v>1112.13102</v>
      </c>
      <c r="DQ12" s="35">
        <f t="shared" si="70"/>
        <v>175.3247496</v>
      </c>
      <c r="DT12" s="36">
        <f t="shared" si="71"/>
        <v>984.456305</v>
      </c>
      <c r="DU12" s="36">
        <f t="shared" si="72"/>
        <v>984.456305</v>
      </c>
      <c r="DV12" s="35">
        <f t="shared" si="73"/>
        <v>155.19714140000002</v>
      </c>
    </row>
    <row r="13" spans="1:126" ht="12.75">
      <c r="A13" s="37">
        <v>43191</v>
      </c>
      <c r="C13" s="3">
        <v>4690000</v>
      </c>
      <c r="D13" s="3">
        <v>925850</v>
      </c>
      <c r="E13" s="35">
        <f t="shared" si="0"/>
        <v>5615850</v>
      </c>
      <c r="F13" s="35">
        <f>'2011A'!F13</f>
        <v>145958</v>
      </c>
      <c r="H13" s="47">
        <f t="shared" si="74"/>
        <v>706886.18</v>
      </c>
      <c r="I13" s="36">
        <f t="shared" si="1"/>
        <v>139545.96370000005</v>
      </c>
      <c r="J13" s="36">
        <f t="shared" si="2"/>
        <v>846432.1437000001</v>
      </c>
      <c r="K13" s="36">
        <f t="shared" si="3"/>
        <v>21999.081675999998</v>
      </c>
      <c r="M13" s="5">
        <f t="shared" si="75"/>
        <v>293849.136</v>
      </c>
      <c r="N13" s="5">
        <f t="shared" si="4"/>
        <v>58008.57624</v>
      </c>
      <c r="O13" s="5">
        <f t="shared" si="5"/>
        <v>351857.71224</v>
      </c>
      <c r="P13" s="35">
        <f t="shared" si="6"/>
        <v>9144.9109152</v>
      </c>
      <c r="R13" s="5">
        <f t="shared" si="76"/>
        <v>129.91299999999998</v>
      </c>
      <c r="S13" s="36">
        <f t="shared" si="7"/>
        <v>25.646045</v>
      </c>
      <c r="T13" s="36">
        <f t="shared" si="8"/>
        <v>155.55904499999997</v>
      </c>
      <c r="U13" s="35">
        <f t="shared" si="9"/>
        <v>4.0430366</v>
      </c>
      <c r="W13" s="5">
        <f t="shared" si="77"/>
        <v>5817.007</v>
      </c>
      <c r="X13" s="5">
        <f t="shared" si="10"/>
        <v>1148.331755</v>
      </c>
      <c r="Y13" s="5">
        <f t="shared" si="11"/>
        <v>6965.338755</v>
      </c>
      <c r="Z13" s="35">
        <f t="shared" si="12"/>
        <v>181.0317074</v>
      </c>
      <c r="AB13" s="5">
        <f t="shared" si="78"/>
        <v>3502.961</v>
      </c>
      <c r="AC13" s="5">
        <f t="shared" si="13"/>
        <v>691.517365</v>
      </c>
      <c r="AD13" s="5">
        <f t="shared" si="14"/>
        <v>4194.478365</v>
      </c>
      <c r="AE13" s="35">
        <f t="shared" si="15"/>
        <v>109.0160302</v>
      </c>
      <c r="AG13" s="5">
        <f t="shared" si="79"/>
        <v>26034.190000000002</v>
      </c>
      <c r="AH13" s="5">
        <f t="shared" si="16"/>
        <v>5139.39335</v>
      </c>
      <c r="AI13" s="5">
        <f t="shared" si="17"/>
        <v>31173.58335</v>
      </c>
      <c r="AJ13" s="35">
        <f t="shared" si="18"/>
        <v>810.2128580000001</v>
      </c>
      <c r="AL13" s="5">
        <f t="shared" si="80"/>
        <v>8067.738</v>
      </c>
      <c r="AM13" s="5">
        <f t="shared" si="19"/>
        <v>1592.64717</v>
      </c>
      <c r="AN13" s="5">
        <f t="shared" si="20"/>
        <v>9660.38517</v>
      </c>
      <c r="AO13" s="35">
        <f t="shared" si="21"/>
        <v>251.0769516</v>
      </c>
      <c r="AQ13" s="5">
        <f t="shared" si="81"/>
        <v>15189.034</v>
      </c>
      <c r="AR13" s="5">
        <f t="shared" si="22"/>
        <v>2998.45781</v>
      </c>
      <c r="AS13" s="5">
        <f t="shared" si="23"/>
        <v>18187.49181</v>
      </c>
      <c r="AT13" s="35">
        <f t="shared" si="24"/>
        <v>472.6995788</v>
      </c>
      <c r="AV13" s="5">
        <f t="shared" si="82"/>
        <v>3216.402</v>
      </c>
      <c r="AW13" s="5">
        <f t="shared" si="25"/>
        <v>634.9479299999999</v>
      </c>
      <c r="AX13" s="5">
        <f t="shared" si="26"/>
        <v>3851.34993</v>
      </c>
      <c r="AY13" s="35">
        <f t="shared" si="27"/>
        <v>100.0979964</v>
      </c>
      <c r="BA13" s="5">
        <f t="shared" si="83"/>
        <v>57350.727</v>
      </c>
      <c r="BB13" s="5">
        <f t="shared" si="28"/>
        <v>11321.571554999999</v>
      </c>
      <c r="BC13" s="5">
        <f t="shared" si="29"/>
        <v>68672.298555</v>
      </c>
      <c r="BD13" s="35">
        <f t="shared" si="30"/>
        <v>1784.8182113999999</v>
      </c>
      <c r="BF13" s="36">
        <f t="shared" si="84"/>
        <v>26553.842</v>
      </c>
      <c r="BG13" s="5">
        <f t="shared" si="31"/>
        <v>5241.97753</v>
      </c>
      <c r="BH13" s="36">
        <f t="shared" si="32"/>
        <v>31795.81953</v>
      </c>
      <c r="BI13" s="35">
        <f t="shared" si="33"/>
        <v>826.3850044</v>
      </c>
      <c r="BK13" s="5">
        <f t="shared" si="85"/>
        <v>12717.404</v>
      </c>
      <c r="BL13" s="5">
        <f t="shared" si="34"/>
        <v>2510.53486</v>
      </c>
      <c r="BM13" s="5">
        <f t="shared" si="35"/>
        <v>15227.93886</v>
      </c>
      <c r="BN13" s="35">
        <f t="shared" si="36"/>
        <v>395.7797128</v>
      </c>
      <c r="BP13" s="5">
        <f t="shared" si="37"/>
        <v>1876.469</v>
      </c>
      <c r="BQ13" s="5">
        <f t="shared" si="38"/>
        <v>370.432585</v>
      </c>
      <c r="BR13" s="5">
        <f t="shared" si="39"/>
        <v>2246.901585</v>
      </c>
      <c r="BS13" s="35">
        <f t="shared" si="40"/>
        <v>58.397795800000004</v>
      </c>
      <c r="BU13" s="5">
        <f t="shared" si="86"/>
        <v>8319.591</v>
      </c>
      <c r="BV13" s="5">
        <f t="shared" si="41"/>
        <v>1642.365315</v>
      </c>
      <c r="BW13" s="5">
        <f t="shared" si="42"/>
        <v>9961.956315</v>
      </c>
      <c r="BX13" s="35">
        <f t="shared" si="43"/>
        <v>258.9148962</v>
      </c>
      <c r="BZ13" s="5">
        <f t="shared" si="87"/>
        <v>1145.7669999999998</v>
      </c>
      <c r="CA13" s="5">
        <f t="shared" si="44"/>
        <v>226.18515499999998</v>
      </c>
      <c r="CB13" s="5">
        <f t="shared" si="45"/>
        <v>1371.9521549999997</v>
      </c>
      <c r="CC13" s="35">
        <f t="shared" si="46"/>
        <v>35.6575394</v>
      </c>
      <c r="CE13" s="5">
        <f t="shared" si="88"/>
        <v>23902.116</v>
      </c>
      <c r="CF13" s="5">
        <f t="shared" si="47"/>
        <v>4718.50194</v>
      </c>
      <c r="CG13" s="5">
        <f t="shared" si="48"/>
        <v>28620.617940000004</v>
      </c>
      <c r="CH13" s="35">
        <f t="shared" si="49"/>
        <v>743.8603512</v>
      </c>
      <c r="CJ13" s="5">
        <f t="shared" si="89"/>
        <v>4629.968</v>
      </c>
      <c r="CK13" s="5">
        <f t="shared" si="50"/>
        <v>913.99912</v>
      </c>
      <c r="CL13" s="5">
        <f t="shared" si="51"/>
        <v>5543.967119999999</v>
      </c>
      <c r="CM13" s="35">
        <f t="shared" si="52"/>
        <v>144.08973759999998</v>
      </c>
      <c r="CO13" s="5">
        <f t="shared" si="90"/>
        <v>6125.6089999999995</v>
      </c>
      <c r="CP13" s="5">
        <f t="shared" si="53"/>
        <v>1209.252685</v>
      </c>
      <c r="CQ13" s="36">
        <f t="shared" si="54"/>
        <v>7334.861685</v>
      </c>
      <c r="CR13" s="35">
        <f t="shared" si="55"/>
        <v>190.6357438</v>
      </c>
      <c r="CT13" s="5">
        <f t="shared" si="91"/>
        <v>19912.802</v>
      </c>
      <c r="CU13" s="5">
        <f t="shared" si="56"/>
        <v>3930.97393</v>
      </c>
      <c r="CV13" s="36">
        <f t="shared" si="57"/>
        <v>23843.77593</v>
      </c>
      <c r="CW13" s="35">
        <f t="shared" si="58"/>
        <v>619.7084764</v>
      </c>
      <c r="CY13" s="5">
        <f t="shared" si="92"/>
        <v>11706.708999999999</v>
      </c>
      <c r="CZ13" s="5">
        <f t="shared" si="59"/>
        <v>2311.014185</v>
      </c>
      <c r="DA13" s="5">
        <f t="shared" si="60"/>
        <v>14017.723184999999</v>
      </c>
      <c r="DB13" s="35">
        <f t="shared" si="61"/>
        <v>364.32576379999995</v>
      </c>
      <c r="DD13" s="5">
        <f t="shared" si="93"/>
        <v>13215.012999999999</v>
      </c>
      <c r="DE13" s="5">
        <f t="shared" si="62"/>
        <v>2608.7675449999997</v>
      </c>
      <c r="DF13" s="5">
        <f t="shared" si="63"/>
        <v>15823.780544999998</v>
      </c>
      <c r="DG13" s="35">
        <f t="shared" si="64"/>
        <v>411.26585659999995</v>
      </c>
      <c r="DI13" s="5">
        <f t="shared" si="94"/>
        <v>153003.277</v>
      </c>
      <c r="DJ13" s="5">
        <f t="shared" si="65"/>
        <v>30204.282305</v>
      </c>
      <c r="DK13" s="5">
        <f t="shared" si="66"/>
        <v>183207.559305</v>
      </c>
      <c r="DL13" s="35">
        <f t="shared" si="67"/>
        <v>4761.6316214</v>
      </c>
      <c r="DN13" s="5">
        <f t="shared" si="95"/>
        <v>5633.628</v>
      </c>
      <c r="DO13" s="5">
        <f t="shared" si="68"/>
        <v>1112.13102</v>
      </c>
      <c r="DP13" s="36">
        <f t="shared" si="69"/>
        <v>6745.7590199999995</v>
      </c>
      <c r="DQ13" s="35">
        <f t="shared" si="70"/>
        <v>175.3247496</v>
      </c>
      <c r="DS13" s="5">
        <f t="shared" si="96"/>
        <v>4986.877</v>
      </c>
      <c r="DT13" s="36">
        <f t="shared" si="71"/>
        <v>984.456305</v>
      </c>
      <c r="DU13" s="36">
        <f t="shared" si="72"/>
        <v>5971.333305</v>
      </c>
      <c r="DV13" s="35">
        <f t="shared" si="73"/>
        <v>155.19714140000002</v>
      </c>
    </row>
    <row r="14" spans="1:126" ht="12.75">
      <c r="A14" s="37">
        <v>43374</v>
      </c>
      <c r="D14" s="3">
        <v>808600</v>
      </c>
      <c r="E14" s="35">
        <f t="shared" si="0"/>
        <v>808600</v>
      </c>
      <c r="F14" s="35">
        <f>'2011A'!F14</f>
        <v>145958</v>
      </c>
      <c r="H14" s="47"/>
      <c r="I14" s="36">
        <f t="shared" si="1"/>
        <v>121873.8092</v>
      </c>
      <c r="J14" s="36">
        <f t="shared" si="2"/>
        <v>121873.8092</v>
      </c>
      <c r="K14" s="36">
        <f t="shared" si="3"/>
        <v>21999.081675999998</v>
      </c>
      <c r="N14" s="5">
        <f t="shared" si="4"/>
        <v>50662.34784</v>
      </c>
      <c r="O14" s="5">
        <f t="shared" si="5"/>
        <v>50662.34784</v>
      </c>
      <c r="P14" s="35">
        <f t="shared" si="6"/>
        <v>9144.9109152</v>
      </c>
      <c r="S14" s="36">
        <f t="shared" si="7"/>
        <v>22.39822</v>
      </c>
      <c r="T14" s="36">
        <f t="shared" si="8"/>
        <v>22.39822</v>
      </c>
      <c r="U14" s="35">
        <f t="shared" si="9"/>
        <v>4.0430366</v>
      </c>
      <c r="X14" s="5">
        <f t="shared" si="10"/>
        <v>1002.90658</v>
      </c>
      <c r="Y14" s="5">
        <f aca="true" t="shared" si="97" ref="Y14:Y39">W14+X14</f>
        <v>1002.90658</v>
      </c>
      <c r="Z14" s="35">
        <f t="shared" si="12"/>
        <v>181.0317074</v>
      </c>
      <c r="AC14" s="5">
        <f t="shared" si="13"/>
        <v>603.94334</v>
      </c>
      <c r="AD14" s="5">
        <f t="shared" si="14"/>
        <v>603.94334</v>
      </c>
      <c r="AE14" s="35">
        <f t="shared" si="15"/>
        <v>109.0160302</v>
      </c>
      <c r="AH14" s="5">
        <f t="shared" si="16"/>
        <v>4488.5386</v>
      </c>
      <c r="AI14" s="5">
        <f t="shared" si="17"/>
        <v>4488.5386</v>
      </c>
      <c r="AJ14" s="35">
        <f t="shared" si="18"/>
        <v>810.2128580000001</v>
      </c>
      <c r="AM14" s="5">
        <f t="shared" si="19"/>
        <v>1390.95372</v>
      </c>
      <c r="AN14" s="5">
        <f t="shared" si="20"/>
        <v>1390.95372</v>
      </c>
      <c r="AO14" s="35">
        <f t="shared" si="21"/>
        <v>251.0769516</v>
      </c>
      <c r="AR14" s="5">
        <f t="shared" si="22"/>
        <v>2618.73196</v>
      </c>
      <c r="AS14" s="5">
        <f t="shared" si="23"/>
        <v>2618.73196</v>
      </c>
      <c r="AT14" s="35">
        <f t="shared" si="24"/>
        <v>472.6995788</v>
      </c>
      <c r="AW14" s="5">
        <f t="shared" si="25"/>
        <v>554.53788</v>
      </c>
      <c r="AX14" s="5">
        <f t="shared" si="26"/>
        <v>554.53788</v>
      </c>
      <c r="AY14" s="35">
        <f t="shared" si="27"/>
        <v>100.0979964</v>
      </c>
      <c r="BB14" s="5">
        <f t="shared" si="28"/>
        <v>9887.80338</v>
      </c>
      <c r="BC14" s="5">
        <f t="shared" si="29"/>
        <v>9887.80338</v>
      </c>
      <c r="BD14" s="35">
        <f t="shared" si="30"/>
        <v>1784.8182113999999</v>
      </c>
      <c r="BF14" s="36"/>
      <c r="BG14" s="5">
        <f t="shared" si="31"/>
        <v>4578.13148</v>
      </c>
      <c r="BH14" s="36">
        <f t="shared" si="32"/>
        <v>4578.13148</v>
      </c>
      <c r="BI14" s="35">
        <f t="shared" si="33"/>
        <v>826.3850044</v>
      </c>
      <c r="BL14" s="5">
        <f t="shared" si="34"/>
        <v>2192.59976</v>
      </c>
      <c r="BM14" s="5">
        <f t="shared" si="35"/>
        <v>2192.59976</v>
      </c>
      <c r="BN14" s="35">
        <f t="shared" si="36"/>
        <v>395.7797128</v>
      </c>
      <c r="BP14" s="5">
        <f t="shared" si="37"/>
        <v>0</v>
      </c>
      <c r="BQ14" s="5">
        <f t="shared" si="38"/>
        <v>323.52086</v>
      </c>
      <c r="BR14" s="5">
        <f t="shared" si="39"/>
        <v>323.52086</v>
      </c>
      <c r="BS14" s="35">
        <f t="shared" si="40"/>
        <v>58.397795800000004</v>
      </c>
      <c r="BV14" s="5">
        <f t="shared" si="41"/>
        <v>1434.37554</v>
      </c>
      <c r="BW14" s="5">
        <f t="shared" si="42"/>
        <v>1434.37554</v>
      </c>
      <c r="BX14" s="35">
        <f t="shared" si="43"/>
        <v>258.9148962</v>
      </c>
      <c r="CA14" s="5">
        <f t="shared" si="44"/>
        <v>197.54098</v>
      </c>
      <c r="CB14" s="5">
        <f t="shared" si="45"/>
        <v>197.54098</v>
      </c>
      <c r="CC14" s="35">
        <f t="shared" si="46"/>
        <v>35.6575394</v>
      </c>
      <c r="CF14" s="5">
        <f t="shared" si="47"/>
        <v>4120.94904</v>
      </c>
      <c r="CG14" s="5">
        <f t="shared" si="48"/>
        <v>4120.94904</v>
      </c>
      <c r="CH14" s="35">
        <f t="shared" si="49"/>
        <v>743.8603512</v>
      </c>
      <c r="CK14" s="5">
        <f t="shared" si="50"/>
        <v>798.24992</v>
      </c>
      <c r="CL14" s="5">
        <f t="shared" si="51"/>
        <v>798.24992</v>
      </c>
      <c r="CM14" s="35">
        <f t="shared" si="52"/>
        <v>144.08973759999998</v>
      </c>
      <c r="CP14" s="5">
        <f t="shared" si="53"/>
        <v>1056.1124599999998</v>
      </c>
      <c r="CQ14" s="36">
        <f t="shared" si="54"/>
        <v>1056.1124599999998</v>
      </c>
      <c r="CR14" s="35">
        <f t="shared" si="55"/>
        <v>190.6357438</v>
      </c>
      <c r="CU14" s="5">
        <f t="shared" si="56"/>
        <v>3433.1538800000003</v>
      </c>
      <c r="CV14" s="36">
        <f t="shared" si="57"/>
        <v>3433.1538800000003</v>
      </c>
      <c r="CW14" s="35">
        <f t="shared" si="58"/>
        <v>619.7084764</v>
      </c>
      <c r="CZ14" s="5">
        <f t="shared" si="59"/>
        <v>2018.3464599999998</v>
      </c>
      <c r="DA14" s="5">
        <f t="shared" si="60"/>
        <v>2018.3464599999998</v>
      </c>
      <c r="DB14" s="35">
        <f t="shared" si="61"/>
        <v>364.32576379999995</v>
      </c>
      <c r="DE14" s="5">
        <f t="shared" si="62"/>
        <v>2278.3922199999997</v>
      </c>
      <c r="DF14" s="5">
        <f t="shared" si="63"/>
        <v>2278.3922199999997</v>
      </c>
      <c r="DG14" s="35">
        <f t="shared" si="64"/>
        <v>411.26585659999995</v>
      </c>
      <c r="DJ14" s="5">
        <f t="shared" si="65"/>
        <v>26379.200380000002</v>
      </c>
      <c r="DK14" s="5">
        <f t="shared" si="66"/>
        <v>26379.200380000002</v>
      </c>
      <c r="DL14" s="35">
        <f t="shared" si="67"/>
        <v>4761.6316214</v>
      </c>
      <c r="DO14" s="5">
        <f t="shared" si="68"/>
        <v>971.29032</v>
      </c>
      <c r="DP14" s="36">
        <f t="shared" si="69"/>
        <v>971.29032</v>
      </c>
      <c r="DQ14" s="35">
        <f t="shared" si="70"/>
        <v>175.3247496</v>
      </c>
      <c r="DT14" s="36">
        <f t="shared" si="71"/>
        <v>859.78438</v>
      </c>
      <c r="DU14" s="36">
        <f t="shared" si="72"/>
        <v>859.78438</v>
      </c>
      <c r="DV14" s="35">
        <f t="shared" si="73"/>
        <v>155.19714140000002</v>
      </c>
    </row>
    <row r="15" spans="1:126" ht="12.75">
      <c r="A15" s="37">
        <v>43556</v>
      </c>
      <c r="C15" s="3">
        <v>4925000</v>
      </c>
      <c r="D15" s="3">
        <v>808600</v>
      </c>
      <c r="E15" s="35">
        <f t="shared" si="0"/>
        <v>5733600</v>
      </c>
      <c r="F15" s="35">
        <f>'2011A'!F15</f>
        <v>145958</v>
      </c>
      <c r="H15" s="47">
        <f t="shared" si="74"/>
        <v>742305.8499999999</v>
      </c>
      <c r="I15" s="36">
        <f t="shared" si="1"/>
        <v>121873.8092</v>
      </c>
      <c r="J15" s="36">
        <f t="shared" si="2"/>
        <v>864179.6591999999</v>
      </c>
      <c r="K15" s="36">
        <f t="shared" si="3"/>
        <v>21999.081675999998</v>
      </c>
      <c r="M15" s="5">
        <f t="shared" si="75"/>
        <v>308572.92</v>
      </c>
      <c r="N15" s="5">
        <f t="shared" si="4"/>
        <v>50662.34784</v>
      </c>
      <c r="O15" s="5">
        <f t="shared" si="5"/>
        <v>359235.26784</v>
      </c>
      <c r="P15" s="35">
        <f t="shared" si="6"/>
        <v>9144.9109152</v>
      </c>
      <c r="R15" s="5">
        <f t="shared" si="76"/>
        <v>136.42249999999999</v>
      </c>
      <c r="S15" s="36">
        <f t="shared" si="7"/>
        <v>22.39822</v>
      </c>
      <c r="T15" s="36">
        <f t="shared" si="8"/>
        <v>158.82072</v>
      </c>
      <c r="U15" s="35">
        <f t="shared" si="9"/>
        <v>4.0430366</v>
      </c>
      <c r="W15" s="5">
        <f t="shared" si="77"/>
        <v>6108.4775</v>
      </c>
      <c r="X15" s="5">
        <f t="shared" si="10"/>
        <v>1002.90658</v>
      </c>
      <c r="Y15" s="5">
        <f t="shared" si="97"/>
        <v>7111.38408</v>
      </c>
      <c r="Z15" s="35">
        <f t="shared" si="12"/>
        <v>181.0317074</v>
      </c>
      <c r="AB15" s="5">
        <f t="shared" si="78"/>
        <v>3678.4825</v>
      </c>
      <c r="AC15" s="5">
        <f t="shared" si="13"/>
        <v>603.94334</v>
      </c>
      <c r="AD15" s="5">
        <f t="shared" si="14"/>
        <v>4282.42584</v>
      </c>
      <c r="AE15" s="35">
        <f t="shared" si="15"/>
        <v>109.0160302</v>
      </c>
      <c r="AG15" s="5">
        <f t="shared" si="79"/>
        <v>27338.675000000003</v>
      </c>
      <c r="AH15" s="5">
        <f t="shared" si="16"/>
        <v>4488.5386</v>
      </c>
      <c r="AI15" s="5">
        <f t="shared" si="17"/>
        <v>31827.213600000003</v>
      </c>
      <c r="AJ15" s="35">
        <f t="shared" si="18"/>
        <v>810.2128580000001</v>
      </c>
      <c r="AL15" s="5">
        <f t="shared" si="80"/>
        <v>8471.985</v>
      </c>
      <c r="AM15" s="5">
        <f t="shared" si="19"/>
        <v>1390.95372</v>
      </c>
      <c r="AN15" s="5">
        <f t="shared" si="20"/>
        <v>9862.93872</v>
      </c>
      <c r="AO15" s="35">
        <f t="shared" si="21"/>
        <v>251.0769516</v>
      </c>
      <c r="AQ15" s="5">
        <f t="shared" si="81"/>
        <v>15950.105</v>
      </c>
      <c r="AR15" s="5">
        <f t="shared" si="22"/>
        <v>2618.73196</v>
      </c>
      <c r="AS15" s="5">
        <f t="shared" si="23"/>
        <v>18568.83696</v>
      </c>
      <c r="AT15" s="35">
        <f t="shared" si="24"/>
        <v>472.6995788</v>
      </c>
      <c r="AV15" s="5">
        <f t="shared" si="82"/>
        <v>3377.565</v>
      </c>
      <c r="AW15" s="5">
        <f t="shared" si="25"/>
        <v>554.53788</v>
      </c>
      <c r="AX15" s="5">
        <f t="shared" si="26"/>
        <v>3932.10288</v>
      </c>
      <c r="AY15" s="35">
        <f t="shared" si="27"/>
        <v>100.0979964</v>
      </c>
      <c r="BA15" s="5">
        <f t="shared" si="83"/>
        <v>60224.377499999995</v>
      </c>
      <c r="BB15" s="5">
        <f t="shared" si="28"/>
        <v>9887.80338</v>
      </c>
      <c r="BC15" s="5">
        <f t="shared" si="29"/>
        <v>70112.18088</v>
      </c>
      <c r="BD15" s="35">
        <f t="shared" si="30"/>
        <v>1784.8182113999999</v>
      </c>
      <c r="BF15" s="36">
        <f t="shared" si="84"/>
        <v>27884.364999999998</v>
      </c>
      <c r="BG15" s="5">
        <f t="shared" si="31"/>
        <v>4578.13148</v>
      </c>
      <c r="BH15" s="36">
        <f t="shared" si="32"/>
        <v>32462.496479999998</v>
      </c>
      <c r="BI15" s="35">
        <f t="shared" si="33"/>
        <v>826.3850044</v>
      </c>
      <c r="BK15" s="5">
        <f t="shared" si="85"/>
        <v>13354.630000000001</v>
      </c>
      <c r="BL15" s="5">
        <f t="shared" si="34"/>
        <v>2192.59976</v>
      </c>
      <c r="BM15" s="5">
        <f t="shared" si="35"/>
        <v>15547.229760000002</v>
      </c>
      <c r="BN15" s="35">
        <f t="shared" si="36"/>
        <v>395.7797128</v>
      </c>
      <c r="BP15" s="5">
        <f t="shared" si="37"/>
        <v>1970.4925</v>
      </c>
      <c r="BQ15" s="5">
        <f t="shared" si="38"/>
        <v>323.52086</v>
      </c>
      <c r="BR15" s="5">
        <f t="shared" si="39"/>
        <v>2294.01336</v>
      </c>
      <c r="BS15" s="35">
        <f t="shared" si="40"/>
        <v>58.397795800000004</v>
      </c>
      <c r="BU15" s="5">
        <f t="shared" si="86"/>
        <v>8736.4575</v>
      </c>
      <c r="BV15" s="5">
        <f t="shared" si="41"/>
        <v>1434.37554</v>
      </c>
      <c r="BW15" s="5">
        <f t="shared" si="42"/>
        <v>10170.833040000001</v>
      </c>
      <c r="BX15" s="35">
        <f t="shared" si="43"/>
        <v>258.9148962</v>
      </c>
      <c r="BZ15" s="5">
        <f t="shared" si="87"/>
        <v>1203.1774999999998</v>
      </c>
      <c r="CA15" s="5">
        <f t="shared" si="44"/>
        <v>197.54098</v>
      </c>
      <c r="CB15" s="5">
        <f t="shared" si="45"/>
        <v>1400.7184799999998</v>
      </c>
      <c r="CC15" s="35">
        <f t="shared" si="46"/>
        <v>35.6575394</v>
      </c>
      <c r="CE15" s="5">
        <f t="shared" si="88"/>
        <v>25099.77</v>
      </c>
      <c r="CF15" s="5">
        <f t="shared" si="47"/>
        <v>4120.94904</v>
      </c>
      <c r="CG15" s="5">
        <f t="shared" si="48"/>
        <v>29220.71904</v>
      </c>
      <c r="CH15" s="35">
        <f t="shared" si="49"/>
        <v>743.8603512</v>
      </c>
      <c r="CJ15" s="5">
        <f t="shared" si="89"/>
        <v>4861.96</v>
      </c>
      <c r="CK15" s="5">
        <f t="shared" si="50"/>
        <v>798.24992</v>
      </c>
      <c r="CL15" s="5">
        <f t="shared" si="51"/>
        <v>5660.20992</v>
      </c>
      <c r="CM15" s="35">
        <f t="shared" si="52"/>
        <v>144.08973759999998</v>
      </c>
      <c r="CO15" s="5">
        <f t="shared" si="90"/>
        <v>6432.5425</v>
      </c>
      <c r="CP15" s="5">
        <f t="shared" si="53"/>
        <v>1056.1124599999998</v>
      </c>
      <c r="CQ15" s="36">
        <f t="shared" si="54"/>
        <v>7488.65496</v>
      </c>
      <c r="CR15" s="35">
        <f t="shared" si="55"/>
        <v>190.6357438</v>
      </c>
      <c r="CT15" s="5">
        <f t="shared" si="91"/>
        <v>20910.565</v>
      </c>
      <c r="CU15" s="5">
        <f t="shared" si="56"/>
        <v>3433.1538800000003</v>
      </c>
      <c r="CV15" s="36">
        <f t="shared" si="57"/>
        <v>24343.71888</v>
      </c>
      <c r="CW15" s="35">
        <f t="shared" si="58"/>
        <v>619.7084764</v>
      </c>
      <c r="CY15" s="5">
        <f t="shared" si="92"/>
        <v>12293.2925</v>
      </c>
      <c r="CZ15" s="5">
        <f t="shared" si="59"/>
        <v>2018.3464599999998</v>
      </c>
      <c r="DA15" s="5">
        <f t="shared" si="60"/>
        <v>14311.63896</v>
      </c>
      <c r="DB15" s="35">
        <f t="shared" si="61"/>
        <v>364.32576379999995</v>
      </c>
      <c r="DD15" s="5">
        <f t="shared" si="93"/>
        <v>13877.172499999999</v>
      </c>
      <c r="DE15" s="5">
        <f t="shared" si="62"/>
        <v>2278.3922199999997</v>
      </c>
      <c r="DF15" s="5">
        <f t="shared" si="63"/>
        <v>16155.564719999998</v>
      </c>
      <c r="DG15" s="35">
        <f t="shared" si="64"/>
        <v>411.26585659999995</v>
      </c>
      <c r="DI15" s="5">
        <f t="shared" si="94"/>
        <v>160669.7525</v>
      </c>
      <c r="DJ15" s="5">
        <f t="shared" si="65"/>
        <v>26379.200380000002</v>
      </c>
      <c r="DK15" s="5">
        <f t="shared" si="66"/>
        <v>187048.95288</v>
      </c>
      <c r="DL15" s="35">
        <f t="shared" si="67"/>
        <v>4761.6316214</v>
      </c>
      <c r="DN15" s="5">
        <f t="shared" si="95"/>
        <v>5915.91</v>
      </c>
      <c r="DO15" s="5">
        <f t="shared" si="68"/>
        <v>971.29032</v>
      </c>
      <c r="DP15" s="36">
        <f t="shared" si="69"/>
        <v>6887.20032</v>
      </c>
      <c r="DQ15" s="35">
        <f t="shared" si="70"/>
        <v>175.3247496</v>
      </c>
      <c r="DS15" s="5">
        <f t="shared" si="96"/>
        <v>5236.7525000000005</v>
      </c>
      <c r="DT15" s="36">
        <f t="shared" si="71"/>
        <v>859.78438</v>
      </c>
      <c r="DU15" s="36">
        <f t="shared" si="72"/>
        <v>6096.536880000001</v>
      </c>
      <c r="DV15" s="35">
        <f t="shared" si="73"/>
        <v>155.19714140000002</v>
      </c>
    </row>
    <row r="16" spans="1:126" ht="12.75">
      <c r="A16" s="37">
        <v>43739</v>
      </c>
      <c r="D16" s="3">
        <v>685475</v>
      </c>
      <c r="E16" s="35">
        <f t="shared" si="0"/>
        <v>685475</v>
      </c>
      <c r="F16" s="35">
        <f>'2011A'!F16</f>
        <v>145958</v>
      </c>
      <c r="H16" s="47"/>
      <c r="I16" s="36">
        <f t="shared" si="1"/>
        <v>103316.16295000001</v>
      </c>
      <c r="J16" s="36">
        <f t="shared" si="2"/>
        <v>103316.16295000001</v>
      </c>
      <c r="K16" s="36">
        <f t="shared" si="3"/>
        <v>21999.081675999998</v>
      </c>
      <c r="N16" s="5">
        <f t="shared" si="4"/>
        <v>42948.02484</v>
      </c>
      <c r="O16" s="5">
        <f t="shared" si="5"/>
        <v>42948.02484</v>
      </c>
      <c r="P16" s="35">
        <f t="shared" si="6"/>
        <v>9144.9109152</v>
      </c>
      <c r="S16" s="36">
        <f t="shared" si="7"/>
        <v>18.9876575</v>
      </c>
      <c r="T16" s="36">
        <f t="shared" si="8"/>
        <v>18.9876575</v>
      </c>
      <c r="U16" s="35">
        <f t="shared" si="9"/>
        <v>4.0430366</v>
      </c>
      <c r="X16" s="5">
        <f t="shared" si="10"/>
        <v>850.1946425</v>
      </c>
      <c r="Y16" s="5">
        <f t="shared" si="97"/>
        <v>850.1946425</v>
      </c>
      <c r="Z16" s="35">
        <f t="shared" si="12"/>
        <v>181.0317074</v>
      </c>
      <c r="AC16" s="5">
        <f t="shared" si="13"/>
        <v>511.9812775</v>
      </c>
      <c r="AD16" s="5">
        <f t="shared" si="14"/>
        <v>511.9812775</v>
      </c>
      <c r="AE16" s="35">
        <f t="shared" si="15"/>
        <v>109.0160302</v>
      </c>
      <c r="AH16" s="5">
        <f t="shared" si="16"/>
        <v>3805.0717250000002</v>
      </c>
      <c r="AI16" s="5">
        <f t="shared" si="17"/>
        <v>3805.0717250000002</v>
      </c>
      <c r="AJ16" s="35">
        <f t="shared" si="18"/>
        <v>810.2128580000001</v>
      </c>
      <c r="AM16" s="5">
        <f t="shared" si="19"/>
        <v>1179.154095</v>
      </c>
      <c r="AN16" s="5">
        <f t="shared" si="20"/>
        <v>1179.154095</v>
      </c>
      <c r="AO16" s="35">
        <f t="shared" si="21"/>
        <v>251.0769516</v>
      </c>
      <c r="AR16" s="5">
        <f t="shared" si="22"/>
        <v>2219.979335</v>
      </c>
      <c r="AS16" s="5">
        <f t="shared" si="23"/>
        <v>2219.979335</v>
      </c>
      <c r="AT16" s="35">
        <f t="shared" si="24"/>
        <v>472.6995788</v>
      </c>
      <c r="AW16" s="5">
        <f t="shared" si="25"/>
        <v>470.098755</v>
      </c>
      <c r="AX16" s="5">
        <f t="shared" si="26"/>
        <v>470.098755</v>
      </c>
      <c r="AY16" s="35">
        <f t="shared" si="27"/>
        <v>100.0979964</v>
      </c>
      <c r="BB16" s="5">
        <f t="shared" si="28"/>
        <v>8382.1939425</v>
      </c>
      <c r="BC16" s="5">
        <f t="shared" si="29"/>
        <v>8382.1939425</v>
      </c>
      <c r="BD16" s="35">
        <f t="shared" si="30"/>
        <v>1784.8182113999999</v>
      </c>
      <c r="BF16" s="36"/>
      <c r="BG16" s="5">
        <f t="shared" si="31"/>
        <v>3881.022355</v>
      </c>
      <c r="BH16" s="36">
        <f t="shared" si="32"/>
        <v>3881.022355</v>
      </c>
      <c r="BI16" s="35">
        <f t="shared" si="33"/>
        <v>826.3850044</v>
      </c>
      <c r="BL16" s="5">
        <f t="shared" si="34"/>
        <v>1858.7340100000001</v>
      </c>
      <c r="BM16" s="5">
        <f t="shared" si="35"/>
        <v>1858.7340100000001</v>
      </c>
      <c r="BN16" s="35">
        <f t="shared" si="36"/>
        <v>395.7797128</v>
      </c>
      <c r="BP16" s="5">
        <f t="shared" si="37"/>
        <v>0</v>
      </c>
      <c r="BQ16" s="5">
        <f t="shared" si="38"/>
        <v>274.2585475</v>
      </c>
      <c r="BR16" s="5">
        <f t="shared" si="39"/>
        <v>274.2585475</v>
      </c>
      <c r="BS16" s="35">
        <f t="shared" si="40"/>
        <v>58.397795800000004</v>
      </c>
      <c r="BV16" s="5">
        <f t="shared" si="41"/>
        <v>1215.9641024999999</v>
      </c>
      <c r="BW16" s="5">
        <f t="shared" si="42"/>
        <v>1215.9641024999999</v>
      </c>
      <c r="BX16" s="35">
        <f t="shared" si="43"/>
        <v>258.9148962</v>
      </c>
      <c r="CA16" s="5">
        <f t="shared" si="44"/>
        <v>167.46154249999998</v>
      </c>
      <c r="CB16" s="5">
        <f t="shared" si="45"/>
        <v>167.46154249999998</v>
      </c>
      <c r="CC16" s="35">
        <f t="shared" si="46"/>
        <v>35.6575394</v>
      </c>
      <c r="CF16" s="5">
        <f t="shared" si="47"/>
        <v>3493.4547900000002</v>
      </c>
      <c r="CG16" s="5">
        <f t="shared" si="48"/>
        <v>3493.4547900000002</v>
      </c>
      <c r="CH16" s="35">
        <f t="shared" si="49"/>
        <v>743.8603512</v>
      </c>
      <c r="CK16" s="5">
        <f t="shared" si="50"/>
        <v>676.70092</v>
      </c>
      <c r="CL16" s="5">
        <f t="shared" si="51"/>
        <v>676.70092</v>
      </c>
      <c r="CM16" s="35">
        <f t="shared" si="52"/>
        <v>144.08973759999998</v>
      </c>
      <c r="CP16" s="5">
        <f t="shared" si="53"/>
        <v>895.2988975</v>
      </c>
      <c r="CQ16" s="36">
        <f t="shared" si="54"/>
        <v>895.2988975</v>
      </c>
      <c r="CR16" s="35">
        <f t="shared" si="55"/>
        <v>190.6357438</v>
      </c>
      <c r="CU16" s="5">
        <f t="shared" si="56"/>
        <v>2910.389755</v>
      </c>
      <c r="CV16" s="36">
        <f t="shared" si="57"/>
        <v>2910.389755</v>
      </c>
      <c r="CW16" s="35">
        <f t="shared" si="58"/>
        <v>619.7084764</v>
      </c>
      <c r="CZ16" s="5">
        <f t="shared" si="59"/>
        <v>1711.0141474999998</v>
      </c>
      <c r="DA16" s="5">
        <f t="shared" si="60"/>
        <v>1711.0141474999998</v>
      </c>
      <c r="DB16" s="35">
        <f t="shared" si="61"/>
        <v>364.32576379999995</v>
      </c>
      <c r="DE16" s="5">
        <f t="shared" si="62"/>
        <v>1931.4629074999998</v>
      </c>
      <c r="DF16" s="5">
        <f t="shared" si="63"/>
        <v>1931.4629074999998</v>
      </c>
      <c r="DG16" s="35">
        <f t="shared" si="64"/>
        <v>411.26585659999995</v>
      </c>
      <c r="DJ16" s="5">
        <f t="shared" si="65"/>
        <v>22362.4565675</v>
      </c>
      <c r="DK16" s="5">
        <f t="shared" si="66"/>
        <v>22362.4565675</v>
      </c>
      <c r="DL16" s="35">
        <f t="shared" si="67"/>
        <v>4761.6316214</v>
      </c>
      <c r="DO16" s="5">
        <f t="shared" si="68"/>
        <v>823.39257</v>
      </c>
      <c r="DP16" s="36">
        <f t="shared" si="69"/>
        <v>823.39257</v>
      </c>
      <c r="DQ16" s="35">
        <f t="shared" si="70"/>
        <v>175.3247496</v>
      </c>
      <c r="DT16" s="36">
        <f t="shared" si="71"/>
        <v>728.8655675000001</v>
      </c>
      <c r="DU16" s="36">
        <f t="shared" si="72"/>
        <v>728.8655675000001</v>
      </c>
      <c r="DV16" s="35">
        <f t="shared" si="73"/>
        <v>155.19714140000002</v>
      </c>
    </row>
    <row r="17" spans="1:126" ht="12.75">
      <c r="A17" s="37">
        <v>43922</v>
      </c>
      <c r="C17" s="3">
        <v>5170000</v>
      </c>
      <c r="D17" s="3">
        <v>685475</v>
      </c>
      <c r="E17" s="35">
        <f t="shared" si="0"/>
        <v>5855475</v>
      </c>
      <c r="F17" s="35">
        <f>'2011A'!F17</f>
        <v>145958</v>
      </c>
      <c r="H17" s="47">
        <f t="shared" si="74"/>
        <v>779232.7400000001</v>
      </c>
      <c r="I17" s="36">
        <f t="shared" si="1"/>
        <v>103316.16295000001</v>
      </c>
      <c r="J17" s="36">
        <f t="shared" si="2"/>
        <v>882548.9029500001</v>
      </c>
      <c r="K17" s="36">
        <f t="shared" si="3"/>
        <v>21999.081675999998</v>
      </c>
      <c r="L17" s="5"/>
      <c r="M17" s="5">
        <f t="shared" si="75"/>
        <v>323923.248</v>
      </c>
      <c r="N17" s="5">
        <f t="shared" si="4"/>
        <v>42948.02484</v>
      </c>
      <c r="O17" s="5">
        <f t="shared" si="5"/>
        <v>366871.27284</v>
      </c>
      <c r="P17" s="35">
        <f t="shared" si="6"/>
        <v>9144.9109152</v>
      </c>
      <c r="Q17" s="5"/>
      <c r="R17" s="5">
        <f t="shared" si="76"/>
        <v>143.209</v>
      </c>
      <c r="S17" s="36">
        <f t="shared" si="7"/>
        <v>18.9876575</v>
      </c>
      <c r="T17" s="36">
        <f t="shared" si="8"/>
        <v>162.19665750000001</v>
      </c>
      <c r="U17" s="35">
        <f t="shared" si="9"/>
        <v>4.0430366</v>
      </c>
      <c r="V17" s="5"/>
      <c r="W17" s="5">
        <f t="shared" si="77"/>
        <v>6412.351</v>
      </c>
      <c r="X17" s="5">
        <f t="shared" si="10"/>
        <v>850.1946425</v>
      </c>
      <c r="Y17" s="5">
        <f t="shared" si="97"/>
        <v>7262.545642499999</v>
      </c>
      <c r="Z17" s="35">
        <f t="shared" si="12"/>
        <v>181.0317074</v>
      </c>
      <c r="AA17" s="5"/>
      <c r="AB17" s="5">
        <f t="shared" si="78"/>
        <v>3861.473</v>
      </c>
      <c r="AC17" s="5">
        <f t="shared" si="13"/>
        <v>511.9812775</v>
      </c>
      <c r="AD17" s="5">
        <f t="shared" si="14"/>
        <v>4373.4542775</v>
      </c>
      <c r="AE17" s="35">
        <f t="shared" si="15"/>
        <v>109.0160302</v>
      </c>
      <c r="AF17" s="5"/>
      <c r="AG17" s="5">
        <f t="shared" si="79"/>
        <v>28698.670000000002</v>
      </c>
      <c r="AH17" s="5">
        <f t="shared" si="16"/>
        <v>3805.0717250000002</v>
      </c>
      <c r="AI17" s="5">
        <f t="shared" si="17"/>
        <v>32503.741725000003</v>
      </c>
      <c r="AJ17" s="35">
        <f t="shared" si="18"/>
        <v>810.2128580000001</v>
      </c>
      <c r="AK17" s="5"/>
      <c r="AL17" s="5">
        <f t="shared" si="80"/>
        <v>8893.434000000001</v>
      </c>
      <c r="AM17" s="5">
        <f t="shared" si="19"/>
        <v>1179.154095</v>
      </c>
      <c r="AN17" s="5">
        <f t="shared" si="20"/>
        <v>10072.588095000001</v>
      </c>
      <c r="AO17" s="35">
        <f t="shared" si="21"/>
        <v>251.0769516</v>
      </c>
      <c r="AP17" s="5"/>
      <c r="AQ17" s="5">
        <f t="shared" si="81"/>
        <v>16743.561999999998</v>
      </c>
      <c r="AR17" s="5">
        <f t="shared" si="22"/>
        <v>2219.979335</v>
      </c>
      <c r="AS17" s="5">
        <f t="shared" si="23"/>
        <v>18963.541334999998</v>
      </c>
      <c r="AT17" s="35">
        <f t="shared" si="24"/>
        <v>472.6995788</v>
      </c>
      <c r="AU17" s="5"/>
      <c r="AV17" s="5">
        <f t="shared" si="82"/>
        <v>3545.586</v>
      </c>
      <c r="AW17" s="5">
        <f t="shared" si="25"/>
        <v>470.098755</v>
      </c>
      <c r="AX17" s="5">
        <f t="shared" si="26"/>
        <v>4015.6847549999998</v>
      </c>
      <c r="AY17" s="35">
        <f t="shared" si="27"/>
        <v>100.0979964</v>
      </c>
      <c r="AZ17" s="5"/>
      <c r="BA17" s="5">
        <f t="shared" si="83"/>
        <v>63220.310999999994</v>
      </c>
      <c r="BB17" s="5">
        <f t="shared" si="28"/>
        <v>8382.1939425</v>
      </c>
      <c r="BC17" s="5">
        <f t="shared" si="29"/>
        <v>71602.50494249999</v>
      </c>
      <c r="BD17" s="35">
        <f t="shared" si="30"/>
        <v>1784.8182113999999</v>
      </c>
      <c r="BE17" s="5"/>
      <c r="BF17" s="36">
        <f t="shared" si="84"/>
        <v>29271.505999999998</v>
      </c>
      <c r="BG17" s="5">
        <f t="shared" si="31"/>
        <v>3881.022355</v>
      </c>
      <c r="BH17" s="36">
        <f t="shared" si="32"/>
        <v>33152.528354999995</v>
      </c>
      <c r="BI17" s="35">
        <f t="shared" si="33"/>
        <v>826.3850044</v>
      </c>
      <c r="BJ17" s="5"/>
      <c r="BK17" s="5">
        <f t="shared" si="85"/>
        <v>14018.972000000002</v>
      </c>
      <c r="BL17" s="5">
        <f t="shared" si="34"/>
        <v>1858.7340100000001</v>
      </c>
      <c r="BM17" s="5">
        <f t="shared" si="35"/>
        <v>15877.706010000002</v>
      </c>
      <c r="BN17" s="35">
        <f t="shared" si="36"/>
        <v>395.7797128</v>
      </c>
      <c r="BO17" s="5"/>
      <c r="BP17" s="5">
        <f t="shared" si="37"/>
        <v>2068.5170000000003</v>
      </c>
      <c r="BQ17" s="5">
        <f t="shared" si="38"/>
        <v>274.2585475</v>
      </c>
      <c r="BR17" s="5">
        <f t="shared" si="39"/>
        <v>2342.7755475000004</v>
      </c>
      <c r="BS17" s="35">
        <f t="shared" si="40"/>
        <v>58.397795800000004</v>
      </c>
      <c r="BT17" s="5"/>
      <c r="BU17" s="5">
        <f t="shared" si="86"/>
        <v>9171.063</v>
      </c>
      <c r="BV17" s="5">
        <f t="shared" si="41"/>
        <v>1215.9641024999999</v>
      </c>
      <c r="BW17" s="5">
        <f t="shared" si="42"/>
        <v>10387.0271025</v>
      </c>
      <c r="BX17" s="35">
        <f t="shared" si="43"/>
        <v>258.9148962</v>
      </c>
      <c r="BY17" s="5"/>
      <c r="BZ17" s="5">
        <f t="shared" si="87"/>
        <v>1263.031</v>
      </c>
      <c r="CA17" s="5">
        <f t="shared" si="44"/>
        <v>167.46154249999998</v>
      </c>
      <c r="CB17" s="5">
        <f t="shared" si="45"/>
        <v>1430.4925425</v>
      </c>
      <c r="CC17" s="35">
        <f t="shared" si="46"/>
        <v>35.6575394</v>
      </c>
      <c r="CD17" s="5"/>
      <c r="CE17" s="5">
        <f t="shared" si="88"/>
        <v>26348.388</v>
      </c>
      <c r="CF17" s="5">
        <f t="shared" si="47"/>
        <v>3493.4547900000002</v>
      </c>
      <c r="CG17" s="5">
        <f t="shared" si="48"/>
        <v>29841.84279</v>
      </c>
      <c r="CH17" s="35">
        <f t="shared" si="49"/>
        <v>743.8603512</v>
      </c>
      <c r="CI17" s="5"/>
      <c r="CJ17" s="5">
        <f t="shared" si="89"/>
        <v>5103.824</v>
      </c>
      <c r="CK17" s="5">
        <f t="shared" si="50"/>
        <v>676.70092</v>
      </c>
      <c r="CL17" s="5">
        <f t="shared" si="51"/>
        <v>5780.52492</v>
      </c>
      <c r="CM17" s="35">
        <f t="shared" si="52"/>
        <v>144.08973759999998</v>
      </c>
      <c r="CN17" s="5"/>
      <c r="CO17" s="5">
        <f t="shared" si="90"/>
        <v>6752.536999999999</v>
      </c>
      <c r="CP17" s="5">
        <f t="shared" si="53"/>
        <v>895.2988975</v>
      </c>
      <c r="CQ17" s="36">
        <f t="shared" si="54"/>
        <v>7647.835897499999</v>
      </c>
      <c r="CR17" s="35">
        <f t="shared" si="55"/>
        <v>190.6357438</v>
      </c>
      <c r="CS17" s="5"/>
      <c r="CT17" s="5">
        <f t="shared" si="91"/>
        <v>21950.786</v>
      </c>
      <c r="CU17" s="5">
        <f t="shared" si="56"/>
        <v>2910.389755</v>
      </c>
      <c r="CV17" s="36">
        <f t="shared" si="57"/>
        <v>24861.175755</v>
      </c>
      <c r="CW17" s="35">
        <f t="shared" si="58"/>
        <v>619.7084764</v>
      </c>
      <c r="CX17" s="5"/>
      <c r="CY17" s="5">
        <f t="shared" si="92"/>
        <v>12904.837</v>
      </c>
      <c r="CZ17" s="5">
        <f t="shared" si="59"/>
        <v>1711.0141474999998</v>
      </c>
      <c r="DA17" s="5">
        <f t="shared" si="60"/>
        <v>14615.8511475</v>
      </c>
      <c r="DB17" s="35">
        <f t="shared" si="61"/>
        <v>364.32576379999995</v>
      </c>
      <c r="DC17" s="5"/>
      <c r="DD17" s="5">
        <f t="shared" si="93"/>
        <v>14567.508999999998</v>
      </c>
      <c r="DE17" s="5">
        <f t="shared" si="62"/>
        <v>1931.4629074999998</v>
      </c>
      <c r="DF17" s="5">
        <f t="shared" si="63"/>
        <v>16498.9719075</v>
      </c>
      <c r="DG17" s="35">
        <f t="shared" si="64"/>
        <v>411.26585659999995</v>
      </c>
      <c r="DH17" s="5"/>
      <c r="DI17" s="5">
        <f t="shared" si="94"/>
        <v>168662.461</v>
      </c>
      <c r="DJ17" s="5">
        <f t="shared" si="65"/>
        <v>22362.4565675</v>
      </c>
      <c r="DK17" s="5">
        <f t="shared" si="66"/>
        <v>191024.9175675</v>
      </c>
      <c r="DL17" s="35">
        <f t="shared" si="67"/>
        <v>4761.6316214</v>
      </c>
      <c r="DM17" s="5"/>
      <c r="DN17" s="5">
        <f t="shared" si="95"/>
        <v>6210.204</v>
      </c>
      <c r="DO17" s="5">
        <f t="shared" si="68"/>
        <v>823.39257</v>
      </c>
      <c r="DP17" s="36">
        <f t="shared" si="69"/>
        <v>7033.59657</v>
      </c>
      <c r="DQ17" s="35">
        <f t="shared" si="70"/>
        <v>175.3247496</v>
      </c>
      <c r="DR17" s="5"/>
      <c r="DS17" s="5">
        <f t="shared" si="96"/>
        <v>5497.261</v>
      </c>
      <c r="DT17" s="36">
        <f t="shared" si="71"/>
        <v>728.8655675000001</v>
      </c>
      <c r="DU17" s="36">
        <f t="shared" si="72"/>
        <v>6226.1265675</v>
      </c>
      <c r="DV17" s="35">
        <f t="shared" si="73"/>
        <v>155.19714140000002</v>
      </c>
    </row>
    <row r="18" spans="1:126" ht="12.75">
      <c r="A18" s="37">
        <v>44105</v>
      </c>
      <c r="C18" s="3"/>
      <c r="D18" s="3">
        <v>556225</v>
      </c>
      <c r="E18" s="35">
        <f t="shared" si="0"/>
        <v>556225</v>
      </c>
      <c r="F18" s="35">
        <f>'2011A'!F18</f>
        <v>145958</v>
      </c>
      <c r="H18" s="47"/>
      <c r="I18" s="36">
        <f t="shared" si="1"/>
        <v>83835.34445</v>
      </c>
      <c r="J18" s="36">
        <f t="shared" si="2"/>
        <v>83835.34445</v>
      </c>
      <c r="K18" s="36">
        <f t="shared" si="3"/>
        <v>21999.081675999998</v>
      </c>
      <c r="N18" s="5">
        <f t="shared" si="4"/>
        <v>34849.94364</v>
      </c>
      <c r="O18" s="5">
        <f t="shared" si="5"/>
        <v>34849.94364</v>
      </c>
      <c r="P18" s="35">
        <f t="shared" si="6"/>
        <v>9144.9109152</v>
      </c>
      <c r="S18" s="36">
        <f t="shared" si="7"/>
        <v>15.407432499999999</v>
      </c>
      <c r="T18" s="36">
        <f t="shared" si="8"/>
        <v>15.407432499999999</v>
      </c>
      <c r="U18" s="35">
        <f t="shared" si="9"/>
        <v>4.0430366</v>
      </c>
      <c r="X18" s="5">
        <f t="shared" si="10"/>
        <v>689.8858675</v>
      </c>
      <c r="Y18" s="5">
        <f t="shared" si="97"/>
        <v>689.8858675</v>
      </c>
      <c r="Z18" s="35">
        <f t="shared" si="12"/>
        <v>181.0317074</v>
      </c>
      <c r="AC18" s="5">
        <f t="shared" si="13"/>
        <v>415.4444525</v>
      </c>
      <c r="AD18" s="5">
        <f t="shared" si="14"/>
        <v>415.4444525</v>
      </c>
      <c r="AE18" s="35">
        <f t="shared" si="15"/>
        <v>109.0160302</v>
      </c>
      <c r="AH18" s="5">
        <f t="shared" si="16"/>
        <v>3087.604975</v>
      </c>
      <c r="AI18" s="5">
        <f t="shared" si="17"/>
        <v>3087.604975</v>
      </c>
      <c r="AJ18" s="35">
        <f t="shared" si="18"/>
        <v>810.2128580000001</v>
      </c>
      <c r="AM18" s="5">
        <f t="shared" si="19"/>
        <v>956.818245</v>
      </c>
      <c r="AN18" s="5">
        <f t="shared" si="20"/>
        <v>956.818245</v>
      </c>
      <c r="AO18" s="35">
        <f t="shared" si="21"/>
        <v>251.0769516</v>
      </c>
      <c r="AR18" s="5">
        <f t="shared" si="22"/>
        <v>1801.390285</v>
      </c>
      <c r="AS18" s="5">
        <f t="shared" si="23"/>
        <v>1801.390285</v>
      </c>
      <c r="AT18" s="35">
        <f t="shared" si="24"/>
        <v>472.6995788</v>
      </c>
      <c r="AW18" s="5">
        <f t="shared" si="25"/>
        <v>381.45910499999997</v>
      </c>
      <c r="AX18" s="5">
        <f t="shared" si="26"/>
        <v>381.45910499999997</v>
      </c>
      <c r="AY18" s="35">
        <f t="shared" si="27"/>
        <v>100.0979964</v>
      </c>
      <c r="BB18" s="5">
        <f t="shared" si="28"/>
        <v>6801.6861675</v>
      </c>
      <c r="BC18" s="5">
        <f t="shared" si="29"/>
        <v>6801.6861675</v>
      </c>
      <c r="BD18" s="35">
        <f t="shared" si="30"/>
        <v>1784.8182113999999</v>
      </c>
      <c r="BF18" s="36"/>
      <c r="BG18" s="5">
        <f t="shared" si="31"/>
        <v>3149.234705</v>
      </c>
      <c r="BH18" s="36">
        <f t="shared" si="32"/>
        <v>3149.234705</v>
      </c>
      <c r="BI18" s="35">
        <f t="shared" si="33"/>
        <v>826.3850044</v>
      </c>
      <c r="BL18" s="5">
        <f t="shared" si="34"/>
        <v>1508.25971</v>
      </c>
      <c r="BM18" s="5">
        <f t="shared" si="35"/>
        <v>1508.25971</v>
      </c>
      <c r="BN18" s="35">
        <f t="shared" si="36"/>
        <v>395.7797128</v>
      </c>
      <c r="BO18" s="5"/>
      <c r="BP18" s="5">
        <f t="shared" si="37"/>
        <v>0</v>
      </c>
      <c r="BQ18" s="5">
        <f t="shared" si="38"/>
        <v>222.5456225</v>
      </c>
      <c r="BR18" s="5">
        <f t="shared" si="39"/>
        <v>222.5456225</v>
      </c>
      <c r="BS18" s="35">
        <f t="shared" si="40"/>
        <v>58.397795800000004</v>
      </c>
      <c r="BV18" s="5">
        <f t="shared" si="41"/>
        <v>986.6875275</v>
      </c>
      <c r="BW18" s="5">
        <f t="shared" si="42"/>
        <v>986.6875275</v>
      </c>
      <c r="BX18" s="35">
        <f t="shared" si="43"/>
        <v>258.9148962</v>
      </c>
      <c r="CA18" s="5">
        <f t="shared" si="44"/>
        <v>135.8857675</v>
      </c>
      <c r="CB18" s="5">
        <f t="shared" si="45"/>
        <v>135.8857675</v>
      </c>
      <c r="CC18" s="35">
        <f t="shared" si="46"/>
        <v>35.6575394</v>
      </c>
      <c r="CF18" s="5">
        <f t="shared" si="47"/>
        <v>2834.74509</v>
      </c>
      <c r="CG18" s="5">
        <f t="shared" si="48"/>
        <v>2834.74509</v>
      </c>
      <c r="CH18" s="35">
        <f t="shared" si="49"/>
        <v>743.8603512</v>
      </c>
      <c r="CK18" s="5">
        <f t="shared" si="50"/>
        <v>549.10532</v>
      </c>
      <c r="CL18" s="5">
        <f t="shared" si="51"/>
        <v>549.10532</v>
      </c>
      <c r="CM18" s="35">
        <f t="shared" si="52"/>
        <v>144.08973759999998</v>
      </c>
      <c r="CP18" s="5">
        <f t="shared" si="53"/>
        <v>726.4854725</v>
      </c>
      <c r="CQ18" s="36">
        <f t="shared" si="54"/>
        <v>726.4854725</v>
      </c>
      <c r="CR18" s="35">
        <f t="shared" si="55"/>
        <v>190.6357438</v>
      </c>
      <c r="CU18" s="5">
        <f t="shared" si="56"/>
        <v>2361.620105</v>
      </c>
      <c r="CV18" s="36">
        <f t="shared" si="57"/>
        <v>2361.620105</v>
      </c>
      <c r="CW18" s="35">
        <f t="shared" si="58"/>
        <v>619.7084764</v>
      </c>
      <c r="CZ18" s="5">
        <f t="shared" si="59"/>
        <v>1388.3932224999999</v>
      </c>
      <c r="DA18" s="5">
        <f t="shared" si="60"/>
        <v>1388.3932224999999</v>
      </c>
      <c r="DB18" s="35">
        <f t="shared" si="61"/>
        <v>364.32576379999995</v>
      </c>
      <c r="DE18" s="5">
        <f t="shared" si="62"/>
        <v>1567.2751824999998</v>
      </c>
      <c r="DF18" s="5">
        <f t="shared" si="63"/>
        <v>1567.2751824999998</v>
      </c>
      <c r="DG18" s="35">
        <f t="shared" si="64"/>
        <v>411.26585659999995</v>
      </c>
      <c r="DJ18" s="5">
        <f t="shared" si="65"/>
        <v>18145.8950425</v>
      </c>
      <c r="DK18" s="5">
        <f t="shared" si="66"/>
        <v>18145.8950425</v>
      </c>
      <c r="DL18" s="35">
        <f t="shared" si="67"/>
        <v>4761.6316214</v>
      </c>
      <c r="DO18" s="5">
        <f t="shared" si="68"/>
        <v>668.13747</v>
      </c>
      <c r="DP18" s="36">
        <f t="shared" si="69"/>
        <v>668.13747</v>
      </c>
      <c r="DQ18" s="35">
        <f t="shared" si="70"/>
        <v>175.3247496</v>
      </c>
      <c r="DT18" s="36">
        <f t="shared" si="71"/>
        <v>591.4340425</v>
      </c>
      <c r="DU18" s="36">
        <f t="shared" si="72"/>
        <v>591.4340425</v>
      </c>
      <c r="DV18" s="35">
        <f t="shared" si="73"/>
        <v>155.19714140000002</v>
      </c>
    </row>
    <row r="19" spans="1:126" ht="12.75">
      <c r="A19" s="37">
        <v>44287</v>
      </c>
      <c r="C19" s="3">
        <v>5430000</v>
      </c>
      <c r="D19" s="3">
        <v>556225</v>
      </c>
      <c r="E19" s="35">
        <f t="shared" si="0"/>
        <v>5986225</v>
      </c>
      <c r="F19" s="35">
        <f>'2011A'!F19</f>
        <v>145958</v>
      </c>
      <c r="H19" s="47">
        <f t="shared" si="74"/>
        <v>818420.4600000001</v>
      </c>
      <c r="I19" s="36">
        <f t="shared" si="1"/>
        <v>83835.34445</v>
      </c>
      <c r="J19" s="36">
        <f t="shared" si="2"/>
        <v>902255.80445</v>
      </c>
      <c r="K19" s="36">
        <f t="shared" si="3"/>
        <v>21999.081675999998</v>
      </c>
      <c r="L19" s="5"/>
      <c r="M19" s="5">
        <f t="shared" si="75"/>
        <v>340213.392</v>
      </c>
      <c r="N19" s="5">
        <f t="shared" si="4"/>
        <v>34849.94364</v>
      </c>
      <c r="O19" s="5">
        <f t="shared" si="5"/>
        <v>375063.33564</v>
      </c>
      <c r="P19" s="35">
        <f t="shared" si="6"/>
        <v>9144.9109152</v>
      </c>
      <c r="Q19" s="5"/>
      <c r="R19" s="5">
        <f t="shared" si="76"/>
        <v>150.411</v>
      </c>
      <c r="S19" s="36">
        <f t="shared" si="7"/>
        <v>15.407432499999999</v>
      </c>
      <c r="T19" s="36">
        <f t="shared" si="8"/>
        <v>165.8184325</v>
      </c>
      <c r="U19" s="35">
        <f t="shared" si="9"/>
        <v>4.0430366</v>
      </c>
      <c r="V19" s="5"/>
      <c r="W19" s="5">
        <f t="shared" si="77"/>
        <v>6734.829</v>
      </c>
      <c r="X19" s="5">
        <f t="shared" si="10"/>
        <v>689.8858675</v>
      </c>
      <c r="Y19" s="5">
        <f t="shared" si="97"/>
        <v>7424.7148675</v>
      </c>
      <c r="Z19" s="35">
        <f t="shared" si="12"/>
        <v>181.0317074</v>
      </c>
      <c r="AA19" s="5"/>
      <c r="AB19" s="5">
        <f t="shared" si="78"/>
        <v>4055.667</v>
      </c>
      <c r="AC19" s="5">
        <f t="shared" si="13"/>
        <v>415.4444525</v>
      </c>
      <c r="AD19" s="5">
        <f t="shared" si="14"/>
        <v>4471.1114525</v>
      </c>
      <c r="AE19" s="35">
        <f t="shared" si="15"/>
        <v>109.0160302</v>
      </c>
      <c r="AF19" s="5"/>
      <c r="AG19" s="5">
        <f t="shared" si="79"/>
        <v>30141.93</v>
      </c>
      <c r="AH19" s="5">
        <f t="shared" si="16"/>
        <v>3087.604975</v>
      </c>
      <c r="AI19" s="5">
        <f t="shared" si="17"/>
        <v>33229.534975</v>
      </c>
      <c r="AJ19" s="35">
        <f t="shared" si="18"/>
        <v>810.2128580000001</v>
      </c>
      <c r="AK19" s="5"/>
      <c r="AL19" s="5">
        <f t="shared" si="80"/>
        <v>9340.686</v>
      </c>
      <c r="AM19" s="5">
        <f t="shared" si="19"/>
        <v>956.818245</v>
      </c>
      <c r="AN19" s="5">
        <f t="shared" si="20"/>
        <v>10297.504245</v>
      </c>
      <c r="AO19" s="35">
        <f t="shared" si="21"/>
        <v>251.0769516</v>
      </c>
      <c r="AP19" s="5"/>
      <c r="AQ19" s="5">
        <f t="shared" si="81"/>
        <v>17585.597999999998</v>
      </c>
      <c r="AR19" s="5">
        <f t="shared" si="22"/>
        <v>1801.390285</v>
      </c>
      <c r="AS19" s="5">
        <f t="shared" si="23"/>
        <v>19386.988285</v>
      </c>
      <c r="AT19" s="35">
        <f t="shared" si="24"/>
        <v>472.6995788</v>
      </c>
      <c r="AU19" s="5"/>
      <c r="AV19" s="5">
        <f t="shared" si="82"/>
        <v>3723.894</v>
      </c>
      <c r="AW19" s="5">
        <f t="shared" si="25"/>
        <v>381.45910499999997</v>
      </c>
      <c r="AX19" s="5">
        <f t="shared" si="26"/>
        <v>4105.353105</v>
      </c>
      <c r="AY19" s="35">
        <f t="shared" si="27"/>
        <v>100.0979964</v>
      </c>
      <c r="AZ19" s="5"/>
      <c r="BA19" s="5">
        <f t="shared" si="83"/>
        <v>66399.669</v>
      </c>
      <c r="BB19" s="5">
        <f t="shared" si="28"/>
        <v>6801.6861675</v>
      </c>
      <c r="BC19" s="5">
        <f t="shared" si="29"/>
        <v>73201.35516749999</v>
      </c>
      <c r="BD19" s="35">
        <f t="shared" si="30"/>
        <v>1784.8182113999999</v>
      </c>
      <c r="BE19" s="5"/>
      <c r="BF19" s="36">
        <f t="shared" si="84"/>
        <v>30743.574</v>
      </c>
      <c r="BG19" s="5">
        <f t="shared" si="31"/>
        <v>3149.234705</v>
      </c>
      <c r="BH19" s="36">
        <f t="shared" si="32"/>
        <v>33892.808705</v>
      </c>
      <c r="BI19" s="35">
        <f t="shared" si="33"/>
        <v>826.3850044</v>
      </c>
      <c r="BJ19" s="5"/>
      <c r="BK19" s="5">
        <f t="shared" si="85"/>
        <v>14723.988000000001</v>
      </c>
      <c r="BL19" s="5">
        <f t="shared" si="34"/>
        <v>1508.25971</v>
      </c>
      <c r="BM19" s="5">
        <f t="shared" si="35"/>
        <v>16232.247710000001</v>
      </c>
      <c r="BN19" s="35">
        <f t="shared" si="36"/>
        <v>395.7797128</v>
      </c>
      <c r="BO19" s="5"/>
      <c r="BP19" s="5">
        <f t="shared" si="37"/>
        <v>2172.543</v>
      </c>
      <c r="BQ19" s="5">
        <f t="shared" si="38"/>
        <v>222.5456225</v>
      </c>
      <c r="BR19" s="5">
        <f t="shared" si="39"/>
        <v>2395.0886225</v>
      </c>
      <c r="BS19" s="35">
        <f t="shared" si="40"/>
        <v>58.397795800000004</v>
      </c>
      <c r="BT19" s="5"/>
      <c r="BU19" s="5">
        <f t="shared" si="86"/>
        <v>9632.277</v>
      </c>
      <c r="BV19" s="5">
        <f t="shared" si="41"/>
        <v>986.6875275</v>
      </c>
      <c r="BW19" s="5">
        <f t="shared" si="42"/>
        <v>10618.9645275</v>
      </c>
      <c r="BX19" s="35">
        <f t="shared" si="43"/>
        <v>258.9148962</v>
      </c>
      <c r="BY19" s="5"/>
      <c r="BZ19" s="5">
        <f t="shared" si="87"/>
        <v>1326.549</v>
      </c>
      <c r="CA19" s="5">
        <f t="shared" si="44"/>
        <v>135.8857675</v>
      </c>
      <c r="CB19" s="5">
        <f t="shared" si="45"/>
        <v>1462.4347675</v>
      </c>
      <c r="CC19" s="35">
        <f t="shared" si="46"/>
        <v>35.6575394</v>
      </c>
      <c r="CD19" s="5"/>
      <c r="CE19" s="5">
        <f t="shared" si="88"/>
        <v>27673.452</v>
      </c>
      <c r="CF19" s="5">
        <f t="shared" si="47"/>
        <v>2834.74509</v>
      </c>
      <c r="CG19" s="5">
        <f t="shared" si="48"/>
        <v>30508.19709</v>
      </c>
      <c r="CH19" s="35">
        <f t="shared" si="49"/>
        <v>743.8603512</v>
      </c>
      <c r="CI19" s="5"/>
      <c r="CJ19" s="5">
        <f t="shared" si="89"/>
        <v>5360.495999999999</v>
      </c>
      <c r="CK19" s="5">
        <f t="shared" si="50"/>
        <v>549.10532</v>
      </c>
      <c r="CL19" s="5">
        <f t="shared" si="51"/>
        <v>5909.601319999999</v>
      </c>
      <c r="CM19" s="35">
        <f t="shared" si="52"/>
        <v>144.08973759999998</v>
      </c>
      <c r="CN19" s="5"/>
      <c r="CO19" s="5">
        <f t="shared" si="90"/>
        <v>7092.123</v>
      </c>
      <c r="CP19" s="5">
        <f t="shared" si="53"/>
        <v>726.4854725</v>
      </c>
      <c r="CQ19" s="36">
        <f t="shared" si="54"/>
        <v>7818.6084725</v>
      </c>
      <c r="CR19" s="35">
        <f t="shared" si="55"/>
        <v>190.6357438</v>
      </c>
      <c r="CS19" s="5"/>
      <c r="CT19" s="5">
        <f t="shared" si="91"/>
        <v>23054.694</v>
      </c>
      <c r="CU19" s="5">
        <f t="shared" si="56"/>
        <v>2361.620105</v>
      </c>
      <c r="CV19" s="36">
        <f t="shared" si="57"/>
        <v>25416.314104999998</v>
      </c>
      <c r="CW19" s="35">
        <f t="shared" si="58"/>
        <v>619.7084764</v>
      </c>
      <c r="CX19" s="5"/>
      <c r="CY19" s="5">
        <f t="shared" si="92"/>
        <v>13553.822999999999</v>
      </c>
      <c r="CZ19" s="5">
        <f t="shared" si="59"/>
        <v>1388.3932224999999</v>
      </c>
      <c r="DA19" s="5">
        <f t="shared" si="60"/>
        <v>14942.2162225</v>
      </c>
      <c r="DB19" s="35">
        <f t="shared" si="61"/>
        <v>364.32576379999995</v>
      </c>
      <c r="DC19" s="5"/>
      <c r="DD19" s="5">
        <f t="shared" si="93"/>
        <v>15300.110999999999</v>
      </c>
      <c r="DE19" s="5">
        <f t="shared" si="62"/>
        <v>1567.2751824999998</v>
      </c>
      <c r="DF19" s="5">
        <f t="shared" si="63"/>
        <v>16867.3861825</v>
      </c>
      <c r="DG19" s="35">
        <f t="shared" si="64"/>
        <v>411.26585659999995</v>
      </c>
      <c r="DH19" s="5"/>
      <c r="DI19" s="5">
        <f t="shared" si="94"/>
        <v>177144.519</v>
      </c>
      <c r="DJ19" s="5">
        <f t="shared" si="65"/>
        <v>18145.8950425</v>
      </c>
      <c r="DK19" s="5">
        <f t="shared" si="66"/>
        <v>195290.4140425</v>
      </c>
      <c r="DL19" s="35">
        <f t="shared" si="67"/>
        <v>4761.6316214</v>
      </c>
      <c r="DM19" s="5"/>
      <c r="DN19" s="5">
        <f t="shared" si="95"/>
        <v>6522.516</v>
      </c>
      <c r="DO19" s="5">
        <f t="shared" si="68"/>
        <v>668.13747</v>
      </c>
      <c r="DP19" s="36">
        <f t="shared" si="69"/>
        <v>7190.653469999999</v>
      </c>
      <c r="DQ19" s="35">
        <f t="shared" si="70"/>
        <v>175.3247496</v>
      </c>
      <c r="DR19" s="5"/>
      <c r="DS19" s="5">
        <f t="shared" si="96"/>
        <v>5773.719000000001</v>
      </c>
      <c r="DT19" s="36">
        <f t="shared" si="71"/>
        <v>591.4340425</v>
      </c>
      <c r="DU19" s="36">
        <f t="shared" si="72"/>
        <v>6365.153042500001</v>
      </c>
      <c r="DV19" s="35">
        <f t="shared" si="73"/>
        <v>155.19714140000002</v>
      </c>
    </row>
    <row r="20" spans="1:126" ht="12.75">
      <c r="A20" s="37">
        <v>44470</v>
      </c>
      <c r="C20" s="3"/>
      <c r="D20" s="3">
        <v>420475</v>
      </c>
      <c r="E20" s="35">
        <f t="shared" si="0"/>
        <v>420475</v>
      </c>
      <c r="F20" s="35">
        <f>'2011A'!F20</f>
        <v>145958</v>
      </c>
      <c r="H20" s="47"/>
      <c r="I20" s="36">
        <f t="shared" si="1"/>
        <v>63374.83295</v>
      </c>
      <c r="J20" s="36">
        <f t="shared" si="2"/>
        <v>63374.83295</v>
      </c>
      <c r="K20" s="36">
        <f t="shared" si="3"/>
        <v>21999.081675999998</v>
      </c>
      <c r="N20" s="5">
        <f t="shared" si="4"/>
        <v>26344.60884</v>
      </c>
      <c r="O20" s="5">
        <f t="shared" si="5"/>
        <v>26344.60884</v>
      </c>
      <c r="P20" s="35">
        <f t="shared" si="6"/>
        <v>9144.9109152</v>
      </c>
      <c r="S20" s="36">
        <f t="shared" si="7"/>
        <v>11.647157499999999</v>
      </c>
      <c r="T20" s="36">
        <f t="shared" si="8"/>
        <v>11.647157499999999</v>
      </c>
      <c r="U20" s="35">
        <f t="shared" si="9"/>
        <v>4.0430366</v>
      </c>
      <c r="X20" s="5">
        <f t="shared" si="10"/>
        <v>521.5151425</v>
      </c>
      <c r="Y20" s="5">
        <f t="shared" si="97"/>
        <v>521.5151425</v>
      </c>
      <c r="Z20" s="35">
        <f t="shared" si="12"/>
        <v>181.0317074</v>
      </c>
      <c r="AC20" s="5">
        <f t="shared" si="13"/>
        <v>314.0527775</v>
      </c>
      <c r="AD20" s="5">
        <f t="shared" si="14"/>
        <v>314.0527775</v>
      </c>
      <c r="AE20" s="35">
        <f t="shared" si="15"/>
        <v>109.0160302</v>
      </c>
      <c r="AH20" s="5">
        <f t="shared" si="16"/>
        <v>2334.0567250000004</v>
      </c>
      <c r="AI20" s="5">
        <f t="shared" si="17"/>
        <v>2334.0567250000004</v>
      </c>
      <c r="AJ20" s="35">
        <f t="shared" si="18"/>
        <v>810.2128580000001</v>
      </c>
      <c r="AM20" s="5">
        <f t="shared" si="19"/>
        <v>723.301095</v>
      </c>
      <c r="AN20" s="5">
        <f t="shared" si="20"/>
        <v>723.301095</v>
      </c>
      <c r="AO20" s="35">
        <f t="shared" si="21"/>
        <v>251.0769516</v>
      </c>
      <c r="AR20" s="5">
        <f t="shared" si="22"/>
        <v>1361.750335</v>
      </c>
      <c r="AS20" s="5">
        <f t="shared" si="23"/>
        <v>1361.750335</v>
      </c>
      <c r="AT20" s="35">
        <f t="shared" si="24"/>
        <v>472.6995788</v>
      </c>
      <c r="AW20" s="5">
        <f t="shared" si="25"/>
        <v>288.361755</v>
      </c>
      <c r="AX20" s="5">
        <f t="shared" si="26"/>
        <v>288.361755</v>
      </c>
      <c r="AY20" s="35">
        <f t="shared" si="27"/>
        <v>100.0979964</v>
      </c>
      <c r="BB20" s="5">
        <f t="shared" si="28"/>
        <v>5141.694442499999</v>
      </c>
      <c r="BC20" s="5">
        <f t="shared" si="29"/>
        <v>5141.694442499999</v>
      </c>
      <c r="BD20" s="35">
        <f t="shared" si="30"/>
        <v>1784.8182113999999</v>
      </c>
      <c r="BF20" s="36"/>
      <c r="BG20" s="5">
        <f t="shared" si="31"/>
        <v>2380.645355</v>
      </c>
      <c r="BH20" s="36">
        <f t="shared" si="32"/>
        <v>2380.645355</v>
      </c>
      <c r="BI20" s="35">
        <f t="shared" si="33"/>
        <v>826.3850044</v>
      </c>
      <c r="BL20" s="5">
        <f t="shared" si="34"/>
        <v>1140.16001</v>
      </c>
      <c r="BM20" s="5">
        <f t="shared" si="35"/>
        <v>1140.16001</v>
      </c>
      <c r="BN20" s="35">
        <f t="shared" si="36"/>
        <v>395.7797128</v>
      </c>
      <c r="BO20" s="5"/>
      <c r="BP20" s="5">
        <f t="shared" si="37"/>
        <v>0</v>
      </c>
      <c r="BQ20" s="5">
        <f t="shared" si="38"/>
        <v>168.23204750000002</v>
      </c>
      <c r="BR20" s="5">
        <f t="shared" si="39"/>
        <v>168.23204750000002</v>
      </c>
      <c r="BS20" s="35">
        <f t="shared" si="40"/>
        <v>58.397795800000004</v>
      </c>
      <c r="BV20" s="5">
        <f t="shared" si="41"/>
        <v>745.8806025</v>
      </c>
      <c r="BW20" s="5">
        <f t="shared" si="42"/>
        <v>745.8806025</v>
      </c>
      <c r="BX20" s="35">
        <f t="shared" si="43"/>
        <v>258.9148962</v>
      </c>
      <c r="CA20" s="5">
        <f t="shared" si="44"/>
        <v>102.72204249999999</v>
      </c>
      <c r="CB20" s="5">
        <f t="shared" si="45"/>
        <v>102.72204249999999</v>
      </c>
      <c r="CC20" s="35">
        <f t="shared" si="46"/>
        <v>35.6575394</v>
      </c>
      <c r="CF20" s="5">
        <f t="shared" si="47"/>
        <v>2142.90879</v>
      </c>
      <c r="CG20" s="5">
        <f t="shared" si="48"/>
        <v>2142.90879</v>
      </c>
      <c r="CH20" s="35">
        <f t="shared" si="49"/>
        <v>743.8603512</v>
      </c>
      <c r="CK20" s="5">
        <f t="shared" si="50"/>
        <v>415.09292</v>
      </c>
      <c r="CL20" s="5">
        <f t="shared" si="51"/>
        <v>415.09292</v>
      </c>
      <c r="CM20" s="35">
        <f t="shared" si="52"/>
        <v>144.08973759999998</v>
      </c>
      <c r="CP20" s="5">
        <f t="shared" si="53"/>
        <v>549.1823975</v>
      </c>
      <c r="CQ20" s="36">
        <f t="shared" si="54"/>
        <v>549.1823975</v>
      </c>
      <c r="CR20" s="35">
        <f t="shared" si="55"/>
        <v>190.6357438</v>
      </c>
      <c r="CU20" s="5">
        <f t="shared" si="56"/>
        <v>1785.252755</v>
      </c>
      <c r="CV20" s="36">
        <f t="shared" si="57"/>
        <v>1785.252755</v>
      </c>
      <c r="CW20" s="35">
        <f t="shared" si="58"/>
        <v>619.7084764</v>
      </c>
      <c r="CZ20" s="5">
        <f t="shared" si="59"/>
        <v>1049.5476474999998</v>
      </c>
      <c r="DA20" s="5">
        <f t="shared" si="60"/>
        <v>1049.5476474999998</v>
      </c>
      <c r="DB20" s="35">
        <f t="shared" si="61"/>
        <v>364.32576379999995</v>
      </c>
      <c r="DE20" s="5">
        <f t="shared" si="62"/>
        <v>1184.7724074999999</v>
      </c>
      <c r="DF20" s="5">
        <f t="shared" si="63"/>
        <v>1184.7724074999999</v>
      </c>
      <c r="DG20" s="35">
        <f t="shared" si="64"/>
        <v>411.26585659999995</v>
      </c>
      <c r="DJ20" s="5">
        <f t="shared" si="65"/>
        <v>13717.2820675</v>
      </c>
      <c r="DK20" s="5">
        <f t="shared" si="66"/>
        <v>13717.2820675</v>
      </c>
      <c r="DL20" s="35">
        <f t="shared" si="67"/>
        <v>4761.6316214</v>
      </c>
      <c r="DO20" s="5">
        <f t="shared" si="68"/>
        <v>505.07457</v>
      </c>
      <c r="DP20" s="36">
        <f t="shared" si="69"/>
        <v>505.07457</v>
      </c>
      <c r="DQ20" s="35">
        <f t="shared" si="70"/>
        <v>175.3247496</v>
      </c>
      <c r="DT20" s="36">
        <f t="shared" si="71"/>
        <v>447.09106750000007</v>
      </c>
      <c r="DU20" s="36">
        <f t="shared" si="72"/>
        <v>447.09106750000007</v>
      </c>
      <c r="DV20" s="35">
        <f t="shared" si="73"/>
        <v>155.19714140000002</v>
      </c>
    </row>
    <row r="21" spans="1:126" ht="12.75">
      <c r="A21" s="37">
        <v>44652</v>
      </c>
      <c r="C21" s="3">
        <v>0</v>
      </c>
      <c r="D21" s="3">
        <v>420475</v>
      </c>
      <c r="E21" s="35">
        <f t="shared" si="0"/>
        <v>420475</v>
      </c>
      <c r="F21" s="35">
        <f>'2011A'!F21</f>
        <v>145958</v>
      </c>
      <c r="H21" s="47">
        <f t="shared" si="74"/>
        <v>0</v>
      </c>
      <c r="I21" s="36">
        <f t="shared" si="1"/>
        <v>63374.83295</v>
      </c>
      <c r="J21" s="36">
        <f t="shared" si="2"/>
        <v>63374.83295</v>
      </c>
      <c r="K21" s="36">
        <f t="shared" si="3"/>
        <v>21999.081675999998</v>
      </c>
      <c r="L21" s="5"/>
      <c r="M21" s="5">
        <f t="shared" si="75"/>
        <v>0</v>
      </c>
      <c r="N21" s="5">
        <f t="shared" si="4"/>
        <v>26344.60884</v>
      </c>
      <c r="O21" s="5">
        <f t="shared" si="5"/>
        <v>26344.60884</v>
      </c>
      <c r="P21" s="35">
        <f t="shared" si="6"/>
        <v>9144.9109152</v>
      </c>
      <c r="Q21" s="5"/>
      <c r="R21" s="5">
        <f t="shared" si="76"/>
        <v>0</v>
      </c>
      <c r="S21" s="36">
        <f t="shared" si="7"/>
        <v>11.647157499999999</v>
      </c>
      <c r="T21" s="36">
        <f t="shared" si="8"/>
        <v>11.647157499999999</v>
      </c>
      <c r="U21" s="35">
        <f t="shared" si="9"/>
        <v>4.0430366</v>
      </c>
      <c r="V21" s="5"/>
      <c r="W21" s="5">
        <f t="shared" si="77"/>
        <v>0</v>
      </c>
      <c r="X21" s="5">
        <f t="shared" si="10"/>
        <v>521.5151425</v>
      </c>
      <c r="Y21" s="5">
        <f t="shared" si="97"/>
        <v>521.5151425</v>
      </c>
      <c r="Z21" s="35">
        <f t="shared" si="12"/>
        <v>181.0317074</v>
      </c>
      <c r="AA21" s="5"/>
      <c r="AB21" s="5">
        <f t="shared" si="78"/>
        <v>0</v>
      </c>
      <c r="AC21" s="5">
        <f t="shared" si="13"/>
        <v>314.0527775</v>
      </c>
      <c r="AD21" s="5">
        <f t="shared" si="14"/>
        <v>314.0527775</v>
      </c>
      <c r="AE21" s="35">
        <f t="shared" si="15"/>
        <v>109.0160302</v>
      </c>
      <c r="AF21" s="5"/>
      <c r="AG21" s="5">
        <f t="shared" si="79"/>
        <v>0</v>
      </c>
      <c r="AH21" s="5">
        <f t="shared" si="16"/>
        <v>2334.0567250000004</v>
      </c>
      <c r="AI21" s="5">
        <f t="shared" si="17"/>
        <v>2334.0567250000004</v>
      </c>
      <c r="AJ21" s="35">
        <f t="shared" si="18"/>
        <v>810.2128580000001</v>
      </c>
      <c r="AK21" s="5"/>
      <c r="AL21" s="5">
        <f t="shared" si="80"/>
        <v>0</v>
      </c>
      <c r="AM21" s="5">
        <f t="shared" si="19"/>
        <v>723.301095</v>
      </c>
      <c r="AN21" s="5">
        <f t="shared" si="20"/>
        <v>723.301095</v>
      </c>
      <c r="AO21" s="35">
        <f t="shared" si="21"/>
        <v>251.0769516</v>
      </c>
      <c r="AP21" s="5"/>
      <c r="AQ21" s="5">
        <f t="shared" si="81"/>
        <v>0</v>
      </c>
      <c r="AR21" s="5">
        <f t="shared" si="22"/>
        <v>1361.750335</v>
      </c>
      <c r="AS21" s="5">
        <f t="shared" si="23"/>
        <v>1361.750335</v>
      </c>
      <c r="AT21" s="35">
        <f t="shared" si="24"/>
        <v>472.6995788</v>
      </c>
      <c r="AU21" s="5"/>
      <c r="AV21" s="5">
        <f t="shared" si="82"/>
        <v>0</v>
      </c>
      <c r="AW21" s="5">
        <f t="shared" si="25"/>
        <v>288.361755</v>
      </c>
      <c r="AX21" s="5">
        <f t="shared" si="26"/>
        <v>288.361755</v>
      </c>
      <c r="AY21" s="35">
        <f t="shared" si="27"/>
        <v>100.0979964</v>
      </c>
      <c r="AZ21" s="5"/>
      <c r="BA21" s="5">
        <f t="shared" si="83"/>
        <v>0</v>
      </c>
      <c r="BB21" s="5">
        <f t="shared" si="28"/>
        <v>5141.694442499999</v>
      </c>
      <c r="BC21" s="5">
        <f t="shared" si="29"/>
        <v>5141.694442499999</v>
      </c>
      <c r="BD21" s="35">
        <f t="shared" si="30"/>
        <v>1784.8182113999999</v>
      </c>
      <c r="BE21" s="5"/>
      <c r="BF21" s="36">
        <f t="shared" si="84"/>
        <v>0</v>
      </c>
      <c r="BG21" s="5">
        <f t="shared" si="31"/>
        <v>2380.645355</v>
      </c>
      <c r="BH21" s="36">
        <f t="shared" si="32"/>
        <v>2380.645355</v>
      </c>
      <c r="BI21" s="35">
        <f t="shared" si="33"/>
        <v>826.3850044</v>
      </c>
      <c r="BJ21" s="5"/>
      <c r="BK21" s="5">
        <f t="shared" si="85"/>
        <v>0</v>
      </c>
      <c r="BL21" s="5">
        <f t="shared" si="34"/>
        <v>1140.16001</v>
      </c>
      <c r="BM21" s="5">
        <f t="shared" si="35"/>
        <v>1140.16001</v>
      </c>
      <c r="BN21" s="35">
        <f t="shared" si="36"/>
        <v>395.7797128</v>
      </c>
      <c r="BO21" s="5"/>
      <c r="BP21" s="5">
        <f t="shared" si="37"/>
        <v>0</v>
      </c>
      <c r="BQ21" s="5">
        <f t="shared" si="38"/>
        <v>168.23204750000002</v>
      </c>
      <c r="BR21" s="5">
        <f t="shared" si="39"/>
        <v>168.23204750000002</v>
      </c>
      <c r="BS21" s="35">
        <f t="shared" si="40"/>
        <v>58.397795800000004</v>
      </c>
      <c r="BT21" s="5"/>
      <c r="BU21" s="5">
        <f t="shared" si="86"/>
        <v>0</v>
      </c>
      <c r="BV21" s="5">
        <f t="shared" si="41"/>
        <v>745.8806025</v>
      </c>
      <c r="BW21" s="5">
        <f t="shared" si="42"/>
        <v>745.8806025</v>
      </c>
      <c r="BX21" s="35">
        <f t="shared" si="43"/>
        <v>258.9148962</v>
      </c>
      <c r="BY21" s="5"/>
      <c r="BZ21" s="5">
        <f t="shared" si="87"/>
        <v>0</v>
      </c>
      <c r="CA21" s="5">
        <f t="shared" si="44"/>
        <v>102.72204249999999</v>
      </c>
      <c r="CB21" s="5">
        <f t="shared" si="45"/>
        <v>102.72204249999999</v>
      </c>
      <c r="CC21" s="35">
        <f t="shared" si="46"/>
        <v>35.6575394</v>
      </c>
      <c r="CD21" s="5"/>
      <c r="CE21" s="5">
        <f t="shared" si="88"/>
        <v>0</v>
      </c>
      <c r="CF21" s="5">
        <f t="shared" si="47"/>
        <v>2142.90879</v>
      </c>
      <c r="CG21" s="5">
        <f t="shared" si="48"/>
        <v>2142.90879</v>
      </c>
      <c r="CH21" s="35">
        <f t="shared" si="49"/>
        <v>743.8603512</v>
      </c>
      <c r="CI21" s="5"/>
      <c r="CJ21" s="5">
        <f t="shared" si="89"/>
        <v>0</v>
      </c>
      <c r="CK21" s="5">
        <f t="shared" si="50"/>
        <v>415.09292</v>
      </c>
      <c r="CL21" s="5">
        <f t="shared" si="51"/>
        <v>415.09292</v>
      </c>
      <c r="CM21" s="35">
        <f t="shared" si="52"/>
        <v>144.08973759999998</v>
      </c>
      <c r="CN21" s="5"/>
      <c r="CO21" s="5">
        <f t="shared" si="90"/>
        <v>0</v>
      </c>
      <c r="CP21" s="5">
        <f t="shared" si="53"/>
        <v>549.1823975</v>
      </c>
      <c r="CQ21" s="36">
        <f t="shared" si="54"/>
        <v>549.1823975</v>
      </c>
      <c r="CR21" s="35">
        <f t="shared" si="55"/>
        <v>190.6357438</v>
      </c>
      <c r="CS21" s="5"/>
      <c r="CT21" s="5">
        <f t="shared" si="91"/>
        <v>0</v>
      </c>
      <c r="CU21" s="5">
        <f t="shared" si="56"/>
        <v>1785.252755</v>
      </c>
      <c r="CV21" s="36">
        <f t="shared" si="57"/>
        <v>1785.252755</v>
      </c>
      <c r="CW21" s="35">
        <f t="shared" si="58"/>
        <v>619.7084764</v>
      </c>
      <c r="CX21" s="5"/>
      <c r="CY21" s="5">
        <f t="shared" si="92"/>
        <v>0</v>
      </c>
      <c r="CZ21" s="5">
        <f t="shared" si="59"/>
        <v>1049.5476474999998</v>
      </c>
      <c r="DA21" s="5">
        <f t="shared" si="60"/>
        <v>1049.5476474999998</v>
      </c>
      <c r="DB21" s="35">
        <f t="shared" si="61"/>
        <v>364.32576379999995</v>
      </c>
      <c r="DC21" s="5"/>
      <c r="DD21" s="5">
        <f t="shared" si="93"/>
        <v>0</v>
      </c>
      <c r="DE21" s="5">
        <f t="shared" si="62"/>
        <v>1184.7724074999999</v>
      </c>
      <c r="DF21" s="5">
        <f t="shared" si="63"/>
        <v>1184.7724074999999</v>
      </c>
      <c r="DG21" s="35">
        <f t="shared" si="64"/>
        <v>411.26585659999995</v>
      </c>
      <c r="DH21" s="5"/>
      <c r="DI21" s="5">
        <f t="shared" si="94"/>
        <v>0</v>
      </c>
      <c r="DJ21" s="5">
        <f t="shared" si="65"/>
        <v>13717.2820675</v>
      </c>
      <c r="DK21" s="5">
        <f t="shared" si="66"/>
        <v>13717.2820675</v>
      </c>
      <c r="DL21" s="35">
        <f t="shared" si="67"/>
        <v>4761.6316214</v>
      </c>
      <c r="DM21" s="5"/>
      <c r="DN21" s="5">
        <f t="shared" si="95"/>
        <v>0</v>
      </c>
      <c r="DO21" s="5">
        <f t="shared" si="68"/>
        <v>505.07457</v>
      </c>
      <c r="DP21" s="36">
        <f t="shared" si="69"/>
        <v>505.07457</v>
      </c>
      <c r="DQ21" s="35">
        <f t="shared" si="70"/>
        <v>175.3247496</v>
      </c>
      <c r="DR21" s="5"/>
      <c r="DS21" s="5">
        <f t="shared" si="96"/>
        <v>0</v>
      </c>
      <c r="DT21" s="36">
        <f t="shared" si="71"/>
        <v>447.09106750000007</v>
      </c>
      <c r="DU21" s="36">
        <f t="shared" si="72"/>
        <v>447.09106750000007</v>
      </c>
      <c r="DV21" s="35">
        <f t="shared" si="73"/>
        <v>155.19714140000002</v>
      </c>
    </row>
    <row r="22" spans="1:126" ht="12.75">
      <c r="A22" s="37">
        <v>44835</v>
      </c>
      <c r="C22" s="3"/>
      <c r="D22" s="3">
        <v>420475</v>
      </c>
      <c r="E22" s="35">
        <f t="shared" si="0"/>
        <v>420475</v>
      </c>
      <c r="F22" s="35">
        <f>'2011A'!F22</f>
        <v>145958</v>
      </c>
      <c r="H22" s="47"/>
      <c r="I22" s="36">
        <f t="shared" si="1"/>
        <v>63374.83295</v>
      </c>
      <c r="J22" s="36">
        <f t="shared" si="2"/>
        <v>63374.83295</v>
      </c>
      <c r="K22" s="36">
        <f t="shared" si="3"/>
        <v>21999.081675999998</v>
      </c>
      <c r="N22" s="5">
        <f t="shared" si="4"/>
        <v>26344.60884</v>
      </c>
      <c r="O22" s="5">
        <f t="shared" si="5"/>
        <v>26344.60884</v>
      </c>
      <c r="P22" s="35">
        <f t="shared" si="6"/>
        <v>9144.9109152</v>
      </c>
      <c r="S22" s="36">
        <f t="shared" si="7"/>
        <v>11.647157499999999</v>
      </c>
      <c r="T22" s="36">
        <f t="shared" si="8"/>
        <v>11.647157499999999</v>
      </c>
      <c r="U22" s="35">
        <f t="shared" si="9"/>
        <v>4.0430366</v>
      </c>
      <c r="X22" s="5">
        <f t="shared" si="10"/>
        <v>521.5151425</v>
      </c>
      <c r="Y22" s="5">
        <f t="shared" si="97"/>
        <v>521.5151425</v>
      </c>
      <c r="Z22" s="35">
        <f t="shared" si="12"/>
        <v>181.0317074</v>
      </c>
      <c r="AC22" s="5">
        <f t="shared" si="13"/>
        <v>314.0527775</v>
      </c>
      <c r="AD22" s="5">
        <f t="shared" si="14"/>
        <v>314.0527775</v>
      </c>
      <c r="AE22" s="35">
        <f t="shared" si="15"/>
        <v>109.0160302</v>
      </c>
      <c r="AH22" s="5">
        <f t="shared" si="16"/>
        <v>2334.0567250000004</v>
      </c>
      <c r="AI22" s="5">
        <f t="shared" si="17"/>
        <v>2334.0567250000004</v>
      </c>
      <c r="AJ22" s="35">
        <f t="shared" si="18"/>
        <v>810.2128580000001</v>
      </c>
      <c r="AM22" s="5">
        <f t="shared" si="19"/>
        <v>723.301095</v>
      </c>
      <c r="AN22" s="5">
        <f t="shared" si="20"/>
        <v>723.301095</v>
      </c>
      <c r="AO22" s="35">
        <f t="shared" si="21"/>
        <v>251.0769516</v>
      </c>
      <c r="AR22" s="5">
        <f t="shared" si="22"/>
        <v>1361.750335</v>
      </c>
      <c r="AS22" s="5">
        <f t="shared" si="23"/>
        <v>1361.750335</v>
      </c>
      <c r="AT22" s="35">
        <f t="shared" si="24"/>
        <v>472.6995788</v>
      </c>
      <c r="AW22" s="5">
        <f t="shared" si="25"/>
        <v>288.361755</v>
      </c>
      <c r="AX22" s="5">
        <f t="shared" si="26"/>
        <v>288.361755</v>
      </c>
      <c r="AY22" s="35">
        <f t="shared" si="27"/>
        <v>100.0979964</v>
      </c>
      <c r="BB22" s="5">
        <f t="shared" si="28"/>
        <v>5141.694442499999</v>
      </c>
      <c r="BC22" s="5">
        <f t="shared" si="29"/>
        <v>5141.694442499999</v>
      </c>
      <c r="BD22" s="35">
        <f t="shared" si="30"/>
        <v>1784.8182113999999</v>
      </c>
      <c r="BF22" s="36"/>
      <c r="BG22" s="5">
        <f t="shared" si="31"/>
        <v>2380.645355</v>
      </c>
      <c r="BH22" s="36">
        <f t="shared" si="32"/>
        <v>2380.645355</v>
      </c>
      <c r="BI22" s="35">
        <f t="shared" si="33"/>
        <v>826.3850044</v>
      </c>
      <c r="BL22" s="5">
        <f t="shared" si="34"/>
        <v>1140.16001</v>
      </c>
      <c r="BM22" s="5">
        <f t="shared" si="35"/>
        <v>1140.16001</v>
      </c>
      <c r="BN22" s="35">
        <f t="shared" si="36"/>
        <v>395.7797128</v>
      </c>
      <c r="BO22" s="5"/>
      <c r="BP22" s="5">
        <f t="shared" si="37"/>
        <v>0</v>
      </c>
      <c r="BQ22" s="5">
        <f t="shared" si="38"/>
        <v>168.23204750000002</v>
      </c>
      <c r="BR22" s="5">
        <f t="shared" si="39"/>
        <v>168.23204750000002</v>
      </c>
      <c r="BS22" s="35">
        <f t="shared" si="40"/>
        <v>58.397795800000004</v>
      </c>
      <c r="BV22" s="5">
        <f t="shared" si="41"/>
        <v>745.8806025</v>
      </c>
      <c r="BW22" s="5">
        <f t="shared" si="42"/>
        <v>745.8806025</v>
      </c>
      <c r="BX22" s="35">
        <f t="shared" si="43"/>
        <v>258.9148962</v>
      </c>
      <c r="CA22" s="5">
        <f t="shared" si="44"/>
        <v>102.72204249999999</v>
      </c>
      <c r="CB22" s="5">
        <f t="shared" si="45"/>
        <v>102.72204249999999</v>
      </c>
      <c r="CC22" s="35">
        <f t="shared" si="46"/>
        <v>35.6575394</v>
      </c>
      <c r="CF22" s="5">
        <f t="shared" si="47"/>
        <v>2142.90879</v>
      </c>
      <c r="CG22" s="5">
        <f t="shared" si="48"/>
        <v>2142.90879</v>
      </c>
      <c r="CH22" s="35">
        <f t="shared" si="49"/>
        <v>743.8603512</v>
      </c>
      <c r="CK22" s="5">
        <f t="shared" si="50"/>
        <v>415.09292</v>
      </c>
      <c r="CL22" s="5">
        <f t="shared" si="51"/>
        <v>415.09292</v>
      </c>
      <c r="CM22" s="35">
        <f t="shared" si="52"/>
        <v>144.08973759999998</v>
      </c>
      <c r="CP22" s="5">
        <f t="shared" si="53"/>
        <v>549.1823975</v>
      </c>
      <c r="CQ22" s="36">
        <f t="shared" si="54"/>
        <v>549.1823975</v>
      </c>
      <c r="CR22" s="35">
        <f t="shared" si="55"/>
        <v>190.6357438</v>
      </c>
      <c r="CU22" s="5">
        <f t="shared" si="56"/>
        <v>1785.252755</v>
      </c>
      <c r="CV22" s="36">
        <f t="shared" si="57"/>
        <v>1785.252755</v>
      </c>
      <c r="CW22" s="35">
        <f t="shared" si="58"/>
        <v>619.7084764</v>
      </c>
      <c r="CZ22" s="5">
        <f t="shared" si="59"/>
        <v>1049.5476474999998</v>
      </c>
      <c r="DA22" s="5">
        <f t="shared" si="60"/>
        <v>1049.5476474999998</v>
      </c>
      <c r="DB22" s="35">
        <f t="shared" si="61"/>
        <v>364.32576379999995</v>
      </c>
      <c r="DE22" s="5">
        <f t="shared" si="62"/>
        <v>1184.7724074999999</v>
      </c>
      <c r="DF22" s="5">
        <f t="shared" si="63"/>
        <v>1184.7724074999999</v>
      </c>
      <c r="DG22" s="35">
        <f t="shared" si="64"/>
        <v>411.26585659999995</v>
      </c>
      <c r="DJ22" s="5">
        <f t="shared" si="65"/>
        <v>13717.2820675</v>
      </c>
      <c r="DK22" s="5">
        <f t="shared" si="66"/>
        <v>13717.2820675</v>
      </c>
      <c r="DL22" s="35">
        <f t="shared" si="67"/>
        <v>4761.6316214</v>
      </c>
      <c r="DO22" s="5">
        <f t="shared" si="68"/>
        <v>505.07457</v>
      </c>
      <c r="DP22" s="36">
        <f t="shared" si="69"/>
        <v>505.07457</v>
      </c>
      <c r="DQ22" s="35">
        <f t="shared" si="70"/>
        <v>175.3247496</v>
      </c>
      <c r="DT22" s="36">
        <f t="shared" si="71"/>
        <v>447.09106750000007</v>
      </c>
      <c r="DU22" s="36">
        <f t="shared" si="72"/>
        <v>447.09106750000007</v>
      </c>
      <c r="DV22" s="35">
        <f t="shared" si="73"/>
        <v>155.19714140000002</v>
      </c>
    </row>
    <row r="23" spans="1:126" ht="12.75">
      <c r="A23" s="37">
        <v>45017</v>
      </c>
      <c r="C23" s="3">
        <v>0</v>
      </c>
      <c r="D23" s="3">
        <v>420475</v>
      </c>
      <c r="E23" s="35">
        <f t="shared" si="0"/>
        <v>420475</v>
      </c>
      <c r="F23" s="35">
        <f>'2011A'!F23</f>
        <v>145958</v>
      </c>
      <c r="H23" s="47">
        <f t="shared" si="74"/>
        <v>0</v>
      </c>
      <c r="I23" s="36">
        <f t="shared" si="1"/>
        <v>63374.83295</v>
      </c>
      <c r="J23" s="36">
        <f t="shared" si="2"/>
        <v>63374.83295</v>
      </c>
      <c r="K23" s="36">
        <f t="shared" si="3"/>
        <v>21999.081675999998</v>
      </c>
      <c r="L23" s="5"/>
      <c r="M23" s="5">
        <f t="shared" si="75"/>
        <v>0</v>
      </c>
      <c r="N23" s="5">
        <f t="shared" si="4"/>
        <v>26344.60884</v>
      </c>
      <c r="O23" s="5">
        <f t="shared" si="5"/>
        <v>26344.60884</v>
      </c>
      <c r="P23" s="35">
        <f t="shared" si="6"/>
        <v>9144.9109152</v>
      </c>
      <c r="Q23" s="5"/>
      <c r="R23" s="5">
        <f t="shared" si="76"/>
        <v>0</v>
      </c>
      <c r="S23" s="36">
        <f t="shared" si="7"/>
        <v>11.647157499999999</v>
      </c>
      <c r="T23" s="36">
        <f t="shared" si="8"/>
        <v>11.647157499999999</v>
      </c>
      <c r="U23" s="35">
        <f t="shared" si="9"/>
        <v>4.0430366</v>
      </c>
      <c r="V23" s="5"/>
      <c r="W23" s="5">
        <f t="shared" si="77"/>
        <v>0</v>
      </c>
      <c r="X23" s="5">
        <f t="shared" si="10"/>
        <v>521.5151425</v>
      </c>
      <c r="Y23" s="5">
        <f t="shared" si="97"/>
        <v>521.5151425</v>
      </c>
      <c r="Z23" s="35">
        <f t="shared" si="12"/>
        <v>181.0317074</v>
      </c>
      <c r="AA23" s="5"/>
      <c r="AB23" s="5">
        <f t="shared" si="78"/>
        <v>0</v>
      </c>
      <c r="AC23" s="5">
        <f t="shared" si="13"/>
        <v>314.0527775</v>
      </c>
      <c r="AD23" s="5">
        <f t="shared" si="14"/>
        <v>314.0527775</v>
      </c>
      <c r="AE23" s="35">
        <f t="shared" si="15"/>
        <v>109.0160302</v>
      </c>
      <c r="AF23" s="5"/>
      <c r="AG23" s="5">
        <f t="shared" si="79"/>
        <v>0</v>
      </c>
      <c r="AH23" s="5">
        <f t="shared" si="16"/>
        <v>2334.0567250000004</v>
      </c>
      <c r="AI23" s="5">
        <f t="shared" si="17"/>
        <v>2334.0567250000004</v>
      </c>
      <c r="AJ23" s="35">
        <f t="shared" si="18"/>
        <v>810.2128580000001</v>
      </c>
      <c r="AK23" s="5"/>
      <c r="AL23" s="5">
        <f t="shared" si="80"/>
        <v>0</v>
      </c>
      <c r="AM23" s="5">
        <f t="shared" si="19"/>
        <v>723.301095</v>
      </c>
      <c r="AN23" s="5">
        <f t="shared" si="20"/>
        <v>723.301095</v>
      </c>
      <c r="AO23" s="35">
        <f t="shared" si="21"/>
        <v>251.0769516</v>
      </c>
      <c r="AP23" s="5"/>
      <c r="AQ23" s="5">
        <f t="shared" si="81"/>
        <v>0</v>
      </c>
      <c r="AR23" s="5">
        <f t="shared" si="22"/>
        <v>1361.750335</v>
      </c>
      <c r="AS23" s="5">
        <f t="shared" si="23"/>
        <v>1361.750335</v>
      </c>
      <c r="AT23" s="35">
        <f t="shared" si="24"/>
        <v>472.6995788</v>
      </c>
      <c r="AU23" s="5"/>
      <c r="AV23" s="5">
        <f t="shared" si="82"/>
        <v>0</v>
      </c>
      <c r="AW23" s="5">
        <f t="shared" si="25"/>
        <v>288.361755</v>
      </c>
      <c r="AX23" s="5">
        <f t="shared" si="26"/>
        <v>288.361755</v>
      </c>
      <c r="AY23" s="35">
        <f t="shared" si="27"/>
        <v>100.0979964</v>
      </c>
      <c r="AZ23" s="5"/>
      <c r="BA23" s="5">
        <f t="shared" si="83"/>
        <v>0</v>
      </c>
      <c r="BB23" s="5">
        <f t="shared" si="28"/>
        <v>5141.694442499999</v>
      </c>
      <c r="BC23" s="5">
        <f t="shared" si="29"/>
        <v>5141.694442499999</v>
      </c>
      <c r="BD23" s="35">
        <f t="shared" si="30"/>
        <v>1784.8182113999999</v>
      </c>
      <c r="BE23" s="5"/>
      <c r="BF23" s="36">
        <f t="shared" si="84"/>
        <v>0</v>
      </c>
      <c r="BG23" s="5">
        <f t="shared" si="31"/>
        <v>2380.645355</v>
      </c>
      <c r="BH23" s="36">
        <f t="shared" si="32"/>
        <v>2380.645355</v>
      </c>
      <c r="BI23" s="35">
        <f t="shared" si="33"/>
        <v>826.3850044</v>
      </c>
      <c r="BJ23" s="5"/>
      <c r="BK23" s="5">
        <f t="shared" si="85"/>
        <v>0</v>
      </c>
      <c r="BL23" s="5">
        <f t="shared" si="34"/>
        <v>1140.16001</v>
      </c>
      <c r="BM23" s="5">
        <f t="shared" si="35"/>
        <v>1140.16001</v>
      </c>
      <c r="BN23" s="35">
        <f t="shared" si="36"/>
        <v>395.7797128</v>
      </c>
      <c r="BO23" s="5"/>
      <c r="BP23" s="5">
        <f t="shared" si="37"/>
        <v>0</v>
      </c>
      <c r="BQ23" s="5">
        <f t="shared" si="38"/>
        <v>168.23204750000002</v>
      </c>
      <c r="BR23" s="5">
        <f t="shared" si="39"/>
        <v>168.23204750000002</v>
      </c>
      <c r="BS23" s="35">
        <f t="shared" si="40"/>
        <v>58.397795800000004</v>
      </c>
      <c r="BT23" s="5"/>
      <c r="BU23" s="5">
        <f t="shared" si="86"/>
        <v>0</v>
      </c>
      <c r="BV23" s="5">
        <f t="shared" si="41"/>
        <v>745.8806025</v>
      </c>
      <c r="BW23" s="5">
        <f t="shared" si="42"/>
        <v>745.8806025</v>
      </c>
      <c r="BX23" s="35">
        <f t="shared" si="43"/>
        <v>258.9148962</v>
      </c>
      <c r="BY23" s="5"/>
      <c r="BZ23" s="5">
        <f t="shared" si="87"/>
        <v>0</v>
      </c>
      <c r="CA23" s="5">
        <f t="shared" si="44"/>
        <v>102.72204249999999</v>
      </c>
      <c r="CB23" s="5">
        <f t="shared" si="45"/>
        <v>102.72204249999999</v>
      </c>
      <c r="CC23" s="35">
        <f t="shared" si="46"/>
        <v>35.6575394</v>
      </c>
      <c r="CD23" s="5"/>
      <c r="CE23" s="5">
        <f t="shared" si="88"/>
        <v>0</v>
      </c>
      <c r="CF23" s="5">
        <f t="shared" si="47"/>
        <v>2142.90879</v>
      </c>
      <c r="CG23" s="5">
        <f t="shared" si="48"/>
        <v>2142.90879</v>
      </c>
      <c r="CH23" s="35">
        <f t="shared" si="49"/>
        <v>743.8603512</v>
      </c>
      <c r="CI23" s="5"/>
      <c r="CJ23" s="5">
        <f t="shared" si="89"/>
        <v>0</v>
      </c>
      <c r="CK23" s="5">
        <f t="shared" si="50"/>
        <v>415.09292</v>
      </c>
      <c r="CL23" s="5">
        <f t="shared" si="51"/>
        <v>415.09292</v>
      </c>
      <c r="CM23" s="35">
        <f t="shared" si="52"/>
        <v>144.08973759999998</v>
      </c>
      <c r="CN23" s="5"/>
      <c r="CO23" s="5">
        <f t="shared" si="90"/>
        <v>0</v>
      </c>
      <c r="CP23" s="5">
        <f t="shared" si="53"/>
        <v>549.1823975</v>
      </c>
      <c r="CQ23" s="36">
        <f t="shared" si="54"/>
        <v>549.1823975</v>
      </c>
      <c r="CR23" s="35">
        <f t="shared" si="55"/>
        <v>190.6357438</v>
      </c>
      <c r="CS23" s="5"/>
      <c r="CT23" s="5">
        <f t="shared" si="91"/>
        <v>0</v>
      </c>
      <c r="CU23" s="5">
        <f t="shared" si="56"/>
        <v>1785.252755</v>
      </c>
      <c r="CV23" s="36">
        <f t="shared" si="57"/>
        <v>1785.252755</v>
      </c>
      <c r="CW23" s="35">
        <f t="shared" si="58"/>
        <v>619.7084764</v>
      </c>
      <c r="CX23" s="5"/>
      <c r="CY23" s="5">
        <f t="shared" si="92"/>
        <v>0</v>
      </c>
      <c r="CZ23" s="5">
        <f t="shared" si="59"/>
        <v>1049.5476474999998</v>
      </c>
      <c r="DA23" s="5">
        <f t="shared" si="60"/>
        <v>1049.5476474999998</v>
      </c>
      <c r="DB23" s="35">
        <f t="shared" si="61"/>
        <v>364.32576379999995</v>
      </c>
      <c r="DC23" s="5"/>
      <c r="DD23" s="5">
        <f t="shared" si="93"/>
        <v>0</v>
      </c>
      <c r="DE23" s="5">
        <f t="shared" si="62"/>
        <v>1184.7724074999999</v>
      </c>
      <c r="DF23" s="5">
        <f t="shared" si="63"/>
        <v>1184.7724074999999</v>
      </c>
      <c r="DG23" s="35">
        <f t="shared" si="64"/>
        <v>411.26585659999995</v>
      </c>
      <c r="DH23" s="5"/>
      <c r="DI23" s="5">
        <f t="shared" si="94"/>
        <v>0</v>
      </c>
      <c r="DJ23" s="5">
        <f t="shared" si="65"/>
        <v>13717.2820675</v>
      </c>
      <c r="DK23" s="5">
        <f t="shared" si="66"/>
        <v>13717.2820675</v>
      </c>
      <c r="DL23" s="35">
        <f t="shared" si="67"/>
        <v>4761.6316214</v>
      </c>
      <c r="DM23" s="5"/>
      <c r="DN23" s="5">
        <f t="shared" si="95"/>
        <v>0</v>
      </c>
      <c r="DO23" s="5">
        <f t="shared" si="68"/>
        <v>505.07457</v>
      </c>
      <c r="DP23" s="36">
        <f t="shared" si="69"/>
        <v>505.07457</v>
      </c>
      <c r="DQ23" s="35">
        <f t="shared" si="70"/>
        <v>175.3247496</v>
      </c>
      <c r="DR23" s="5"/>
      <c r="DS23" s="5">
        <f t="shared" si="96"/>
        <v>0</v>
      </c>
      <c r="DT23" s="36">
        <f t="shared" si="71"/>
        <v>447.09106750000007</v>
      </c>
      <c r="DU23" s="36">
        <f t="shared" si="72"/>
        <v>447.09106750000007</v>
      </c>
      <c r="DV23" s="35">
        <f t="shared" si="73"/>
        <v>155.19714140000002</v>
      </c>
    </row>
    <row r="24" spans="1:126" ht="12.75">
      <c r="A24" s="37">
        <v>45200</v>
      </c>
      <c r="C24" s="3"/>
      <c r="D24" s="3">
        <v>420475</v>
      </c>
      <c r="E24" s="35">
        <f t="shared" si="0"/>
        <v>420475</v>
      </c>
      <c r="F24" s="35">
        <f>'2011A'!F24</f>
        <v>145958</v>
      </c>
      <c r="H24" s="47"/>
      <c r="I24" s="36">
        <f t="shared" si="1"/>
        <v>63374.83295</v>
      </c>
      <c r="J24" s="36">
        <f t="shared" si="2"/>
        <v>63374.83295</v>
      </c>
      <c r="K24" s="36">
        <f t="shared" si="3"/>
        <v>21999.081675999998</v>
      </c>
      <c r="N24" s="5">
        <f t="shared" si="4"/>
        <v>26344.60884</v>
      </c>
      <c r="O24" s="5">
        <f t="shared" si="5"/>
        <v>26344.60884</v>
      </c>
      <c r="P24" s="35">
        <f t="shared" si="6"/>
        <v>9144.9109152</v>
      </c>
      <c r="S24" s="36">
        <f t="shared" si="7"/>
        <v>11.647157499999999</v>
      </c>
      <c r="T24" s="36">
        <f t="shared" si="8"/>
        <v>11.647157499999999</v>
      </c>
      <c r="U24" s="35">
        <f t="shared" si="9"/>
        <v>4.0430366</v>
      </c>
      <c r="X24" s="5">
        <f t="shared" si="10"/>
        <v>521.5151425</v>
      </c>
      <c r="Y24" s="5">
        <f t="shared" si="97"/>
        <v>521.5151425</v>
      </c>
      <c r="Z24" s="35">
        <f t="shared" si="12"/>
        <v>181.0317074</v>
      </c>
      <c r="AC24" s="5">
        <f t="shared" si="13"/>
        <v>314.0527775</v>
      </c>
      <c r="AD24" s="5">
        <f t="shared" si="14"/>
        <v>314.0527775</v>
      </c>
      <c r="AE24" s="35">
        <f t="shared" si="15"/>
        <v>109.0160302</v>
      </c>
      <c r="AH24" s="5">
        <f t="shared" si="16"/>
        <v>2334.0567250000004</v>
      </c>
      <c r="AI24" s="5">
        <f t="shared" si="17"/>
        <v>2334.0567250000004</v>
      </c>
      <c r="AJ24" s="35">
        <f t="shared" si="18"/>
        <v>810.2128580000001</v>
      </c>
      <c r="AM24" s="5">
        <f t="shared" si="19"/>
        <v>723.301095</v>
      </c>
      <c r="AN24" s="5">
        <f t="shared" si="20"/>
        <v>723.301095</v>
      </c>
      <c r="AO24" s="35">
        <f t="shared" si="21"/>
        <v>251.0769516</v>
      </c>
      <c r="AR24" s="5">
        <f t="shared" si="22"/>
        <v>1361.750335</v>
      </c>
      <c r="AS24" s="5">
        <f t="shared" si="23"/>
        <v>1361.750335</v>
      </c>
      <c r="AT24" s="35">
        <f t="shared" si="24"/>
        <v>472.6995788</v>
      </c>
      <c r="AW24" s="5">
        <f t="shared" si="25"/>
        <v>288.361755</v>
      </c>
      <c r="AX24" s="5">
        <f t="shared" si="26"/>
        <v>288.361755</v>
      </c>
      <c r="AY24" s="35">
        <f t="shared" si="27"/>
        <v>100.0979964</v>
      </c>
      <c r="BB24" s="5">
        <f t="shared" si="28"/>
        <v>5141.694442499999</v>
      </c>
      <c r="BC24" s="5">
        <f t="shared" si="29"/>
        <v>5141.694442499999</v>
      </c>
      <c r="BD24" s="35">
        <f t="shared" si="30"/>
        <v>1784.8182113999999</v>
      </c>
      <c r="BF24" s="36"/>
      <c r="BG24" s="5">
        <f t="shared" si="31"/>
        <v>2380.645355</v>
      </c>
      <c r="BH24" s="36">
        <f t="shared" si="32"/>
        <v>2380.645355</v>
      </c>
      <c r="BI24" s="35">
        <f t="shared" si="33"/>
        <v>826.3850044</v>
      </c>
      <c r="BL24" s="5">
        <f t="shared" si="34"/>
        <v>1140.16001</v>
      </c>
      <c r="BM24" s="5">
        <f t="shared" si="35"/>
        <v>1140.16001</v>
      </c>
      <c r="BN24" s="35">
        <f t="shared" si="36"/>
        <v>395.7797128</v>
      </c>
      <c r="BO24" s="5"/>
      <c r="BP24" s="5">
        <f t="shared" si="37"/>
        <v>0</v>
      </c>
      <c r="BQ24" s="5">
        <f t="shared" si="38"/>
        <v>168.23204750000002</v>
      </c>
      <c r="BR24" s="5">
        <f t="shared" si="39"/>
        <v>168.23204750000002</v>
      </c>
      <c r="BS24" s="35">
        <f t="shared" si="40"/>
        <v>58.397795800000004</v>
      </c>
      <c r="BV24" s="5">
        <f t="shared" si="41"/>
        <v>745.8806025</v>
      </c>
      <c r="BW24" s="5">
        <f t="shared" si="42"/>
        <v>745.8806025</v>
      </c>
      <c r="BX24" s="35">
        <f t="shared" si="43"/>
        <v>258.9148962</v>
      </c>
      <c r="CA24" s="5">
        <f t="shared" si="44"/>
        <v>102.72204249999999</v>
      </c>
      <c r="CB24" s="5">
        <f t="shared" si="45"/>
        <v>102.72204249999999</v>
      </c>
      <c r="CC24" s="35">
        <f t="shared" si="46"/>
        <v>35.6575394</v>
      </c>
      <c r="CF24" s="5">
        <f t="shared" si="47"/>
        <v>2142.90879</v>
      </c>
      <c r="CG24" s="5">
        <f t="shared" si="48"/>
        <v>2142.90879</v>
      </c>
      <c r="CH24" s="35">
        <f t="shared" si="49"/>
        <v>743.8603512</v>
      </c>
      <c r="CK24" s="5">
        <f t="shared" si="50"/>
        <v>415.09292</v>
      </c>
      <c r="CL24" s="5">
        <f t="shared" si="51"/>
        <v>415.09292</v>
      </c>
      <c r="CM24" s="35">
        <f t="shared" si="52"/>
        <v>144.08973759999998</v>
      </c>
      <c r="CP24" s="5">
        <f t="shared" si="53"/>
        <v>549.1823975</v>
      </c>
      <c r="CQ24" s="36">
        <f t="shared" si="54"/>
        <v>549.1823975</v>
      </c>
      <c r="CR24" s="35">
        <f t="shared" si="55"/>
        <v>190.6357438</v>
      </c>
      <c r="CU24" s="5">
        <f t="shared" si="56"/>
        <v>1785.252755</v>
      </c>
      <c r="CV24" s="36">
        <f t="shared" si="57"/>
        <v>1785.252755</v>
      </c>
      <c r="CW24" s="35">
        <f t="shared" si="58"/>
        <v>619.7084764</v>
      </c>
      <c r="CZ24" s="5">
        <f t="shared" si="59"/>
        <v>1049.5476474999998</v>
      </c>
      <c r="DA24" s="5">
        <f t="shared" si="60"/>
        <v>1049.5476474999998</v>
      </c>
      <c r="DB24" s="35">
        <f t="shared" si="61"/>
        <v>364.32576379999995</v>
      </c>
      <c r="DE24" s="5">
        <f t="shared" si="62"/>
        <v>1184.7724074999999</v>
      </c>
      <c r="DF24" s="5">
        <f t="shared" si="63"/>
        <v>1184.7724074999999</v>
      </c>
      <c r="DG24" s="35">
        <f t="shared" si="64"/>
        <v>411.26585659999995</v>
      </c>
      <c r="DJ24" s="5">
        <f t="shared" si="65"/>
        <v>13717.2820675</v>
      </c>
      <c r="DK24" s="5">
        <f t="shared" si="66"/>
        <v>13717.2820675</v>
      </c>
      <c r="DL24" s="35">
        <f t="shared" si="67"/>
        <v>4761.6316214</v>
      </c>
      <c r="DO24" s="5">
        <f t="shared" si="68"/>
        <v>505.07457</v>
      </c>
      <c r="DP24" s="36">
        <f t="shared" si="69"/>
        <v>505.07457</v>
      </c>
      <c r="DQ24" s="35">
        <f t="shared" si="70"/>
        <v>175.3247496</v>
      </c>
      <c r="DT24" s="36">
        <f t="shared" si="71"/>
        <v>447.09106750000007</v>
      </c>
      <c r="DU24" s="36">
        <f t="shared" si="72"/>
        <v>447.09106750000007</v>
      </c>
      <c r="DV24" s="35">
        <f t="shared" si="73"/>
        <v>155.19714140000002</v>
      </c>
    </row>
    <row r="25" spans="1:126" ht="12.75">
      <c r="A25" s="37">
        <v>45383</v>
      </c>
      <c r="C25" s="3">
        <v>6285000</v>
      </c>
      <c r="D25" s="3">
        <v>420475</v>
      </c>
      <c r="E25" s="35">
        <f t="shared" si="0"/>
        <v>6705475</v>
      </c>
      <c r="F25" s="35">
        <f>'2011A'!F25</f>
        <v>145958</v>
      </c>
      <c r="H25" s="47">
        <f t="shared" si="74"/>
        <v>947287.7700000001</v>
      </c>
      <c r="I25" s="36">
        <f t="shared" si="1"/>
        <v>63374.83295</v>
      </c>
      <c r="J25" s="36">
        <f t="shared" si="2"/>
        <v>1010662.6029500001</v>
      </c>
      <c r="K25" s="36">
        <f t="shared" si="3"/>
        <v>21999.081675999998</v>
      </c>
      <c r="L25" s="5"/>
      <c r="M25" s="5">
        <f t="shared" si="75"/>
        <v>393782.904</v>
      </c>
      <c r="N25" s="5">
        <f t="shared" si="4"/>
        <v>26344.60884</v>
      </c>
      <c r="O25" s="5">
        <f t="shared" si="5"/>
        <v>420127.51284</v>
      </c>
      <c r="P25" s="35">
        <f t="shared" si="6"/>
        <v>9144.9109152</v>
      </c>
      <c r="Q25" s="5"/>
      <c r="R25" s="5">
        <f t="shared" si="76"/>
        <v>174.09449999999998</v>
      </c>
      <c r="S25" s="36">
        <f t="shared" si="7"/>
        <v>11.647157499999999</v>
      </c>
      <c r="T25" s="36">
        <f t="shared" si="8"/>
        <v>185.74165749999997</v>
      </c>
      <c r="U25" s="35">
        <f t="shared" si="9"/>
        <v>4.0430366</v>
      </c>
      <c r="V25" s="5"/>
      <c r="W25" s="5">
        <f t="shared" si="77"/>
        <v>7795.2855</v>
      </c>
      <c r="X25" s="5">
        <f t="shared" si="10"/>
        <v>521.5151425</v>
      </c>
      <c r="Y25" s="5">
        <f t="shared" si="97"/>
        <v>8316.8006425</v>
      </c>
      <c r="Z25" s="35">
        <f t="shared" si="12"/>
        <v>181.0317074</v>
      </c>
      <c r="AA25" s="5"/>
      <c r="AB25" s="5">
        <f t="shared" si="78"/>
        <v>4694.2665</v>
      </c>
      <c r="AC25" s="5">
        <f t="shared" si="13"/>
        <v>314.0527775</v>
      </c>
      <c r="AD25" s="5">
        <f t="shared" si="14"/>
        <v>5008.3192775</v>
      </c>
      <c r="AE25" s="35">
        <f t="shared" si="15"/>
        <v>109.0160302</v>
      </c>
      <c r="AF25" s="5"/>
      <c r="AG25" s="5">
        <f t="shared" si="79"/>
        <v>34888.035</v>
      </c>
      <c r="AH25" s="5">
        <f t="shared" si="16"/>
        <v>2334.0567250000004</v>
      </c>
      <c r="AI25" s="5">
        <f t="shared" si="17"/>
        <v>37222.091725000006</v>
      </c>
      <c r="AJ25" s="35">
        <f t="shared" si="18"/>
        <v>810.2128580000001</v>
      </c>
      <c r="AK25" s="5"/>
      <c r="AL25" s="5">
        <f t="shared" si="80"/>
        <v>10811.457</v>
      </c>
      <c r="AM25" s="5">
        <f t="shared" si="19"/>
        <v>723.301095</v>
      </c>
      <c r="AN25" s="5">
        <f t="shared" si="20"/>
        <v>11534.758095000001</v>
      </c>
      <c r="AO25" s="35">
        <f t="shared" si="21"/>
        <v>251.0769516</v>
      </c>
      <c r="AP25" s="5"/>
      <c r="AQ25" s="5">
        <f t="shared" si="81"/>
        <v>20354.601</v>
      </c>
      <c r="AR25" s="5">
        <f t="shared" si="22"/>
        <v>1361.750335</v>
      </c>
      <c r="AS25" s="5">
        <f t="shared" si="23"/>
        <v>21716.351335</v>
      </c>
      <c r="AT25" s="35">
        <f t="shared" si="24"/>
        <v>472.6995788</v>
      </c>
      <c r="AU25" s="5"/>
      <c r="AV25" s="5">
        <f t="shared" si="82"/>
        <v>4310.253</v>
      </c>
      <c r="AW25" s="5">
        <f t="shared" si="25"/>
        <v>288.361755</v>
      </c>
      <c r="AX25" s="5">
        <f t="shared" si="26"/>
        <v>4598.614755</v>
      </c>
      <c r="AY25" s="35">
        <f t="shared" si="27"/>
        <v>100.0979964</v>
      </c>
      <c r="AZ25" s="5"/>
      <c r="BA25" s="5">
        <f t="shared" si="83"/>
        <v>76854.8655</v>
      </c>
      <c r="BB25" s="5">
        <f t="shared" si="28"/>
        <v>5141.694442499999</v>
      </c>
      <c r="BC25" s="5">
        <f t="shared" si="29"/>
        <v>81996.5599425</v>
      </c>
      <c r="BD25" s="35">
        <f t="shared" si="30"/>
        <v>1784.8182113999999</v>
      </c>
      <c r="BE25" s="5"/>
      <c r="BF25" s="36">
        <f t="shared" si="84"/>
        <v>35584.413</v>
      </c>
      <c r="BG25" s="5">
        <f t="shared" si="31"/>
        <v>2380.645355</v>
      </c>
      <c r="BH25" s="36">
        <f t="shared" si="32"/>
        <v>37965.058355</v>
      </c>
      <c r="BI25" s="35">
        <f t="shared" si="33"/>
        <v>826.3850044</v>
      </c>
      <c r="BJ25" s="5"/>
      <c r="BK25" s="5">
        <f t="shared" si="85"/>
        <v>17042.406000000003</v>
      </c>
      <c r="BL25" s="5">
        <f t="shared" si="34"/>
        <v>1140.16001</v>
      </c>
      <c r="BM25" s="5">
        <f t="shared" si="35"/>
        <v>18182.566010000002</v>
      </c>
      <c r="BN25" s="35">
        <f t="shared" si="36"/>
        <v>395.7797128</v>
      </c>
      <c r="BO25" s="5"/>
      <c r="BP25" s="5">
        <f t="shared" si="37"/>
        <v>2514.6285000000003</v>
      </c>
      <c r="BQ25" s="5">
        <f t="shared" si="38"/>
        <v>168.23204750000002</v>
      </c>
      <c r="BR25" s="5">
        <f t="shared" si="39"/>
        <v>2682.8605475000004</v>
      </c>
      <c r="BS25" s="35">
        <f t="shared" si="40"/>
        <v>58.397795800000004</v>
      </c>
      <c r="BT25" s="5"/>
      <c r="BU25" s="5">
        <f t="shared" si="86"/>
        <v>11148.9615</v>
      </c>
      <c r="BV25" s="5">
        <f t="shared" si="41"/>
        <v>745.8806025</v>
      </c>
      <c r="BW25" s="5">
        <f t="shared" si="42"/>
        <v>11894.842102499999</v>
      </c>
      <c r="BX25" s="35">
        <f t="shared" si="43"/>
        <v>258.9148962</v>
      </c>
      <c r="BY25" s="5"/>
      <c r="BZ25" s="5">
        <f t="shared" si="87"/>
        <v>1535.4254999999998</v>
      </c>
      <c r="CA25" s="5">
        <f t="shared" si="44"/>
        <v>102.72204249999999</v>
      </c>
      <c r="CB25" s="5">
        <f t="shared" si="45"/>
        <v>1638.1475424999999</v>
      </c>
      <c r="CC25" s="35">
        <f t="shared" si="46"/>
        <v>35.6575394</v>
      </c>
      <c r="CD25" s="5"/>
      <c r="CE25" s="5">
        <f t="shared" si="88"/>
        <v>32030.874</v>
      </c>
      <c r="CF25" s="5">
        <f t="shared" si="47"/>
        <v>2142.90879</v>
      </c>
      <c r="CG25" s="5">
        <f t="shared" si="48"/>
        <v>34173.78279</v>
      </c>
      <c r="CH25" s="35">
        <f t="shared" si="49"/>
        <v>743.8603512</v>
      </c>
      <c r="CI25" s="5"/>
      <c r="CJ25" s="5">
        <f t="shared" si="89"/>
        <v>6204.552</v>
      </c>
      <c r="CK25" s="5">
        <f t="shared" si="50"/>
        <v>415.09292</v>
      </c>
      <c r="CL25" s="5">
        <f t="shared" si="51"/>
        <v>6619.64492</v>
      </c>
      <c r="CM25" s="35">
        <f t="shared" si="52"/>
        <v>144.08973759999998</v>
      </c>
      <c r="CN25" s="5"/>
      <c r="CO25" s="5">
        <f t="shared" si="90"/>
        <v>8208.8385</v>
      </c>
      <c r="CP25" s="5">
        <f t="shared" si="53"/>
        <v>549.1823975</v>
      </c>
      <c r="CQ25" s="36">
        <f t="shared" si="54"/>
        <v>8758.0208975</v>
      </c>
      <c r="CR25" s="35">
        <f t="shared" si="55"/>
        <v>190.6357438</v>
      </c>
      <c r="CS25" s="5"/>
      <c r="CT25" s="5">
        <f t="shared" si="91"/>
        <v>26684.853</v>
      </c>
      <c r="CU25" s="5">
        <f t="shared" si="56"/>
        <v>1785.252755</v>
      </c>
      <c r="CV25" s="36">
        <f t="shared" si="57"/>
        <v>28470.105755</v>
      </c>
      <c r="CW25" s="35">
        <f t="shared" si="58"/>
        <v>619.7084764</v>
      </c>
      <c r="CX25" s="5"/>
      <c r="CY25" s="5">
        <f t="shared" si="92"/>
        <v>15687.9885</v>
      </c>
      <c r="CZ25" s="5">
        <f t="shared" si="59"/>
        <v>1049.5476474999998</v>
      </c>
      <c r="DA25" s="5">
        <f t="shared" si="60"/>
        <v>16737.5361475</v>
      </c>
      <c r="DB25" s="35">
        <f t="shared" si="61"/>
        <v>364.32576379999995</v>
      </c>
      <c r="DC25" s="5"/>
      <c r="DD25" s="5">
        <f t="shared" si="93"/>
        <v>17709.244499999997</v>
      </c>
      <c r="DE25" s="5">
        <f t="shared" si="62"/>
        <v>1184.7724074999999</v>
      </c>
      <c r="DF25" s="5">
        <f t="shared" si="63"/>
        <v>18894.016907499998</v>
      </c>
      <c r="DG25" s="35">
        <f t="shared" si="64"/>
        <v>411.26585659999995</v>
      </c>
      <c r="DH25" s="5"/>
      <c r="DI25" s="5">
        <f t="shared" si="94"/>
        <v>205037.4405</v>
      </c>
      <c r="DJ25" s="5">
        <f t="shared" si="65"/>
        <v>13717.2820675</v>
      </c>
      <c r="DK25" s="5">
        <f t="shared" si="66"/>
        <v>218754.7225675</v>
      </c>
      <c r="DL25" s="35">
        <f t="shared" si="67"/>
        <v>4761.6316214</v>
      </c>
      <c r="DM25" s="5"/>
      <c r="DN25" s="5">
        <f t="shared" si="95"/>
        <v>7549.5419999999995</v>
      </c>
      <c r="DO25" s="5">
        <f t="shared" si="68"/>
        <v>505.07457</v>
      </c>
      <c r="DP25" s="36">
        <f t="shared" si="69"/>
        <v>8054.616569999999</v>
      </c>
      <c r="DQ25" s="35">
        <f t="shared" si="70"/>
        <v>175.3247496</v>
      </c>
      <c r="DR25" s="5"/>
      <c r="DS25" s="5">
        <f t="shared" si="96"/>
        <v>6682.8405</v>
      </c>
      <c r="DT25" s="36">
        <f t="shared" si="71"/>
        <v>447.09106750000007</v>
      </c>
      <c r="DU25" s="36">
        <f t="shared" si="72"/>
        <v>7129.931567500001</v>
      </c>
      <c r="DV25" s="35">
        <f t="shared" si="73"/>
        <v>155.19714140000002</v>
      </c>
    </row>
    <row r="26" spans="1:126" ht="12.75">
      <c r="A26" s="37">
        <v>45566</v>
      </c>
      <c r="C26" s="3"/>
      <c r="D26" s="3">
        <v>326200</v>
      </c>
      <c r="E26" s="35">
        <f t="shared" si="0"/>
        <v>326200</v>
      </c>
      <c r="F26" s="35">
        <f>'2011A'!F26</f>
        <v>145958</v>
      </c>
      <c r="H26" s="47"/>
      <c r="I26" s="36">
        <f t="shared" si="1"/>
        <v>49165.5164</v>
      </c>
      <c r="J26" s="36">
        <f t="shared" si="2"/>
        <v>49165.5164</v>
      </c>
      <c r="K26" s="36">
        <f t="shared" si="3"/>
        <v>21999.081675999998</v>
      </c>
      <c r="M26" s="5"/>
      <c r="N26" s="5">
        <f t="shared" si="4"/>
        <v>20437.865279999998</v>
      </c>
      <c r="O26" s="5">
        <f t="shared" si="5"/>
        <v>20437.865279999998</v>
      </c>
      <c r="P26" s="35">
        <f t="shared" si="6"/>
        <v>9144.9109152</v>
      </c>
      <c r="R26" s="5"/>
      <c r="S26" s="36">
        <f t="shared" si="7"/>
        <v>9.03574</v>
      </c>
      <c r="T26" s="36">
        <f t="shared" si="8"/>
        <v>9.03574</v>
      </c>
      <c r="U26" s="35">
        <f t="shared" si="9"/>
        <v>4.0430366</v>
      </c>
      <c r="W26" s="5"/>
      <c r="X26" s="5">
        <f t="shared" si="10"/>
        <v>404.58585999999997</v>
      </c>
      <c r="Y26" s="5">
        <f t="shared" si="97"/>
        <v>404.58585999999997</v>
      </c>
      <c r="Z26" s="35">
        <f t="shared" si="12"/>
        <v>181.0317074</v>
      </c>
      <c r="AB26" s="5"/>
      <c r="AC26" s="5">
        <f t="shared" si="13"/>
        <v>243.63878</v>
      </c>
      <c r="AD26" s="5">
        <f t="shared" si="14"/>
        <v>243.63878</v>
      </c>
      <c r="AE26" s="35">
        <f t="shared" si="15"/>
        <v>109.0160302</v>
      </c>
      <c r="AG26" s="5"/>
      <c r="AH26" s="5">
        <f t="shared" si="16"/>
        <v>1810.7362</v>
      </c>
      <c r="AI26" s="5">
        <f t="shared" si="17"/>
        <v>1810.7362</v>
      </c>
      <c r="AJ26" s="35">
        <f t="shared" si="18"/>
        <v>810.2128580000001</v>
      </c>
      <c r="AL26" s="5"/>
      <c r="AM26" s="5">
        <f t="shared" si="19"/>
        <v>561.12924</v>
      </c>
      <c r="AN26" s="5">
        <f t="shared" si="20"/>
        <v>561.12924</v>
      </c>
      <c r="AO26" s="35">
        <f t="shared" si="21"/>
        <v>251.0769516</v>
      </c>
      <c r="AQ26" s="5"/>
      <c r="AR26" s="5">
        <f t="shared" si="22"/>
        <v>1056.43132</v>
      </c>
      <c r="AS26" s="5">
        <f t="shared" si="23"/>
        <v>1056.43132</v>
      </c>
      <c r="AT26" s="35">
        <f t="shared" si="24"/>
        <v>472.6995788</v>
      </c>
      <c r="AV26" s="5"/>
      <c r="AW26" s="5">
        <f t="shared" si="25"/>
        <v>223.70795999999999</v>
      </c>
      <c r="AX26" s="5">
        <f t="shared" si="26"/>
        <v>223.70795999999999</v>
      </c>
      <c r="AY26" s="35">
        <f t="shared" si="27"/>
        <v>100.0979964</v>
      </c>
      <c r="BA26" s="5"/>
      <c r="BB26" s="5">
        <f t="shared" si="28"/>
        <v>3988.87146</v>
      </c>
      <c r="BC26" s="5">
        <f t="shared" si="29"/>
        <v>3988.87146</v>
      </c>
      <c r="BD26" s="35">
        <f t="shared" si="30"/>
        <v>1784.8182113999999</v>
      </c>
      <c r="BF26" s="36"/>
      <c r="BG26" s="5">
        <f t="shared" si="31"/>
        <v>1846.87916</v>
      </c>
      <c r="BH26" s="36">
        <f t="shared" si="32"/>
        <v>1846.87916</v>
      </c>
      <c r="BI26" s="35">
        <f t="shared" si="33"/>
        <v>826.3850044</v>
      </c>
      <c r="BK26" s="5"/>
      <c r="BL26" s="5">
        <f t="shared" si="34"/>
        <v>884.5239200000001</v>
      </c>
      <c r="BM26" s="5">
        <f t="shared" si="35"/>
        <v>884.5239200000001</v>
      </c>
      <c r="BN26" s="35">
        <f t="shared" si="36"/>
        <v>395.7797128</v>
      </c>
      <c r="BP26" s="5">
        <f t="shared" si="37"/>
        <v>0</v>
      </c>
      <c r="BQ26" s="5">
        <f t="shared" si="38"/>
        <v>130.51262</v>
      </c>
      <c r="BR26" s="5">
        <f t="shared" si="39"/>
        <v>130.51262</v>
      </c>
      <c r="BS26" s="35">
        <f t="shared" si="40"/>
        <v>58.397795800000004</v>
      </c>
      <c r="BU26" s="5"/>
      <c r="BV26" s="5">
        <f t="shared" si="41"/>
        <v>578.64618</v>
      </c>
      <c r="BW26" s="5">
        <f t="shared" si="42"/>
        <v>578.64618</v>
      </c>
      <c r="BX26" s="35">
        <f t="shared" si="43"/>
        <v>258.9148962</v>
      </c>
      <c r="BZ26" s="5"/>
      <c r="CA26" s="5">
        <f t="shared" si="44"/>
        <v>79.69066</v>
      </c>
      <c r="CB26" s="5">
        <f t="shared" si="45"/>
        <v>79.69066</v>
      </c>
      <c r="CC26" s="35">
        <f t="shared" si="46"/>
        <v>35.6575394</v>
      </c>
      <c r="CE26" s="5"/>
      <c r="CF26" s="5">
        <f t="shared" si="47"/>
        <v>1662.44568</v>
      </c>
      <c r="CG26" s="5">
        <f t="shared" si="48"/>
        <v>1662.44568</v>
      </c>
      <c r="CH26" s="35">
        <f t="shared" si="49"/>
        <v>743.8603512</v>
      </c>
      <c r="CJ26" s="5"/>
      <c r="CK26" s="5">
        <f t="shared" si="50"/>
        <v>322.02464</v>
      </c>
      <c r="CL26" s="5">
        <f t="shared" si="51"/>
        <v>322.02464</v>
      </c>
      <c r="CM26" s="35">
        <f t="shared" si="52"/>
        <v>144.08973759999998</v>
      </c>
      <c r="CO26" s="5"/>
      <c r="CP26" s="5">
        <f t="shared" si="53"/>
        <v>426.04981999999995</v>
      </c>
      <c r="CQ26" s="36">
        <f t="shared" si="54"/>
        <v>426.04981999999995</v>
      </c>
      <c r="CR26" s="35">
        <f t="shared" si="55"/>
        <v>190.6357438</v>
      </c>
      <c r="CT26" s="5"/>
      <c r="CU26" s="5">
        <f t="shared" si="56"/>
        <v>1384.9799600000001</v>
      </c>
      <c r="CV26" s="36">
        <f t="shared" si="57"/>
        <v>1384.9799600000001</v>
      </c>
      <c r="CW26" s="35">
        <f t="shared" si="58"/>
        <v>619.7084764</v>
      </c>
      <c r="CZ26" s="5">
        <f t="shared" si="59"/>
        <v>814.22782</v>
      </c>
      <c r="DA26" s="5">
        <f t="shared" si="60"/>
        <v>814.22782</v>
      </c>
      <c r="DB26" s="35">
        <f t="shared" si="61"/>
        <v>364.32576379999995</v>
      </c>
      <c r="DE26" s="5">
        <f t="shared" si="62"/>
        <v>919.13374</v>
      </c>
      <c r="DF26" s="5">
        <f t="shared" si="63"/>
        <v>919.13374</v>
      </c>
      <c r="DG26" s="35">
        <f t="shared" si="64"/>
        <v>411.26585659999995</v>
      </c>
      <c r="DJ26" s="5">
        <f t="shared" si="65"/>
        <v>10641.72046</v>
      </c>
      <c r="DK26" s="5">
        <f t="shared" si="66"/>
        <v>10641.72046</v>
      </c>
      <c r="DL26" s="35">
        <f t="shared" si="67"/>
        <v>4761.6316214</v>
      </c>
      <c r="DO26" s="5">
        <f t="shared" si="68"/>
        <v>391.83144</v>
      </c>
      <c r="DP26" s="36">
        <f t="shared" si="69"/>
        <v>391.83144</v>
      </c>
      <c r="DQ26" s="35">
        <f t="shared" si="70"/>
        <v>175.3247496</v>
      </c>
      <c r="DT26" s="36">
        <f t="shared" si="71"/>
        <v>346.84846000000005</v>
      </c>
      <c r="DU26" s="36">
        <f t="shared" si="72"/>
        <v>346.84846000000005</v>
      </c>
      <c r="DV26" s="35">
        <f t="shared" si="73"/>
        <v>155.19714140000002</v>
      </c>
    </row>
    <row r="27" spans="1:126" ht="12.75">
      <c r="A27" s="37">
        <v>45748</v>
      </c>
      <c r="C27" s="3">
        <v>0</v>
      </c>
      <c r="D27" s="3">
        <v>326200</v>
      </c>
      <c r="E27" s="35">
        <f t="shared" si="0"/>
        <v>326200</v>
      </c>
      <c r="F27" s="35">
        <f>'2011A'!F27</f>
        <v>145958</v>
      </c>
      <c r="H27" s="47">
        <f t="shared" si="74"/>
        <v>0</v>
      </c>
      <c r="I27" s="36">
        <f t="shared" si="1"/>
        <v>49165.5164</v>
      </c>
      <c r="J27" s="36">
        <f t="shared" si="2"/>
        <v>49165.5164</v>
      </c>
      <c r="K27" s="36">
        <f t="shared" si="3"/>
        <v>21999.081675999998</v>
      </c>
      <c r="M27" s="5">
        <f t="shared" si="75"/>
        <v>0</v>
      </c>
      <c r="N27" s="5">
        <f t="shared" si="4"/>
        <v>20437.865279999998</v>
      </c>
      <c r="O27" s="5">
        <f t="shared" si="5"/>
        <v>20437.865279999998</v>
      </c>
      <c r="P27" s="35">
        <f t="shared" si="6"/>
        <v>9144.9109152</v>
      </c>
      <c r="R27" s="5">
        <f t="shared" si="76"/>
        <v>0</v>
      </c>
      <c r="S27" s="36">
        <f t="shared" si="7"/>
        <v>9.03574</v>
      </c>
      <c r="T27" s="36">
        <f t="shared" si="8"/>
        <v>9.03574</v>
      </c>
      <c r="U27" s="35">
        <f t="shared" si="9"/>
        <v>4.0430366</v>
      </c>
      <c r="W27" s="5">
        <f t="shared" si="77"/>
        <v>0</v>
      </c>
      <c r="X27" s="5">
        <f t="shared" si="10"/>
        <v>404.58585999999997</v>
      </c>
      <c r="Y27" s="5">
        <f t="shared" si="97"/>
        <v>404.58585999999997</v>
      </c>
      <c r="Z27" s="35">
        <f t="shared" si="12"/>
        <v>181.0317074</v>
      </c>
      <c r="AB27" s="5">
        <f t="shared" si="78"/>
        <v>0</v>
      </c>
      <c r="AC27" s="5">
        <f t="shared" si="13"/>
        <v>243.63878</v>
      </c>
      <c r="AD27" s="5">
        <f t="shared" si="14"/>
        <v>243.63878</v>
      </c>
      <c r="AE27" s="35">
        <f t="shared" si="15"/>
        <v>109.0160302</v>
      </c>
      <c r="AG27" s="5">
        <f t="shared" si="79"/>
        <v>0</v>
      </c>
      <c r="AH27" s="5">
        <f t="shared" si="16"/>
        <v>1810.7362</v>
      </c>
      <c r="AI27" s="5">
        <f t="shared" si="17"/>
        <v>1810.7362</v>
      </c>
      <c r="AJ27" s="35">
        <f t="shared" si="18"/>
        <v>810.2128580000001</v>
      </c>
      <c r="AL27" s="5">
        <f t="shared" si="80"/>
        <v>0</v>
      </c>
      <c r="AM27" s="5">
        <f t="shared" si="19"/>
        <v>561.12924</v>
      </c>
      <c r="AN27" s="5">
        <f t="shared" si="20"/>
        <v>561.12924</v>
      </c>
      <c r="AO27" s="35">
        <f t="shared" si="21"/>
        <v>251.0769516</v>
      </c>
      <c r="AQ27" s="5">
        <f t="shared" si="81"/>
        <v>0</v>
      </c>
      <c r="AR27" s="5">
        <f t="shared" si="22"/>
        <v>1056.43132</v>
      </c>
      <c r="AS27" s="5">
        <f t="shared" si="23"/>
        <v>1056.43132</v>
      </c>
      <c r="AT27" s="35">
        <f t="shared" si="24"/>
        <v>472.6995788</v>
      </c>
      <c r="AV27" s="5">
        <f t="shared" si="82"/>
        <v>0</v>
      </c>
      <c r="AW27" s="5">
        <f t="shared" si="25"/>
        <v>223.70795999999999</v>
      </c>
      <c r="AX27" s="5">
        <f t="shared" si="26"/>
        <v>223.70795999999999</v>
      </c>
      <c r="AY27" s="35">
        <f t="shared" si="27"/>
        <v>100.0979964</v>
      </c>
      <c r="BA27" s="5">
        <f t="shared" si="83"/>
        <v>0</v>
      </c>
      <c r="BB27" s="5">
        <f t="shared" si="28"/>
        <v>3988.87146</v>
      </c>
      <c r="BC27" s="5">
        <f t="shared" si="29"/>
        <v>3988.87146</v>
      </c>
      <c r="BD27" s="35">
        <f t="shared" si="30"/>
        <v>1784.8182113999999</v>
      </c>
      <c r="BF27" s="36">
        <f t="shared" si="84"/>
        <v>0</v>
      </c>
      <c r="BG27" s="5">
        <f t="shared" si="31"/>
        <v>1846.87916</v>
      </c>
      <c r="BH27" s="36">
        <f t="shared" si="32"/>
        <v>1846.87916</v>
      </c>
      <c r="BI27" s="35">
        <f t="shared" si="33"/>
        <v>826.3850044</v>
      </c>
      <c r="BK27" s="5">
        <f t="shared" si="85"/>
        <v>0</v>
      </c>
      <c r="BL27" s="5">
        <f t="shared" si="34"/>
        <v>884.5239200000001</v>
      </c>
      <c r="BM27" s="5">
        <f t="shared" si="35"/>
        <v>884.5239200000001</v>
      </c>
      <c r="BN27" s="35">
        <f t="shared" si="36"/>
        <v>395.7797128</v>
      </c>
      <c r="BP27" s="5">
        <f t="shared" si="37"/>
        <v>0</v>
      </c>
      <c r="BQ27" s="5">
        <f t="shared" si="38"/>
        <v>130.51262</v>
      </c>
      <c r="BR27" s="5">
        <f t="shared" si="39"/>
        <v>130.51262</v>
      </c>
      <c r="BS27" s="35">
        <f t="shared" si="40"/>
        <v>58.397795800000004</v>
      </c>
      <c r="BU27" s="5">
        <f t="shared" si="86"/>
        <v>0</v>
      </c>
      <c r="BV27" s="5">
        <f t="shared" si="41"/>
        <v>578.64618</v>
      </c>
      <c r="BW27" s="5">
        <f t="shared" si="42"/>
        <v>578.64618</v>
      </c>
      <c r="BX27" s="35">
        <f t="shared" si="43"/>
        <v>258.9148962</v>
      </c>
      <c r="BZ27" s="5">
        <f t="shared" si="87"/>
        <v>0</v>
      </c>
      <c r="CA27" s="5">
        <f t="shared" si="44"/>
        <v>79.69066</v>
      </c>
      <c r="CB27" s="5">
        <f t="shared" si="45"/>
        <v>79.69066</v>
      </c>
      <c r="CC27" s="35">
        <f t="shared" si="46"/>
        <v>35.6575394</v>
      </c>
      <c r="CE27" s="5">
        <f t="shared" si="88"/>
        <v>0</v>
      </c>
      <c r="CF27" s="5">
        <f t="shared" si="47"/>
        <v>1662.44568</v>
      </c>
      <c r="CG27" s="5">
        <f t="shared" si="48"/>
        <v>1662.44568</v>
      </c>
      <c r="CH27" s="35">
        <f t="shared" si="49"/>
        <v>743.8603512</v>
      </c>
      <c r="CJ27" s="5">
        <f t="shared" si="89"/>
        <v>0</v>
      </c>
      <c r="CK27" s="5">
        <f t="shared" si="50"/>
        <v>322.02464</v>
      </c>
      <c r="CL27" s="5">
        <f t="shared" si="51"/>
        <v>322.02464</v>
      </c>
      <c r="CM27" s="35">
        <f t="shared" si="52"/>
        <v>144.08973759999998</v>
      </c>
      <c r="CO27" s="5">
        <f t="shared" si="90"/>
        <v>0</v>
      </c>
      <c r="CP27" s="5">
        <f t="shared" si="53"/>
        <v>426.04981999999995</v>
      </c>
      <c r="CQ27" s="36">
        <f t="shared" si="54"/>
        <v>426.04981999999995</v>
      </c>
      <c r="CR27" s="35">
        <f t="shared" si="55"/>
        <v>190.6357438</v>
      </c>
      <c r="CT27" s="5">
        <f t="shared" si="91"/>
        <v>0</v>
      </c>
      <c r="CU27" s="5">
        <f t="shared" si="56"/>
        <v>1384.9799600000001</v>
      </c>
      <c r="CV27" s="36">
        <f t="shared" si="57"/>
        <v>1384.9799600000001</v>
      </c>
      <c r="CW27" s="35">
        <f t="shared" si="58"/>
        <v>619.7084764</v>
      </c>
      <c r="CX27" s="5"/>
      <c r="CY27" s="5">
        <f t="shared" si="92"/>
        <v>0</v>
      </c>
      <c r="CZ27" s="5">
        <f t="shared" si="59"/>
        <v>814.22782</v>
      </c>
      <c r="DA27" s="5">
        <f t="shared" si="60"/>
        <v>814.22782</v>
      </c>
      <c r="DB27" s="35">
        <f t="shared" si="61"/>
        <v>364.32576379999995</v>
      </c>
      <c r="DC27" s="5"/>
      <c r="DD27" s="5">
        <f t="shared" si="93"/>
        <v>0</v>
      </c>
      <c r="DE27" s="5">
        <f t="shared" si="62"/>
        <v>919.13374</v>
      </c>
      <c r="DF27" s="5">
        <f t="shared" si="63"/>
        <v>919.13374</v>
      </c>
      <c r="DG27" s="35">
        <f t="shared" si="64"/>
        <v>411.26585659999995</v>
      </c>
      <c r="DH27" s="5"/>
      <c r="DI27" s="5">
        <f t="shared" si="94"/>
        <v>0</v>
      </c>
      <c r="DJ27" s="5">
        <f t="shared" si="65"/>
        <v>10641.72046</v>
      </c>
      <c r="DK27" s="5">
        <f t="shared" si="66"/>
        <v>10641.72046</v>
      </c>
      <c r="DL27" s="35">
        <f t="shared" si="67"/>
        <v>4761.6316214</v>
      </c>
      <c r="DM27" s="5"/>
      <c r="DN27" s="5">
        <f t="shared" si="95"/>
        <v>0</v>
      </c>
      <c r="DO27" s="5">
        <f t="shared" si="68"/>
        <v>391.83144</v>
      </c>
      <c r="DP27" s="36">
        <f t="shared" si="69"/>
        <v>391.83144</v>
      </c>
      <c r="DQ27" s="35">
        <f t="shared" si="70"/>
        <v>175.3247496</v>
      </c>
      <c r="DR27" s="5"/>
      <c r="DS27" s="5">
        <f t="shared" si="96"/>
        <v>0</v>
      </c>
      <c r="DT27" s="36">
        <f t="shared" si="71"/>
        <v>346.84846000000005</v>
      </c>
      <c r="DU27" s="36">
        <f t="shared" si="72"/>
        <v>346.84846000000005</v>
      </c>
      <c r="DV27" s="35">
        <f t="shared" si="73"/>
        <v>155.19714140000002</v>
      </c>
    </row>
    <row r="28" spans="1:126" ht="12.75">
      <c r="A28" s="37">
        <v>45931</v>
      </c>
      <c r="C28" s="3"/>
      <c r="D28" s="3">
        <v>326200</v>
      </c>
      <c r="E28" s="35">
        <f t="shared" si="0"/>
        <v>326200</v>
      </c>
      <c r="F28" s="35">
        <f>'2011A'!F28</f>
        <v>145958</v>
      </c>
      <c r="H28" s="47"/>
      <c r="I28" s="36">
        <f t="shared" si="1"/>
        <v>49165.5164</v>
      </c>
      <c r="J28" s="36">
        <f t="shared" si="2"/>
        <v>49165.5164</v>
      </c>
      <c r="K28" s="36">
        <f t="shared" si="3"/>
        <v>21999.081675999998</v>
      </c>
      <c r="M28" s="5"/>
      <c r="N28" s="5">
        <f t="shared" si="4"/>
        <v>20437.865279999998</v>
      </c>
      <c r="O28" s="5">
        <f t="shared" si="5"/>
        <v>20437.865279999998</v>
      </c>
      <c r="P28" s="35">
        <f t="shared" si="6"/>
        <v>9144.9109152</v>
      </c>
      <c r="R28" s="5"/>
      <c r="S28" s="36">
        <f t="shared" si="7"/>
        <v>9.03574</v>
      </c>
      <c r="T28" s="36">
        <f t="shared" si="8"/>
        <v>9.03574</v>
      </c>
      <c r="U28" s="35">
        <f t="shared" si="9"/>
        <v>4.0430366</v>
      </c>
      <c r="W28" s="5"/>
      <c r="X28" s="5">
        <f t="shared" si="10"/>
        <v>404.58585999999997</v>
      </c>
      <c r="Y28" s="5">
        <f t="shared" si="97"/>
        <v>404.58585999999997</v>
      </c>
      <c r="Z28" s="35">
        <f t="shared" si="12"/>
        <v>181.0317074</v>
      </c>
      <c r="AB28" s="5"/>
      <c r="AC28" s="5">
        <f t="shared" si="13"/>
        <v>243.63878</v>
      </c>
      <c r="AD28" s="5">
        <f t="shared" si="14"/>
        <v>243.63878</v>
      </c>
      <c r="AE28" s="35">
        <f t="shared" si="15"/>
        <v>109.0160302</v>
      </c>
      <c r="AG28" s="5"/>
      <c r="AH28" s="5">
        <f t="shared" si="16"/>
        <v>1810.7362</v>
      </c>
      <c r="AI28" s="5">
        <f t="shared" si="17"/>
        <v>1810.7362</v>
      </c>
      <c r="AJ28" s="35">
        <f t="shared" si="18"/>
        <v>810.2128580000001</v>
      </c>
      <c r="AL28" s="5"/>
      <c r="AM28" s="5">
        <f t="shared" si="19"/>
        <v>561.12924</v>
      </c>
      <c r="AN28" s="5">
        <f t="shared" si="20"/>
        <v>561.12924</v>
      </c>
      <c r="AO28" s="35">
        <f t="shared" si="21"/>
        <v>251.0769516</v>
      </c>
      <c r="AQ28" s="5"/>
      <c r="AR28" s="5">
        <f t="shared" si="22"/>
        <v>1056.43132</v>
      </c>
      <c r="AS28" s="5">
        <f t="shared" si="23"/>
        <v>1056.43132</v>
      </c>
      <c r="AT28" s="35">
        <f t="shared" si="24"/>
        <v>472.6995788</v>
      </c>
      <c r="AV28" s="5"/>
      <c r="AW28" s="5">
        <f t="shared" si="25"/>
        <v>223.70795999999999</v>
      </c>
      <c r="AX28" s="5">
        <f t="shared" si="26"/>
        <v>223.70795999999999</v>
      </c>
      <c r="AY28" s="35">
        <f t="shared" si="27"/>
        <v>100.0979964</v>
      </c>
      <c r="BA28" s="5"/>
      <c r="BB28" s="5">
        <f t="shared" si="28"/>
        <v>3988.87146</v>
      </c>
      <c r="BC28" s="5">
        <f t="shared" si="29"/>
        <v>3988.87146</v>
      </c>
      <c r="BD28" s="35">
        <f t="shared" si="30"/>
        <v>1784.8182113999999</v>
      </c>
      <c r="BF28" s="36"/>
      <c r="BG28" s="5">
        <f t="shared" si="31"/>
        <v>1846.87916</v>
      </c>
      <c r="BH28" s="36">
        <f t="shared" si="32"/>
        <v>1846.87916</v>
      </c>
      <c r="BI28" s="35">
        <f t="shared" si="33"/>
        <v>826.3850044</v>
      </c>
      <c r="BK28" s="5"/>
      <c r="BL28" s="5">
        <f t="shared" si="34"/>
        <v>884.5239200000001</v>
      </c>
      <c r="BM28" s="5">
        <f t="shared" si="35"/>
        <v>884.5239200000001</v>
      </c>
      <c r="BN28" s="35">
        <f t="shared" si="36"/>
        <v>395.7797128</v>
      </c>
      <c r="BP28" s="5">
        <f t="shared" si="37"/>
        <v>0</v>
      </c>
      <c r="BQ28" s="5">
        <f t="shared" si="38"/>
        <v>130.51262</v>
      </c>
      <c r="BR28" s="5">
        <f t="shared" si="39"/>
        <v>130.51262</v>
      </c>
      <c r="BS28" s="35">
        <f t="shared" si="40"/>
        <v>58.397795800000004</v>
      </c>
      <c r="BU28" s="5"/>
      <c r="BV28" s="5">
        <f t="shared" si="41"/>
        <v>578.64618</v>
      </c>
      <c r="BW28" s="5">
        <f t="shared" si="42"/>
        <v>578.64618</v>
      </c>
      <c r="BX28" s="35">
        <f t="shared" si="43"/>
        <v>258.9148962</v>
      </c>
      <c r="BZ28" s="5"/>
      <c r="CA28" s="5">
        <f t="shared" si="44"/>
        <v>79.69066</v>
      </c>
      <c r="CB28" s="5">
        <f t="shared" si="45"/>
        <v>79.69066</v>
      </c>
      <c r="CC28" s="35">
        <f t="shared" si="46"/>
        <v>35.6575394</v>
      </c>
      <c r="CE28" s="5"/>
      <c r="CF28" s="5">
        <f t="shared" si="47"/>
        <v>1662.44568</v>
      </c>
      <c r="CG28" s="5">
        <f t="shared" si="48"/>
        <v>1662.44568</v>
      </c>
      <c r="CH28" s="35">
        <f t="shared" si="49"/>
        <v>743.8603512</v>
      </c>
      <c r="CJ28" s="5"/>
      <c r="CK28" s="5">
        <f t="shared" si="50"/>
        <v>322.02464</v>
      </c>
      <c r="CL28" s="5">
        <f t="shared" si="51"/>
        <v>322.02464</v>
      </c>
      <c r="CM28" s="35">
        <f t="shared" si="52"/>
        <v>144.08973759999998</v>
      </c>
      <c r="CO28" s="5"/>
      <c r="CP28" s="5">
        <f t="shared" si="53"/>
        <v>426.04981999999995</v>
      </c>
      <c r="CQ28" s="36">
        <f t="shared" si="54"/>
        <v>426.04981999999995</v>
      </c>
      <c r="CR28" s="35">
        <f t="shared" si="55"/>
        <v>190.6357438</v>
      </c>
      <c r="CT28" s="5"/>
      <c r="CU28" s="5">
        <f t="shared" si="56"/>
        <v>1384.9799600000001</v>
      </c>
      <c r="CV28" s="36">
        <f t="shared" si="57"/>
        <v>1384.9799600000001</v>
      </c>
      <c r="CW28" s="35">
        <f t="shared" si="58"/>
        <v>619.7084764</v>
      </c>
      <c r="CZ28" s="5">
        <f t="shared" si="59"/>
        <v>814.22782</v>
      </c>
      <c r="DA28" s="5">
        <f t="shared" si="60"/>
        <v>814.22782</v>
      </c>
      <c r="DB28" s="35">
        <f t="shared" si="61"/>
        <v>364.32576379999995</v>
      </c>
      <c r="DE28" s="5">
        <f t="shared" si="62"/>
        <v>919.13374</v>
      </c>
      <c r="DF28" s="5">
        <f t="shared" si="63"/>
        <v>919.13374</v>
      </c>
      <c r="DG28" s="35">
        <f t="shared" si="64"/>
        <v>411.26585659999995</v>
      </c>
      <c r="DJ28" s="5">
        <f t="shared" si="65"/>
        <v>10641.72046</v>
      </c>
      <c r="DK28" s="5">
        <f t="shared" si="66"/>
        <v>10641.72046</v>
      </c>
      <c r="DL28" s="35">
        <f t="shared" si="67"/>
        <v>4761.6316214</v>
      </c>
      <c r="DO28" s="5">
        <f t="shared" si="68"/>
        <v>391.83144</v>
      </c>
      <c r="DP28" s="36">
        <f t="shared" si="69"/>
        <v>391.83144</v>
      </c>
      <c r="DQ28" s="35">
        <f t="shared" si="70"/>
        <v>175.3247496</v>
      </c>
      <c r="DT28" s="36">
        <f t="shared" si="71"/>
        <v>346.84846000000005</v>
      </c>
      <c r="DU28" s="36">
        <f t="shared" si="72"/>
        <v>346.84846000000005</v>
      </c>
      <c r="DV28" s="35">
        <f t="shared" si="73"/>
        <v>155.19714140000002</v>
      </c>
    </row>
    <row r="29" spans="1:126" ht="12.75">
      <c r="A29" s="37">
        <v>46113</v>
      </c>
      <c r="C29" s="3">
        <v>0</v>
      </c>
      <c r="D29" s="3">
        <v>326200</v>
      </c>
      <c r="E29" s="35">
        <f t="shared" si="0"/>
        <v>326200</v>
      </c>
      <c r="F29" s="35">
        <f>'2011A'!F29</f>
        <v>145958</v>
      </c>
      <c r="H29" s="47">
        <f t="shared" si="74"/>
        <v>0</v>
      </c>
      <c r="I29" s="36">
        <f t="shared" si="1"/>
        <v>49165.5164</v>
      </c>
      <c r="J29" s="36">
        <f t="shared" si="2"/>
        <v>49165.5164</v>
      </c>
      <c r="K29" s="36">
        <f t="shared" si="3"/>
        <v>21999.081675999998</v>
      </c>
      <c r="M29" s="5">
        <f t="shared" si="75"/>
        <v>0</v>
      </c>
      <c r="N29" s="5">
        <f t="shared" si="4"/>
        <v>20437.865279999998</v>
      </c>
      <c r="O29" s="5">
        <f t="shared" si="5"/>
        <v>20437.865279999998</v>
      </c>
      <c r="P29" s="35">
        <f t="shared" si="6"/>
        <v>9144.9109152</v>
      </c>
      <c r="R29" s="5">
        <f t="shared" si="76"/>
        <v>0</v>
      </c>
      <c r="S29" s="36">
        <f t="shared" si="7"/>
        <v>9.03574</v>
      </c>
      <c r="T29" s="36">
        <f t="shared" si="8"/>
        <v>9.03574</v>
      </c>
      <c r="U29" s="35">
        <f t="shared" si="9"/>
        <v>4.0430366</v>
      </c>
      <c r="W29" s="5">
        <f t="shared" si="77"/>
        <v>0</v>
      </c>
      <c r="X29" s="5">
        <f t="shared" si="10"/>
        <v>404.58585999999997</v>
      </c>
      <c r="Y29" s="5">
        <f t="shared" si="97"/>
        <v>404.58585999999997</v>
      </c>
      <c r="Z29" s="35">
        <f t="shared" si="12"/>
        <v>181.0317074</v>
      </c>
      <c r="AB29" s="5">
        <f t="shared" si="78"/>
        <v>0</v>
      </c>
      <c r="AC29" s="5">
        <f t="shared" si="13"/>
        <v>243.63878</v>
      </c>
      <c r="AD29" s="5">
        <f t="shared" si="14"/>
        <v>243.63878</v>
      </c>
      <c r="AE29" s="35">
        <f t="shared" si="15"/>
        <v>109.0160302</v>
      </c>
      <c r="AG29" s="5">
        <f t="shared" si="79"/>
        <v>0</v>
      </c>
      <c r="AH29" s="5">
        <f t="shared" si="16"/>
        <v>1810.7362</v>
      </c>
      <c r="AI29" s="5">
        <f t="shared" si="17"/>
        <v>1810.7362</v>
      </c>
      <c r="AJ29" s="35">
        <f t="shared" si="18"/>
        <v>810.2128580000001</v>
      </c>
      <c r="AL29" s="5">
        <f t="shared" si="80"/>
        <v>0</v>
      </c>
      <c r="AM29" s="5">
        <f t="shared" si="19"/>
        <v>561.12924</v>
      </c>
      <c r="AN29" s="5">
        <f t="shared" si="20"/>
        <v>561.12924</v>
      </c>
      <c r="AO29" s="35">
        <f t="shared" si="21"/>
        <v>251.0769516</v>
      </c>
      <c r="AQ29" s="5">
        <f t="shared" si="81"/>
        <v>0</v>
      </c>
      <c r="AR29" s="5">
        <f t="shared" si="22"/>
        <v>1056.43132</v>
      </c>
      <c r="AS29" s="5">
        <f t="shared" si="23"/>
        <v>1056.43132</v>
      </c>
      <c r="AT29" s="35">
        <f t="shared" si="24"/>
        <v>472.6995788</v>
      </c>
      <c r="AV29" s="5">
        <f t="shared" si="82"/>
        <v>0</v>
      </c>
      <c r="AW29" s="5">
        <f t="shared" si="25"/>
        <v>223.70795999999999</v>
      </c>
      <c r="AX29" s="5">
        <f t="shared" si="26"/>
        <v>223.70795999999999</v>
      </c>
      <c r="AY29" s="35">
        <f t="shared" si="27"/>
        <v>100.0979964</v>
      </c>
      <c r="BA29" s="5">
        <f t="shared" si="83"/>
        <v>0</v>
      </c>
      <c r="BB29" s="5">
        <f t="shared" si="28"/>
        <v>3988.87146</v>
      </c>
      <c r="BC29" s="5">
        <f t="shared" si="29"/>
        <v>3988.87146</v>
      </c>
      <c r="BD29" s="35">
        <f t="shared" si="30"/>
        <v>1784.8182113999999</v>
      </c>
      <c r="BF29" s="36">
        <f t="shared" si="84"/>
        <v>0</v>
      </c>
      <c r="BG29" s="5">
        <f t="shared" si="31"/>
        <v>1846.87916</v>
      </c>
      <c r="BH29" s="36">
        <f t="shared" si="32"/>
        <v>1846.87916</v>
      </c>
      <c r="BI29" s="35">
        <f t="shared" si="33"/>
        <v>826.3850044</v>
      </c>
      <c r="BK29" s="5">
        <f t="shared" si="85"/>
        <v>0</v>
      </c>
      <c r="BL29" s="5">
        <f t="shared" si="34"/>
        <v>884.5239200000001</v>
      </c>
      <c r="BM29" s="5">
        <f t="shared" si="35"/>
        <v>884.5239200000001</v>
      </c>
      <c r="BN29" s="35">
        <f t="shared" si="36"/>
        <v>395.7797128</v>
      </c>
      <c r="BP29" s="5">
        <f t="shared" si="37"/>
        <v>0</v>
      </c>
      <c r="BQ29" s="5">
        <f t="shared" si="38"/>
        <v>130.51262</v>
      </c>
      <c r="BR29" s="5">
        <f t="shared" si="39"/>
        <v>130.51262</v>
      </c>
      <c r="BS29" s="35">
        <f t="shared" si="40"/>
        <v>58.397795800000004</v>
      </c>
      <c r="BU29" s="5">
        <f t="shared" si="86"/>
        <v>0</v>
      </c>
      <c r="BV29" s="5">
        <f t="shared" si="41"/>
        <v>578.64618</v>
      </c>
      <c r="BW29" s="5">
        <f t="shared" si="42"/>
        <v>578.64618</v>
      </c>
      <c r="BX29" s="35">
        <f t="shared" si="43"/>
        <v>258.9148962</v>
      </c>
      <c r="BZ29" s="5">
        <f t="shared" si="87"/>
        <v>0</v>
      </c>
      <c r="CA29" s="5">
        <f t="shared" si="44"/>
        <v>79.69066</v>
      </c>
      <c r="CB29" s="5">
        <f t="shared" si="45"/>
        <v>79.69066</v>
      </c>
      <c r="CC29" s="35">
        <f t="shared" si="46"/>
        <v>35.6575394</v>
      </c>
      <c r="CE29" s="5">
        <f t="shared" si="88"/>
        <v>0</v>
      </c>
      <c r="CF29" s="5">
        <f t="shared" si="47"/>
        <v>1662.44568</v>
      </c>
      <c r="CG29" s="5">
        <f t="shared" si="48"/>
        <v>1662.44568</v>
      </c>
      <c r="CH29" s="35">
        <f t="shared" si="49"/>
        <v>743.8603512</v>
      </c>
      <c r="CJ29" s="5">
        <f t="shared" si="89"/>
        <v>0</v>
      </c>
      <c r="CK29" s="5">
        <f t="shared" si="50"/>
        <v>322.02464</v>
      </c>
      <c r="CL29" s="5">
        <f t="shared" si="51"/>
        <v>322.02464</v>
      </c>
      <c r="CM29" s="35">
        <f t="shared" si="52"/>
        <v>144.08973759999998</v>
      </c>
      <c r="CO29" s="5">
        <f t="shared" si="90"/>
        <v>0</v>
      </c>
      <c r="CP29" s="5">
        <f t="shared" si="53"/>
        <v>426.04981999999995</v>
      </c>
      <c r="CQ29" s="36">
        <f t="shared" si="54"/>
        <v>426.04981999999995</v>
      </c>
      <c r="CR29" s="35">
        <f t="shared" si="55"/>
        <v>190.6357438</v>
      </c>
      <c r="CT29" s="5">
        <f t="shared" si="91"/>
        <v>0</v>
      </c>
      <c r="CU29" s="5">
        <f t="shared" si="56"/>
        <v>1384.9799600000001</v>
      </c>
      <c r="CV29" s="36">
        <f t="shared" si="57"/>
        <v>1384.9799600000001</v>
      </c>
      <c r="CW29" s="35">
        <f t="shared" si="58"/>
        <v>619.7084764</v>
      </c>
      <c r="CX29" s="5"/>
      <c r="CY29" s="5">
        <f t="shared" si="92"/>
        <v>0</v>
      </c>
      <c r="CZ29" s="5">
        <f t="shared" si="59"/>
        <v>814.22782</v>
      </c>
      <c r="DA29" s="5">
        <f t="shared" si="60"/>
        <v>814.22782</v>
      </c>
      <c r="DB29" s="35">
        <f t="shared" si="61"/>
        <v>364.32576379999995</v>
      </c>
      <c r="DC29" s="5"/>
      <c r="DD29" s="5">
        <f t="shared" si="93"/>
        <v>0</v>
      </c>
      <c r="DE29" s="5">
        <f t="shared" si="62"/>
        <v>919.13374</v>
      </c>
      <c r="DF29" s="5">
        <f t="shared" si="63"/>
        <v>919.13374</v>
      </c>
      <c r="DG29" s="35">
        <f t="shared" si="64"/>
        <v>411.26585659999995</v>
      </c>
      <c r="DH29" s="5"/>
      <c r="DI29" s="5">
        <f t="shared" si="94"/>
        <v>0</v>
      </c>
      <c r="DJ29" s="5">
        <f t="shared" si="65"/>
        <v>10641.72046</v>
      </c>
      <c r="DK29" s="5">
        <f t="shared" si="66"/>
        <v>10641.72046</v>
      </c>
      <c r="DL29" s="35">
        <f t="shared" si="67"/>
        <v>4761.6316214</v>
      </c>
      <c r="DM29" s="5"/>
      <c r="DN29" s="5">
        <f t="shared" si="95"/>
        <v>0</v>
      </c>
      <c r="DO29" s="5">
        <f t="shared" si="68"/>
        <v>391.83144</v>
      </c>
      <c r="DP29" s="36">
        <f t="shared" si="69"/>
        <v>391.83144</v>
      </c>
      <c r="DQ29" s="35">
        <f t="shared" si="70"/>
        <v>175.3247496</v>
      </c>
      <c r="DR29" s="5"/>
      <c r="DS29" s="5">
        <f t="shared" si="96"/>
        <v>0</v>
      </c>
      <c r="DT29" s="36">
        <f t="shared" si="71"/>
        <v>346.84846000000005</v>
      </c>
      <c r="DU29" s="36">
        <f t="shared" si="72"/>
        <v>346.84846000000005</v>
      </c>
      <c r="DV29" s="35">
        <f t="shared" si="73"/>
        <v>155.19714140000002</v>
      </c>
    </row>
    <row r="30" spans="1:126" ht="12.75">
      <c r="A30" s="37">
        <v>46296</v>
      </c>
      <c r="C30" s="3"/>
      <c r="D30" s="3">
        <v>326200</v>
      </c>
      <c r="E30" s="35">
        <f t="shared" si="0"/>
        <v>326200</v>
      </c>
      <c r="F30" s="35">
        <f>'2011A'!F30</f>
        <v>145958</v>
      </c>
      <c r="H30" s="47"/>
      <c r="I30" s="36">
        <f t="shared" si="1"/>
        <v>49165.5164</v>
      </c>
      <c r="J30" s="36">
        <f t="shared" si="2"/>
        <v>49165.5164</v>
      </c>
      <c r="K30" s="36">
        <f t="shared" si="3"/>
        <v>21999.081675999998</v>
      </c>
      <c r="M30" s="5"/>
      <c r="N30" s="5">
        <f t="shared" si="4"/>
        <v>20437.865279999998</v>
      </c>
      <c r="O30" s="5">
        <f t="shared" si="5"/>
        <v>20437.865279999998</v>
      </c>
      <c r="P30" s="35">
        <f t="shared" si="6"/>
        <v>9144.9109152</v>
      </c>
      <c r="R30" s="5"/>
      <c r="S30" s="36">
        <f t="shared" si="7"/>
        <v>9.03574</v>
      </c>
      <c r="T30" s="36">
        <f t="shared" si="8"/>
        <v>9.03574</v>
      </c>
      <c r="U30" s="35">
        <f t="shared" si="9"/>
        <v>4.0430366</v>
      </c>
      <c r="W30" s="5"/>
      <c r="X30" s="5">
        <f t="shared" si="10"/>
        <v>404.58585999999997</v>
      </c>
      <c r="Y30" s="5">
        <f t="shared" si="97"/>
        <v>404.58585999999997</v>
      </c>
      <c r="Z30" s="35">
        <f t="shared" si="12"/>
        <v>181.0317074</v>
      </c>
      <c r="AB30" s="5"/>
      <c r="AC30" s="5">
        <f t="shared" si="13"/>
        <v>243.63878</v>
      </c>
      <c r="AD30" s="5">
        <f t="shared" si="14"/>
        <v>243.63878</v>
      </c>
      <c r="AE30" s="35">
        <f t="shared" si="15"/>
        <v>109.0160302</v>
      </c>
      <c r="AG30" s="5"/>
      <c r="AH30" s="5">
        <f t="shared" si="16"/>
        <v>1810.7362</v>
      </c>
      <c r="AI30" s="5">
        <f t="shared" si="17"/>
        <v>1810.7362</v>
      </c>
      <c r="AJ30" s="35">
        <f t="shared" si="18"/>
        <v>810.2128580000001</v>
      </c>
      <c r="AL30" s="5"/>
      <c r="AM30" s="5">
        <f t="shared" si="19"/>
        <v>561.12924</v>
      </c>
      <c r="AN30" s="5">
        <f t="shared" si="20"/>
        <v>561.12924</v>
      </c>
      <c r="AO30" s="35">
        <f t="shared" si="21"/>
        <v>251.0769516</v>
      </c>
      <c r="AQ30" s="5"/>
      <c r="AR30" s="5">
        <f t="shared" si="22"/>
        <v>1056.43132</v>
      </c>
      <c r="AS30" s="5">
        <f t="shared" si="23"/>
        <v>1056.43132</v>
      </c>
      <c r="AT30" s="35">
        <f t="shared" si="24"/>
        <v>472.6995788</v>
      </c>
      <c r="AV30" s="5"/>
      <c r="AW30" s="5">
        <f t="shared" si="25"/>
        <v>223.70795999999999</v>
      </c>
      <c r="AX30" s="5">
        <f t="shared" si="26"/>
        <v>223.70795999999999</v>
      </c>
      <c r="AY30" s="35">
        <f t="shared" si="27"/>
        <v>100.0979964</v>
      </c>
      <c r="BA30" s="5"/>
      <c r="BB30" s="5">
        <f t="shared" si="28"/>
        <v>3988.87146</v>
      </c>
      <c r="BC30" s="5">
        <f t="shared" si="29"/>
        <v>3988.87146</v>
      </c>
      <c r="BD30" s="35">
        <f t="shared" si="30"/>
        <v>1784.8182113999999</v>
      </c>
      <c r="BF30" s="36"/>
      <c r="BG30" s="5">
        <f t="shared" si="31"/>
        <v>1846.87916</v>
      </c>
      <c r="BH30" s="36">
        <f t="shared" si="32"/>
        <v>1846.87916</v>
      </c>
      <c r="BI30" s="35">
        <f t="shared" si="33"/>
        <v>826.3850044</v>
      </c>
      <c r="BK30" s="5"/>
      <c r="BL30" s="5">
        <f t="shared" si="34"/>
        <v>884.5239200000001</v>
      </c>
      <c r="BM30" s="5">
        <f t="shared" si="35"/>
        <v>884.5239200000001</v>
      </c>
      <c r="BN30" s="35">
        <f t="shared" si="36"/>
        <v>395.7797128</v>
      </c>
      <c r="BP30" s="5">
        <f t="shared" si="37"/>
        <v>0</v>
      </c>
      <c r="BQ30" s="5">
        <f t="shared" si="38"/>
        <v>130.51262</v>
      </c>
      <c r="BR30" s="5">
        <f t="shared" si="39"/>
        <v>130.51262</v>
      </c>
      <c r="BS30" s="35">
        <f t="shared" si="40"/>
        <v>58.397795800000004</v>
      </c>
      <c r="BU30" s="5"/>
      <c r="BV30" s="5">
        <f t="shared" si="41"/>
        <v>578.64618</v>
      </c>
      <c r="BW30" s="5">
        <f t="shared" si="42"/>
        <v>578.64618</v>
      </c>
      <c r="BX30" s="35">
        <f t="shared" si="43"/>
        <v>258.9148962</v>
      </c>
      <c r="BZ30" s="5"/>
      <c r="CA30" s="5">
        <f t="shared" si="44"/>
        <v>79.69066</v>
      </c>
      <c r="CB30" s="5">
        <f t="shared" si="45"/>
        <v>79.69066</v>
      </c>
      <c r="CC30" s="35">
        <f t="shared" si="46"/>
        <v>35.6575394</v>
      </c>
      <c r="CE30" s="5"/>
      <c r="CF30" s="5">
        <f t="shared" si="47"/>
        <v>1662.44568</v>
      </c>
      <c r="CG30" s="5">
        <f t="shared" si="48"/>
        <v>1662.44568</v>
      </c>
      <c r="CH30" s="35">
        <f t="shared" si="49"/>
        <v>743.8603512</v>
      </c>
      <c r="CJ30" s="5"/>
      <c r="CK30" s="5">
        <f t="shared" si="50"/>
        <v>322.02464</v>
      </c>
      <c r="CL30" s="5">
        <f t="shared" si="51"/>
        <v>322.02464</v>
      </c>
      <c r="CM30" s="35">
        <f t="shared" si="52"/>
        <v>144.08973759999998</v>
      </c>
      <c r="CO30" s="5"/>
      <c r="CP30" s="5">
        <f t="shared" si="53"/>
        <v>426.04981999999995</v>
      </c>
      <c r="CQ30" s="36">
        <f t="shared" si="54"/>
        <v>426.04981999999995</v>
      </c>
      <c r="CR30" s="35">
        <f t="shared" si="55"/>
        <v>190.6357438</v>
      </c>
      <c r="CT30" s="5"/>
      <c r="CU30" s="5">
        <f t="shared" si="56"/>
        <v>1384.9799600000001</v>
      </c>
      <c r="CV30" s="36">
        <f t="shared" si="57"/>
        <v>1384.9799600000001</v>
      </c>
      <c r="CW30" s="35">
        <f t="shared" si="58"/>
        <v>619.7084764</v>
      </c>
      <c r="CZ30" s="5">
        <f t="shared" si="59"/>
        <v>814.22782</v>
      </c>
      <c r="DA30" s="5">
        <f t="shared" si="60"/>
        <v>814.22782</v>
      </c>
      <c r="DB30" s="35">
        <f t="shared" si="61"/>
        <v>364.32576379999995</v>
      </c>
      <c r="DE30" s="5">
        <f t="shared" si="62"/>
        <v>919.13374</v>
      </c>
      <c r="DF30" s="5">
        <f t="shared" si="63"/>
        <v>919.13374</v>
      </c>
      <c r="DG30" s="35">
        <f t="shared" si="64"/>
        <v>411.26585659999995</v>
      </c>
      <c r="DJ30" s="5">
        <f t="shared" si="65"/>
        <v>10641.72046</v>
      </c>
      <c r="DK30" s="5">
        <f t="shared" si="66"/>
        <v>10641.72046</v>
      </c>
      <c r="DL30" s="35">
        <f t="shared" si="67"/>
        <v>4761.6316214</v>
      </c>
      <c r="DO30" s="5">
        <f t="shared" si="68"/>
        <v>391.83144</v>
      </c>
      <c r="DP30" s="36">
        <f t="shared" si="69"/>
        <v>391.83144</v>
      </c>
      <c r="DQ30" s="35">
        <f t="shared" si="70"/>
        <v>175.3247496</v>
      </c>
      <c r="DT30" s="36">
        <f t="shared" si="71"/>
        <v>346.84846000000005</v>
      </c>
      <c r="DU30" s="36">
        <f t="shared" si="72"/>
        <v>346.84846000000005</v>
      </c>
      <c r="DV30" s="35">
        <f t="shared" si="73"/>
        <v>155.19714140000002</v>
      </c>
    </row>
    <row r="31" spans="1:126" ht="12.75">
      <c r="A31" s="37">
        <v>46478</v>
      </c>
      <c r="C31" s="3">
        <v>0</v>
      </c>
      <c r="D31" s="3">
        <v>326200</v>
      </c>
      <c r="E31" s="35">
        <f t="shared" si="0"/>
        <v>326200</v>
      </c>
      <c r="F31" s="35">
        <f>'2011A'!F31</f>
        <v>145958</v>
      </c>
      <c r="H31" s="47">
        <f t="shared" si="74"/>
        <v>0</v>
      </c>
      <c r="I31" s="36">
        <f t="shared" si="1"/>
        <v>49165.5164</v>
      </c>
      <c r="J31" s="36">
        <f t="shared" si="2"/>
        <v>49165.5164</v>
      </c>
      <c r="K31" s="36">
        <f t="shared" si="3"/>
        <v>21999.081675999998</v>
      </c>
      <c r="M31" s="5">
        <f t="shared" si="75"/>
        <v>0</v>
      </c>
      <c r="N31" s="5">
        <f t="shared" si="4"/>
        <v>20437.865279999998</v>
      </c>
      <c r="O31" s="5">
        <f t="shared" si="5"/>
        <v>20437.865279999998</v>
      </c>
      <c r="P31" s="35">
        <f t="shared" si="6"/>
        <v>9144.9109152</v>
      </c>
      <c r="R31" s="5">
        <f t="shared" si="76"/>
        <v>0</v>
      </c>
      <c r="S31" s="36">
        <f t="shared" si="7"/>
        <v>9.03574</v>
      </c>
      <c r="T31" s="36">
        <f t="shared" si="8"/>
        <v>9.03574</v>
      </c>
      <c r="U31" s="35">
        <f t="shared" si="9"/>
        <v>4.0430366</v>
      </c>
      <c r="W31" s="5">
        <f t="shared" si="77"/>
        <v>0</v>
      </c>
      <c r="X31" s="5">
        <f t="shared" si="10"/>
        <v>404.58585999999997</v>
      </c>
      <c r="Y31" s="5">
        <f t="shared" si="97"/>
        <v>404.58585999999997</v>
      </c>
      <c r="Z31" s="35">
        <f t="shared" si="12"/>
        <v>181.0317074</v>
      </c>
      <c r="AB31" s="5">
        <f t="shared" si="78"/>
        <v>0</v>
      </c>
      <c r="AC31" s="5">
        <f t="shared" si="13"/>
        <v>243.63878</v>
      </c>
      <c r="AD31" s="5">
        <f t="shared" si="14"/>
        <v>243.63878</v>
      </c>
      <c r="AE31" s="35">
        <f t="shared" si="15"/>
        <v>109.0160302</v>
      </c>
      <c r="AG31" s="5">
        <f t="shared" si="79"/>
        <v>0</v>
      </c>
      <c r="AH31" s="5">
        <f t="shared" si="16"/>
        <v>1810.7362</v>
      </c>
      <c r="AI31" s="5">
        <f t="shared" si="17"/>
        <v>1810.7362</v>
      </c>
      <c r="AJ31" s="35">
        <f t="shared" si="18"/>
        <v>810.2128580000001</v>
      </c>
      <c r="AL31" s="5">
        <f t="shared" si="80"/>
        <v>0</v>
      </c>
      <c r="AM31" s="5">
        <f t="shared" si="19"/>
        <v>561.12924</v>
      </c>
      <c r="AN31" s="5">
        <f t="shared" si="20"/>
        <v>561.12924</v>
      </c>
      <c r="AO31" s="35">
        <f t="shared" si="21"/>
        <v>251.0769516</v>
      </c>
      <c r="AQ31" s="5">
        <f t="shared" si="81"/>
        <v>0</v>
      </c>
      <c r="AR31" s="5">
        <f t="shared" si="22"/>
        <v>1056.43132</v>
      </c>
      <c r="AS31" s="5">
        <f t="shared" si="23"/>
        <v>1056.43132</v>
      </c>
      <c r="AT31" s="35">
        <f t="shared" si="24"/>
        <v>472.6995788</v>
      </c>
      <c r="AV31" s="5">
        <f t="shared" si="82"/>
        <v>0</v>
      </c>
      <c r="AW31" s="5">
        <f t="shared" si="25"/>
        <v>223.70795999999999</v>
      </c>
      <c r="AX31" s="5">
        <f t="shared" si="26"/>
        <v>223.70795999999999</v>
      </c>
      <c r="AY31" s="35">
        <f t="shared" si="27"/>
        <v>100.0979964</v>
      </c>
      <c r="BA31" s="5">
        <f t="shared" si="83"/>
        <v>0</v>
      </c>
      <c r="BB31" s="5">
        <f t="shared" si="28"/>
        <v>3988.87146</v>
      </c>
      <c r="BC31" s="5">
        <f t="shared" si="29"/>
        <v>3988.87146</v>
      </c>
      <c r="BD31" s="35">
        <f t="shared" si="30"/>
        <v>1784.8182113999999</v>
      </c>
      <c r="BF31" s="36">
        <f t="shared" si="84"/>
        <v>0</v>
      </c>
      <c r="BG31" s="5">
        <f t="shared" si="31"/>
        <v>1846.87916</v>
      </c>
      <c r="BH31" s="36">
        <f t="shared" si="32"/>
        <v>1846.87916</v>
      </c>
      <c r="BI31" s="35">
        <f t="shared" si="33"/>
        <v>826.3850044</v>
      </c>
      <c r="BK31" s="5">
        <f t="shared" si="85"/>
        <v>0</v>
      </c>
      <c r="BL31" s="5">
        <f t="shared" si="34"/>
        <v>884.5239200000001</v>
      </c>
      <c r="BM31" s="5">
        <f t="shared" si="35"/>
        <v>884.5239200000001</v>
      </c>
      <c r="BN31" s="35">
        <f t="shared" si="36"/>
        <v>395.7797128</v>
      </c>
      <c r="BP31" s="5">
        <f t="shared" si="37"/>
        <v>0</v>
      </c>
      <c r="BQ31" s="5">
        <f t="shared" si="38"/>
        <v>130.51262</v>
      </c>
      <c r="BR31" s="5">
        <f t="shared" si="39"/>
        <v>130.51262</v>
      </c>
      <c r="BS31" s="35">
        <f t="shared" si="40"/>
        <v>58.397795800000004</v>
      </c>
      <c r="BU31" s="5">
        <f t="shared" si="86"/>
        <v>0</v>
      </c>
      <c r="BV31" s="5">
        <f t="shared" si="41"/>
        <v>578.64618</v>
      </c>
      <c r="BW31" s="5">
        <f t="shared" si="42"/>
        <v>578.64618</v>
      </c>
      <c r="BX31" s="35">
        <f t="shared" si="43"/>
        <v>258.9148962</v>
      </c>
      <c r="BZ31" s="5">
        <f t="shared" si="87"/>
        <v>0</v>
      </c>
      <c r="CA31" s="5">
        <f t="shared" si="44"/>
        <v>79.69066</v>
      </c>
      <c r="CB31" s="5">
        <f t="shared" si="45"/>
        <v>79.69066</v>
      </c>
      <c r="CC31" s="35">
        <f t="shared" si="46"/>
        <v>35.6575394</v>
      </c>
      <c r="CE31" s="5">
        <f t="shared" si="88"/>
        <v>0</v>
      </c>
      <c r="CF31" s="5">
        <f t="shared" si="47"/>
        <v>1662.44568</v>
      </c>
      <c r="CG31" s="5">
        <f t="shared" si="48"/>
        <v>1662.44568</v>
      </c>
      <c r="CH31" s="35">
        <f t="shared" si="49"/>
        <v>743.8603512</v>
      </c>
      <c r="CJ31" s="5">
        <f t="shared" si="89"/>
        <v>0</v>
      </c>
      <c r="CK31" s="5">
        <f t="shared" si="50"/>
        <v>322.02464</v>
      </c>
      <c r="CL31" s="5">
        <f t="shared" si="51"/>
        <v>322.02464</v>
      </c>
      <c r="CM31" s="35">
        <f t="shared" si="52"/>
        <v>144.08973759999998</v>
      </c>
      <c r="CO31" s="5">
        <f t="shared" si="90"/>
        <v>0</v>
      </c>
      <c r="CP31" s="5">
        <f t="shared" si="53"/>
        <v>426.04981999999995</v>
      </c>
      <c r="CQ31" s="36">
        <f t="shared" si="54"/>
        <v>426.04981999999995</v>
      </c>
      <c r="CR31" s="35">
        <f t="shared" si="55"/>
        <v>190.6357438</v>
      </c>
      <c r="CT31" s="5">
        <f t="shared" si="91"/>
        <v>0</v>
      </c>
      <c r="CU31" s="5">
        <f t="shared" si="56"/>
        <v>1384.9799600000001</v>
      </c>
      <c r="CV31" s="36">
        <f t="shared" si="57"/>
        <v>1384.9799600000001</v>
      </c>
      <c r="CW31" s="35">
        <f t="shared" si="58"/>
        <v>619.7084764</v>
      </c>
      <c r="CX31" s="5"/>
      <c r="CY31" s="5">
        <f t="shared" si="92"/>
        <v>0</v>
      </c>
      <c r="CZ31" s="5">
        <f t="shared" si="59"/>
        <v>814.22782</v>
      </c>
      <c r="DA31" s="5">
        <f t="shared" si="60"/>
        <v>814.22782</v>
      </c>
      <c r="DB31" s="35">
        <f t="shared" si="61"/>
        <v>364.32576379999995</v>
      </c>
      <c r="DC31" s="5"/>
      <c r="DD31" s="5">
        <f t="shared" si="93"/>
        <v>0</v>
      </c>
      <c r="DE31" s="5">
        <f t="shared" si="62"/>
        <v>919.13374</v>
      </c>
      <c r="DF31" s="5">
        <f t="shared" si="63"/>
        <v>919.13374</v>
      </c>
      <c r="DG31" s="35">
        <f t="shared" si="64"/>
        <v>411.26585659999995</v>
      </c>
      <c r="DH31" s="5"/>
      <c r="DI31" s="5">
        <f t="shared" si="94"/>
        <v>0</v>
      </c>
      <c r="DJ31" s="5">
        <f t="shared" si="65"/>
        <v>10641.72046</v>
      </c>
      <c r="DK31" s="5">
        <f t="shared" si="66"/>
        <v>10641.72046</v>
      </c>
      <c r="DL31" s="35">
        <f t="shared" si="67"/>
        <v>4761.6316214</v>
      </c>
      <c r="DM31" s="5"/>
      <c r="DN31" s="5">
        <f t="shared" si="95"/>
        <v>0</v>
      </c>
      <c r="DO31" s="5">
        <f t="shared" si="68"/>
        <v>391.83144</v>
      </c>
      <c r="DP31" s="36">
        <f t="shared" si="69"/>
        <v>391.83144</v>
      </c>
      <c r="DQ31" s="35">
        <f t="shared" si="70"/>
        <v>175.3247496</v>
      </c>
      <c r="DR31" s="5"/>
      <c r="DS31" s="5">
        <f t="shared" si="96"/>
        <v>0</v>
      </c>
      <c r="DT31" s="36">
        <f t="shared" si="71"/>
        <v>346.84846000000005</v>
      </c>
      <c r="DU31" s="36">
        <f t="shared" si="72"/>
        <v>346.84846000000005</v>
      </c>
      <c r="DV31" s="35">
        <f t="shared" si="73"/>
        <v>155.19714140000002</v>
      </c>
    </row>
    <row r="32" spans="1:126" ht="12.75">
      <c r="A32" s="37">
        <v>46661</v>
      </c>
      <c r="C32" s="3"/>
      <c r="D32" s="3">
        <v>326200</v>
      </c>
      <c r="E32" s="35">
        <f t="shared" si="0"/>
        <v>326200</v>
      </c>
      <c r="F32" s="35">
        <f>'2011A'!F32</f>
        <v>145958</v>
      </c>
      <c r="H32" s="47"/>
      <c r="I32" s="36">
        <f t="shared" si="1"/>
        <v>49165.5164</v>
      </c>
      <c r="J32" s="36">
        <f t="shared" si="2"/>
        <v>49165.5164</v>
      </c>
      <c r="K32" s="36">
        <f t="shared" si="3"/>
        <v>21999.081675999998</v>
      </c>
      <c r="M32" s="5"/>
      <c r="N32" s="5">
        <f t="shared" si="4"/>
        <v>20437.865279999998</v>
      </c>
      <c r="O32" s="5">
        <f t="shared" si="5"/>
        <v>20437.865279999998</v>
      </c>
      <c r="P32" s="35">
        <f t="shared" si="6"/>
        <v>9144.9109152</v>
      </c>
      <c r="R32" s="5"/>
      <c r="S32" s="36">
        <f t="shared" si="7"/>
        <v>9.03574</v>
      </c>
      <c r="T32" s="36">
        <f t="shared" si="8"/>
        <v>9.03574</v>
      </c>
      <c r="U32" s="35">
        <f t="shared" si="9"/>
        <v>4.0430366</v>
      </c>
      <c r="W32" s="5"/>
      <c r="X32" s="5">
        <f t="shared" si="10"/>
        <v>404.58585999999997</v>
      </c>
      <c r="Y32" s="5">
        <f t="shared" si="97"/>
        <v>404.58585999999997</v>
      </c>
      <c r="Z32" s="35">
        <f t="shared" si="12"/>
        <v>181.0317074</v>
      </c>
      <c r="AB32" s="5"/>
      <c r="AC32" s="5">
        <f t="shared" si="13"/>
        <v>243.63878</v>
      </c>
      <c r="AD32" s="5">
        <f t="shared" si="14"/>
        <v>243.63878</v>
      </c>
      <c r="AE32" s="35">
        <f t="shared" si="15"/>
        <v>109.0160302</v>
      </c>
      <c r="AG32" s="5"/>
      <c r="AH32" s="5">
        <f t="shared" si="16"/>
        <v>1810.7362</v>
      </c>
      <c r="AI32" s="5">
        <f t="shared" si="17"/>
        <v>1810.7362</v>
      </c>
      <c r="AJ32" s="35">
        <f t="shared" si="18"/>
        <v>810.2128580000001</v>
      </c>
      <c r="AL32" s="5"/>
      <c r="AM32" s="5">
        <f t="shared" si="19"/>
        <v>561.12924</v>
      </c>
      <c r="AN32" s="5">
        <f t="shared" si="20"/>
        <v>561.12924</v>
      </c>
      <c r="AO32" s="35">
        <f t="shared" si="21"/>
        <v>251.0769516</v>
      </c>
      <c r="AQ32" s="5"/>
      <c r="AR32" s="5">
        <f t="shared" si="22"/>
        <v>1056.43132</v>
      </c>
      <c r="AS32" s="5">
        <f t="shared" si="23"/>
        <v>1056.43132</v>
      </c>
      <c r="AT32" s="35">
        <f t="shared" si="24"/>
        <v>472.6995788</v>
      </c>
      <c r="AV32" s="5"/>
      <c r="AW32" s="5">
        <f t="shared" si="25"/>
        <v>223.70795999999999</v>
      </c>
      <c r="AX32" s="5">
        <f t="shared" si="26"/>
        <v>223.70795999999999</v>
      </c>
      <c r="AY32" s="35">
        <f t="shared" si="27"/>
        <v>100.0979964</v>
      </c>
      <c r="BA32" s="5"/>
      <c r="BB32" s="5">
        <f t="shared" si="28"/>
        <v>3988.87146</v>
      </c>
      <c r="BC32" s="5">
        <f t="shared" si="29"/>
        <v>3988.87146</v>
      </c>
      <c r="BD32" s="35">
        <f t="shared" si="30"/>
        <v>1784.8182113999999</v>
      </c>
      <c r="BF32" s="36"/>
      <c r="BG32" s="5">
        <f t="shared" si="31"/>
        <v>1846.87916</v>
      </c>
      <c r="BH32" s="36">
        <f t="shared" si="32"/>
        <v>1846.87916</v>
      </c>
      <c r="BI32" s="35">
        <f t="shared" si="33"/>
        <v>826.3850044</v>
      </c>
      <c r="BK32" s="5"/>
      <c r="BL32" s="5">
        <f t="shared" si="34"/>
        <v>884.5239200000001</v>
      </c>
      <c r="BM32" s="5">
        <f t="shared" si="35"/>
        <v>884.5239200000001</v>
      </c>
      <c r="BN32" s="35">
        <f t="shared" si="36"/>
        <v>395.7797128</v>
      </c>
      <c r="BP32" s="5">
        <f t="shared" si="37"/>
        <v>0</v>
      </c>
      <c r="BQ32" s="5">
        <f t="shared" si="38"/>
        <v>130.51262</v>
      </c>
      <c r="BR32" s="5">
        <f t="shared" si="39"/>
        <v>130.51262</v>
      </c>
      <c r="BS32" s="35">
        <f t="shared" si="40"/>
        <v>58.397795800000004</v>
      </c>
      <c r="BU32" s="5"/>
      <c r="BV32" s="5">
        <f t="shared" si="41"/>
        <v>578.64618</v>
      </c>
      <c r="BW32" s="5">
        <f t="shared" si="42"/>
        <v>578.64618</v>
      </c>
      <c r="BX32" s="35">
        <f t="shared" si="43"/>
        <v>258.9148962</v>
      </c>
      <c r="BZ32" s="5"/>
      <c r="CA32" s="5">
        <f t="shared" si="44"/>
        <v>79.69066</v>
      </c>
      <c r="CB32" s="5">
        <f t="shared" si="45"/>
        <v>79.69066</v>
      </c>
      <c r="CC32" s="35">
        <f t="shared" si="46"/>
        <v>35.6575394</v>
      </c>
      <c r="CE32" s="5"/>
      <c r="CF32" s="5">
        <f t="shared" si="47"/>
        <v>1662.44568</v>
      </c>
      <c r="CG32" s="5">
        <f t="shared" si="48"/>
        <v>1662.44568</v>
      </c>
      <c r="CH32" s="35">
        <f t="shared" si="49"/>
        <v>743.8603512</v>
      </c>
      <c r="CJ32" s="5"/>
      <c r="CK32" s="5">
        <f t="shared" si="50"/>
        <v>322.02464</v>
      </c>
      <c r="CL32" s="5">
        <f t="shared" si="51"/>
        <v>322.02464</v>
      </c>
      <c r="CM32" s="35">
        <f t="shared" si="52"/>
        <v>144.08973759999998</v>
      </c>
      <c r="CO32" s="5"/>
      <c r="CP32" s="5">
        <f t="shared" si="53"/>
        <v>426.04981999999995</v>
      </c>
      <c r="CQ32" s="36">
        <f t="shared" si="54"/>
        <v>426.04981999999995</v>
      </c>
      <c r="CR32" s="35">
        <f t="shared" si="55"/>
        <v>190.6357438</v>
      </c>
      <c r="CT32" s="5"/>
      <c r="CU32" s="5">
        <f t="shared" si="56"/>
        <v>1384.9799600000001</v>
      </c>
      <c r="CV32" s="36">
        <f t="shared" si="57"/>
        <v>1384.9799600000001</v>
      </c>
      <c r="CW32" s="35">
        <f t="shared" si="58"/>
        <v>619.7084764</v>
      </c>
      <c r="CZ32" s="5">
        <f t="shared" si="59"/>
        <v>814.22782</v>
      </c>
      <c r="DA32" s="5">
        <f t="shared" si="60"/>
        <v>814.22782</v>
      </c>
      <c r="DB32" s="35">
        <f t="shared" si="61"/>
        <v>364.32576379999995</v>
      </c>
      <c r="DE32" s="5">
        <f t="shared" si="62"/>
        <v>919.13374</v>
      </c>
      <c r="DF32" s="5">
        <f t="shared" si="63"/>
        <v>919.13374</v>
      </c>
      <c r="DG32" s="35">
        <f t="shared" si="64"/>
        <v>411.26585659999995</v>
      </c>
      <c r="DJ32" s="5">
        <f t="shared" si="65"/>
        <v>10641.72046</v>
      </c>
      <c r="DK32" s="5">
        <f t="shared" si="66"/>
        <v>10641.72046</v>
      </c>
      <c r="DL32" s="35">
        <f t="shared" si="67"/>
        <v>4761.6316214</v>
      </c>
      <c r="DO32" s="5">
        <f t="shared" si="68"/>
        <v>391.83144</v>
      </c>
      <c r="DP32" s="36">
        <f t="shared" si="69"/>
        <v>391.83144</v>
      </c>
      <c r="DQ32" s="35">
        <f t="shared" si="70"/>
        <v>175.3247496</v>
      </c>
      <c r="DT32" s="36">
        <f t="shared" si="71"/>
        <v>346.84846000000005</v>
      </c>
      <c r="DU32" s="36">
        <f t="shared" si="72"/>
        <v>346.84846000000005</v>
      </c>
      <c r="DV32" s="35">
        <f t="shared" si="73"/>
        <v>155.19714140000002</v>
      </c>
    </row>
    <row r="33" spans="1:126" ht="12.75">
      <c r="A33" s="37">
        <v>46844</v>
      </c>
      <c r="C33" s="3">
        <v>0</v>
      </c>
      <c r="D33" s="3">
        <v>326200</v>
      </c>
      <c r="E33" s="35">
        <f t="shared" si="0"/>
        <v>326200</v>
      </c>
      <c r="F33" s="35">
        <f>'2011A'!F33</f>
        <v>145958</v>
      </c>
      <c r="H33" s="47">
        <f t="shared" si="74"/>
        <v>0</v>
      </c>
      <c r="I33" s="36">
        <f t="shared" si="1"/>
        <v>49165.5164</v>
      </c>
      <c r="J33" s="36">
        <f t="shared" si="2"/>
        <v>49165.5164</v>
      </c>
      <c r="K33" s="36">
        <f t="shared" si="3"/>
        <v>21999.081675999998</v>
      </c>
      <c r="M33" s="5">
        <f t="shared" si="75"/>
        <v>0</v>
      </c>
      <c r="N33" s="5">
        <f t="shared" si="4"/>
        <v>20437.865279999998</v>
      </c>
      <c r="O33" s="5">
        <f t="shared" si="5"/>
        <v>20437.865279999998</v>
      </c>
      <c r="P33" s="35">
        <f t="shared" si="6"/>
        <v>9144.9109152</v>
      </c>
      <c r="R33" s="5">
        <f t="shared" si="76"/>
        <v>0</v>
      </c>
      <c r="S33" s="36">
        <f t="shared" si="7"/>
        <v>9.03574</v>
      </c>
      <c r="T33" s="36">
        <f t="shared" si="8"/>
        <v>9.03574</v>
      </c>
      <c r="U33" s="35">
        <f t="shared" si="9"/>
        <v>4.0430366</v>
      </c>
      <c r="W33" s="5">
        <f t="shared" si="77"/>
        <v>0</v>
      </c>
      <c r="X33" s="5">
        <f t="shared" si="10"/>
        <v>404.58585999999997</v>
      </c>
      <c r="Y33" s="5">
        <f t="shared" si="97"/>
        <v>404.58585999999997</v>
      </c>
      <c r="Z33" s="35">
        <f t="shared" si="12"/>
        <v>181.0317074</v>
      </c>
      <c r="AB33" s="5">
        <f t="shared" si="78"/>
        <v>0</v>
      </c>
      <c r="AC33" s="5">
        <f t="shared" si="13"/>
        <v>243.63878</v>
      </c>
      <c r="AD33" s="5">
        <f t="shared" si="14"/>
        <v>243.63878</v>
      </c>
      <c r="AE33" s="35">
        <f t="shared" si="15"/>
        <v>109.0160302</v>
      </c>
      <c r="AG33" s="5">
        <f t="shared" si="79"/>
        <v>0</v>
      </c>
      <c r="AH33" s="5">
        <f t="shared" si="16"/>
        <v>1810.7362</v>
      </c>
      <c r="AI33" s="5">
        <f t="shared" si="17"/>
        <v>1810.7362</v>
      </c>
      <c r="AJ33" s="35">
        <f t="shared" si="18"/>
        <v>810.2128580000001</v>
      </c>
      <c r="AL33" s="5">
        <f t="shared" si="80"/>
        <v>0</v>
      </c>
      <c r="AM33" s="5">
        <f t="shared" si="19"/>
        <v>561.12924</v>
      </c>
      <c r="AN33" s="5">
        <f t="shared" si="20"/>
        <v>561.12924</v>
      </c>
      <c r="AO33" s="35">
        <f t="shared" si="21"/>
        <v>251.0769516</v>
      </c>
      <c r="AQ33" s="5">
        <f t="shared" si="81"/>
        <v>0</v>
      </c>
      <c r="AR33" s="5">
        <f t="shared" si="22"/>
        <v>1056.43132</v>
      </c>
      <c r="AS33" s="5">
        <f t="shared" si="23"/>
        <v>1056.43132</v>
      </c>
      <c r="AT33" s="35">
        <f t="shared" si="24"/>
        <v>472.6995788</v>
      </c>
      <c r="AV33" s="5">
        <f t="shared" si="82"/>
        <v>0</v>
      </c>
      <c r="AW33" s="5">
        <f t="shared" si="25"/>
        <v>223.70795999999999</v>
      </c>
      <c r="AX33" s="5">
        <f t="shared" si="26"/>
        <v>223.70795999999999</v>
      </c>
      <c r="AY33" s="35">
        <f t="shared" si="27"/>
        <v>100.0979964</v>
      </c>
      <c r="BA33" s="5">
        <f t="shared" si="83"/>
        <v>0</v>
      </c>
      <c r="BB33" s="5">
        <f t="shared" si="28"/>
        <v>3988.87146</v>
      </c>
      <c r="BC33" s="5">
        <f t="shared" si="29"/>
        <v>3988.87146</v>
      </c>
      <c r="BD33" s="35">
        <f t="shared" si="30"/>
        <v>1784.8182113999999</v>
      </c>
      <c r="BF33" s="36">
        <f t="shared" si="84"/>
        <v>0</v>
      </c>
      <c r="BG33" s="5">
        <f t="shared" si="31"/>
        <v>1846.87916</v>
      </c>
      <c r="BH33" s="36">
        <f t="shared" si="32"/>
        <v>1846.87916</v>
      </c>
      <c r="BI33" s="35">
        <f t="shared" si="33"/>
        <v>826.3850044</v>
      </c>
      <c r="BK33" s="5">
        <f t="shared" si="85"/>
        <v>0</v>
      </c>
      <c r="BL33" s="5">
        <f t="shared" si="34"/>
        <v>884.5239200000001</v>
      </c>
      <c r="BM33" s="5">
        <f t="shared" si="35"/>
        <v>884.5239200000001</v>
      </c>
      <c r="BN33" s="35">
        <f t="shared" si="36"/>
        <v>395.7797128</v>
      </c>
      <c r="BP33" s="5">
        <f t="shared" si="37"/>
        <v>0</v>
      </c>
      <c r="BQ33" s="5">
        <f t="shared" si="38"/>
        <v>130.51262</v>
      </c>
      <c r="BR33" s="5">
        <f t="shared" si="39"/>
        <v>130.51262</v>
      </c>
      <c r="BS33" s="35">
        <f t="shared" si="40"/>
        <v>58.397795800000004</v>
      </c>
      <c r="BU33" s="5">
        <f t="shared" si="86"/>
        <v>0</v>
      </c>
      <c r="BV33" s="5">
        <f t="shared" si="41"/>
        <v>578.64618</v>
      </c>
      <c r="BW33" s="5">
        <f t="shared" si="42"/>
        <v>578.64618</v>
      </c>
      <c r="BX33" s="35">
        <f t="shared" si="43"/>
        <v>258.9148962</v>
      </c>
      <c r="BZ33" s="5">
        <f t="shared" si="87"/>
        <v>0</v>
      </c>
      <c r="CA33" s="5">
        <f t="shared" si="44"/>
        <v>79.69066</v>
      </c>
      <c r="CB33" s="5">
        <f t="shared" si="45"/>
        <v>79.69066</v>
      </c>
      <c r="CC33" s="35">
        <f t="shared" si="46"/>
        <v>35.6575394</v>
      </c>
      <c r="CE33" s="5">
        <f t="shared" si="88"/>
        <v>0</v>
      </c>
      <c r="CF33" s="5">
        <f t="shared" si="47"/>
        <v>1662.44568</v>
      </c>
      <c r="CG33" s="5">
        <f t="shared" si="48"/>
        <v>1662.44568</v>
      </c>
      <c r="CH33" s="35">
        <f t="shared" si="49"/>
        <v>743.8603512</v>
      </c>
      <c r="CJ33" s="5">
        <f t="shared" si="89"/>
        <v>0</v>
      </c>
      <c r="CK33" s="5">
        <f t="shared" si="50"/>
        <v>322.02464</v>
      </c>
      <c r="CL33" s="5">
        <f t="shared" si="51"/>
        <v>322.02464</v>
      </c>
      <c r="CM33" s="35">
        <f t="shared" si="52"/>
        <v>144.08973759999998</v>
      </c>
      <c r="CO33" s="5">
        <f t="shared" si="90"/>
        <v>0</v>
      </c>
      <c r="CP33" s="5">
        <f t="shared" si="53"/>
        <v>426.04981999999995</v>
      </c>
      <c r="CQ33" s="36">
        <f t="shared" si="54"/>
        <v>426.04981999999995</v>
      </c>
      <c r="CR33" s="35">
        <f t="shared" si="55"/>
        <v>190.6357438</v>
      </c>
      <c r="CT33" s="5">
        <f t="shared" si="91"/>
        <v>0</v>
      </c>
      <c r="CU33" s="5">
        <f t="shared" si="56"/>
        <v>1384.9799600000001</v>
      </c>
      <c r="CV33" s="36">
        <f t="shared" si="57"/>
        <v>1384.9799600000001</v>
      </c>
      <c r="CW33" s="35">
        <f t="shared" si="58"/>
        <v>619.7084764</v>
      </c>
      <c r="CX33" s="5"/>
      <c r="CY33" s="5">
        <f t="shared" si="92"/>
        <v>0</v>
      </c>
      <c r="CZ33" s="5">
        <f t="shared" si="59"/>
        <v>814.22782</v>
      </c>
      <c r="DA33" s="5">
        <f t="shared" si="60"/>
        <v>814.22782</v>
      </c>
      <c r="DB33" s="35">
        <f t="shared" si="61"/>
        <v>364.32576379999995</v>
      </c>
      <c r="DC33" s="5"/>
      <c r="DD33" s="5">
        <f t="shared" si="93"/>
        <v>0</v>
      </c>
      <c r="DE33" s="5">
        <f t="shared" si="62"/>
        <v>919.13374</v>
      </c>
      <c r="DF33" s="5">
        <f t="shared" si="63"/>
        <v>919.13374</v>
      </c>
      <c r="DG33" s="35">
        <f t="shared" si="64"/>
        <v>411.26585659999995</v>
      </c>
      <c r="DH33" s="5"/>
      <c r="DI33" s="5">
        <f t="shared" si="94"/>
        <v>0</v>
      </c>
      <c r="DJ33" s="5">
        <f t="shared" si="65"/>
        <v>10641.72046</v>
      </c>
      <c r="DK33" s="5">
        <f t="shared" si="66"/>
        <v>10641.72046</v>
      </c>
      <c r="DL33" s="35">
        <f t="shared" si="67"/>
        <v>4761.6316214</v>
      </c>
      <c r="DM33" s="5"/>
      <c r="DN33" s="5">
        <f t="shared" si="95"/>
        <v>0</v>
      </c>
      <c r="DO33" s="5">
        <f t="shared" si="68"/>
        <v>391.83144</v>
      </c>
      <c r="DP33" s="36">
        <f t="shared" si="69"/>
        <v>391.83144</v>
      </c>
      <c r="DQ33" s="35">
        <f t="shared" si="70"/>
        <v>175.3247496</v>
      </c>
      <c r="DR33" s="5"/>
      <c r="DS33" s="5">
        <f t="shared" si="96"/>
        <v>0</v>
      </c>
      <c r="DT33" s="36">
        <f t="shared" si="71"/>
        <v>346.84846000000005</v>
      </c>
      <c r="DU33" s="36">
        <f t="shared" si="72"/>
        <v>346.84846000000005</v>
      </c>
      <c r="DV33" s="35">
        <f t="shared" si="73"/>
        <v>155.19714140000002</v>
      </c>
    </row>
    <row r="34" spans="1:126" ht="12.75">
      <c r="A34" s="37">
        <v>47027</v>
      </c>
      <c r="C34" s="3"/>
      <c r="D34" s="3">
        <v>326200</v>
      </c>
      <c r="E34" s="35">
        <f t="shared" si="0"/>
        <v>326200</v>
      </c>
      <c r="F34" s="35">
        <f>'2011A'!F34</f>
        <v>145958</v>
      </c>
      <c r="H34" s="47"/>
      <c r="I34" s="36">
        <f t="shared" si="1"/>
        <v>49165.5164</v>
      </c>
      <c r="J34" s="36">
        <f t="shared" si="2"/>
        <v>49165.5164</v>
      </c>
      <c r="K34" s="36">
        <f t="shared" si="3"/>
        <v>21999.081675999998</v>
      </c>
      <c r="M34" s="5"/>
      <c r="N34" s="5">
        <f t="shared" si="4"/>
        <v>20437.865279999998</v>
      </c>
      <c r="O34" s="5">
        <f t="shared" si="5"/>
        <v>20437.865279999998</v>
      </c>
      <c r="P34" s="35">
        <f t="shared" si="6"/>
        <v>9144.9109152</v>
      </c>
      <c r="R34" s="5"/>
      <c r="S34" s="36">
        <f t="shared" si="7"/>
        <v>9.03574</v>
      </c>
      <c r="T34" s="36">
        <f t="shared" si="8"/>
        <v>9.03574</v>
      </c>
      <c r="U34" s="35">
        <f t="shared" si="9"/>
        <v>4.0430366</v>
      </c>
      <c r="W34" s="5"/>
      <c r="X34" s="5">
        <f t="shared" si="10"/>
        <v>404.58585999999997</v>
      </c>
      <c r="Y34" s="5">
        <f t="shared" si="97"/>
        <v>404.58585999999997</v>
      </c>
      <c r="Z34" s="35">
        <f t="shared" si="12"/>
        <v>181.0317074</v>
      </c>
      <c r="AB34" s="5"/>
      <c r="AC34" s="5">
        <f t="shared" si="13"/>
        <v>243.63878</v>
      </c>
      <c r="AD34" s="5">
        <f t="shared" si="14"/>
        <v>243.63878</v>
      </c>
      <c r="AE34" s="35">
        <f t="shared" si="15"/>
        <v>109.0160302</v>
      </c>
      <c r="AG34" s="5"/>
      <c r="AH34" s="5">
        <f t="shared" si="16"/>
        <v>1810.7362</v>
      </c>
      <c r="AI34" s="5">
        <f t="shared" si="17"/>
        <v>1810.7362</v>
      </c>
      <c r="AJ34" s="35">
        <f t="shared" si="18"/>
        <v>810.2128580000001</v>
      </c>
      <c r="AL34" s="5"/>
      <c r="AM34" s="5">
        <f t="shared" si="19"/>
        <v>561.12924</v>
      </c>
      <c r="AN34" s="5">
        <f t="shared" si="20"/>
        <v>561.12924</v>
      </c>
      <c r="AO34" s="35">
        <f t="shared" si="21"/>
        <v>251.0769516</v>
      </c>
      <c r="AQ34" s="5"/>
      <c r="AR34" s="5">
        <f t="shared" si="22"/>
        <v>1056.43132</v>
      </c>
      <c r="AS34" s="5">
        <f t="shared" si="23"/>
        <v>1056.43132</v>
      </c>
      <c r="AT34" s="35">
        <f t="shared" si="24"/>
        <v>472.6995788</v>
      </c>
      <c r="AV34" s="5"/>
      <c r="AW34" s="5">
        <f t="shared" si="25"/>
        <v>223.70795999999999</v>
      </c>
      <c r="AX34" s="5">
        <f t="shared" si="26"/>
        <v>223.70795999999999</v>
      </c>
      <c r="AY34" s="35">
        <f t="shared" si="27"/>
        <v>100.0979964</v>
      </c>
      <c r="BA34" s="5"/>
      <c r="BB34" s="5">
        <f t="shared" si="28"/>
        <v>3988.87146</v>
      </c>
      <c r="BC34" s="5">
        <f t="shared" si="29"/>
        <v>3988.87146</v>
      </c>
      <c r="BD34" s="35">
        <f t="shared" si="30"/>
        <v>1784.8182113999999</v>
      </c>
      <c r="BF34" s="36"/>
      <c r="BG34" s="5">
        <f t="shared" si="31"/>
        <v>1846.87916</v>
      </c>
      <c r="BH34" s="36">
        <f t="shared" si="32"/>
        <v>1846.87916</v>
      </c>
      <c r="BI34" s="35">
        <f t="shared" si="33"/>
        <v>826.3850044</v>
      </c>
      <c r="BK34" s="5"/>
      <c r="BL34" s="5">
        <f t="shared" si="34"/>
        <v>884.5239200000001</v>
      </c>
      <c r="BM34" s="5">
        <f t="shared" si="35"/>
        <v>884.5239200000001</v>
      </c>
      <c r="BN34" s="35">
        <f t="shared" si="36"/>
        <v>395.7797128</v>
      </c>
      <c r="BP34" s="5">
        <f t="shared" si="37"/>
        <v>0</v>
      </c>
      <c r="BQ34" s="5">
        <f t="shared" si="38"/>
        <v>130.51262</v>
      </c>
      <c r="BR34" s="5">
        <f t="shared" si="39"/>
        <v>130.51262</v>
      </c>
      <c r="BS34" s="35">
        <f t="shared" si="40"/>
        <v>58.397795800000004</v>
      </c>
      <c r="BU34" s="5"/>
      <c r="BV34" s="5">
        <f t="shared" si="41"/>
        <v>578.64618</v>
      </c>
      <c r="BW34" s="5">
        <f t="shared" si="42"/>
        <v>578.64618</v>
      </c>
      <c r="BX34" s="35">
        <f t="shared" si="43"/>
        <v>258.9148962</v>
      </c>
      <c r="BZ34" s="5"/>
      <c r="CA34" s="5">
        <f t="shared" si="44"/>
        <v>79.69066</v>
      </c>
      <c r="CB34" s="5">
        <f t="shared" si="45"/>
        <v>79.69066</v>
      </c>
      <c r="CC34" s="35">
        <f t="shared" si="46"/>
        <v>35.6575394</v>
      </c>
      <c r="CE34" s="5"/>
      <c r="CF34" s="5">
        <f t="shared" si="47"/>
        <v>1662.44568</v>
      </c>
      <c r="CG34" s="5">
        <f t="shared" si="48"/>
        <v>1662.44568</v>
      </c>
      <c r="CH34" s="35">
        <f t="shared" si="49"/>
        <v>743.8603512</v>
      </c>
      <c r="CJ34" s="5"/>
      <c r="CK34" s="5">
        <f t="shared" si="50"/>
        <v>322.02464</v>
      </c>
      <c r="CL34" s="5">
        <f t="shared" si="51"/>
        <v>322.02464</v>
      </c>
      <c r="CM34" s="35">
        <f t="shared" si="52"/>
        <v>144.08973759999998</v>
      </c>
      <c r="CO34" s="5"/>
      <c r="CP34" s="5">
        <f t="shared" si="53"/>
        <v>426.04981999999995</v>
      </c>
      <c r="CQ34" s="36">
        <f t="shared" si="54"/>
        <v>426.04981999999995</v>
      </c>
      <c r="CR34" s="35">
        <f t="shared" si="55"/>
        <v>190.6357438</v>
      </c>
      <c r="CT34" s="5"/>
      <c r="CU34" s="5">
        <f t="shared" si="56"/>
        <v>1384.9799600000001</v>
      </c>
      <c r="CV34" s="36">
        <f t="shared" si="57"/>
        <v>1384.9799600000001</v>
      </c>
      <c r="CW34" s="35">
        <f t="shared" si="58"/>
        <v>619.7084764</v>
      </c>
      <c r="CZ34" s="5">
        <f t="shared" si="59"/>
        <v>814.22782</v>
      </c>
      <c r="DA34" s="5">
        <f t="shared" si="60"/>
        <v>814.22782</v>
      </c>
      <c r="DB34" s="35">
        <f t="shared" si="61"/>
        <v>364.32576379999995</v>
      </c>
      <c r="DE34" s="5">
        <f t="shared" si="62"/>
        <v>919.13374</v>
      </c>
      <c r="DF34" s="5">
        <f t="shared" si="63"/>
        <v>919.13374</v>
      </c>
      <c r="DG34" s="35">
        <f t="shared" si="64"/>
        <v>411.26585659999995</v>
      </c>
      <c r="DJ34" s="5">
        <f t="shared" si="65"/>
        <v>10641.72046</v>
      </c>
      <c r="DK34" s="5">
        <f t="shared" si="66"/>
        <v>10641.72046</v>
      </c>
      <c r="DL34" s="35">
        <f t="shared" si="67"/>
        <v>4761.6316214</v>
      </c>
      <c r="DO34" s="5">
        <f t="shared" si="68"/>
        <v>391.83144</v>
      </c>
      <c r="DP34" s="36">
        <f t="shared" si="69"/>
        <v>391.83144</v>
      </c>
      <c r="DQ34" s="35">
        <f t="shared" si="70"/>
        <v>175.3247496</v>
      </c>
      <c r="DT34" s="36">
        <f t="shared" si="71"/>
        <v>346.84846000000005</v>
      </c>
      <c r="DU34" s="36">
        <f t="shared" si="72"/>
        <v>346.84846000000005</v>
      </c>
      <c r="DV34" s="35">
        <f t="shared" si="73"/>
        <v>155.19714140000002</v>
      </c>
    </row>
    <row r="35" spans="1:126" ht="12.75">
      <c r="A35" s="37">
        <v>47209</v>
      </c>
      <c r="C35" s="3">
        <v>7795000</v>
      </c>
      <c r="D35" s="3">
        <v>326200</v>
      </c>
      <c r="E35" s="35">
        <f t="shared" si="0"/>
        <v>8121200</v>
      </c>
      <c r="F35" s="35">
        <f>'2011A'!F35</f>
        <v>145958</v>
      </c>
      <c r="H35" s="47">
        <f t="shared" si="74"/>
        <v>1174877.99</v>
      </c>
      <c r="I35" s="36">
        <f t="shared" si="1"/>
        <v>49165.5164</v>
      </c>
      <c r="J35" s="36">
        <f t="shared" si="2"/>
        <v>1224043.5064</v>
      </c>
      <c r="K35" s="36">
        <f t="shared" si="3"/>
        <v>21999.081675999998</v>
      </c>
      <c r="M35" s="5">
        <f t="shared" si="75"/>
        <v>488391.048</v>
      </c>
      <c r="N35" s="5">
        <f t="shared" si="4"/>
        <v>20437.865279999998</v>
      </c>
      <c r="O35" s="5">
        <f t="shared" si="5"/>
        <v>508828.91328</v>
      </c>
      <c r="P35" s="35">
        <f t="shared" si="6"/>
        <v>9144.9109152</v>
      </c>
      <c r="R35" s="5">
        <f t="shared" si="76"/>
        <v>215.92149999999998</v>
      </c>
      <c r="S35" s="36">
        <f t="shared" si="7"/>
        <v>9.03574</v>
      </c>
      <c r="T35" s="36">
        <f t="shared" si="8"/>
        <v>224.95723999999998</v>
      </c>
      <c r="U35" s="35">
        <f t="shared" si="9"/>
        <v>4.0430366</v>
      </c>
      <c r="W35" s="5">
        <f t="shared" si="77"/>
        <v>9668.1385</v>
      </c>
      <c r="X35" s="5">
        <f t="shared" si="10"/>
        <v>404.58585999999997</v>
      </c>
      <c r="Y35" s="5">
        <f t="shared" si="97"/>
        <v>10072.724359999998</v>
      </c>
      <c r="Z35" s="35">
        <f t="shared" si="12"/>
        <v>181.0317074</v>
      </c>
      <c r="AB35" s="5">
        <f t="shared" si="78"/>
        <v>5822.0855</v>
      </c>
      <c r="AC35" s="5">
        <f t="shared" si="13"/>
        <v>243.63878</v>
      </c>
      <c r="AD35" s="5">
        <f t="shared" si="14"/>
        <v>6065.72428</v>
      </c>
      <c r="AE35" s="35">
        <f t="shared" si="15"/>
        <v>109.0160302</v>
      </c>
      <c r="AG35" s="5">
        <f t="shared" si="79"/>
        <v>43270.045000000006</v>
      </c>
      <c r="AH35" s="5">
        <f t="shared" si="16"/>
        <v>1810.7362</v>
      </c>
      <c r="AI35" s="5">
        <f t="shared" si="17"/>
        <v>45080.781200000005</v>
      </c>
      <c r="AJ35" s="35">
        <f t="shared" si="18"/>
        <v>810.2128580000001</v>
      </c>
      <c r="AL35" s="5">
        <f t="shared" si="80"/>
        <v>13408.959</v>
      </c>
      <c r="AM35" s="5">
        <f t="shared" si="19"/>
        <v>561.12924</v>
      </c>
      <c r="AN35" s="5">
        <f t="shared" si="20"/>
        <v>13970.088240000001</v>
      </c>
      <c r="AO35" s="35">
        <f t="shared" si="21"/>
        <v>251.0769516</v>
      </c>
      <c r="AQ35" s="5">
        <f t="shared" si="81"/>
        <v>25244.887</v>
      </c>
      <c r="AR35" s="5">
        <f t="shared" si="22"/>
        <v>1056.43132</v>
      </c>
      <c r="AS35" s="5">
        <f t="shared" si="23"/>
        <v>26301.31832</v>
      </c>
      <c r="AT35" s="35">
        <f t="shared" si="24"/>
        <v>472.6995788</v>
      </c>
      <c r="AV35" s="5">
        <f t="shared" si="82"/>
        <v>5345.811</v>
      </c>
      <c r="AW35" s="5">
        <f t="shared" si="25"/>
        <v>223.70795999999999</v>
      </c>
      <c r="AX35" s="5">
        <f t="shared" si="26"/>
        <v>5569.518959999999</v>
      </c>
      <c r="AY35" s="35">
        <f t="shared" si="27"/>
        <v>100.0979964</v>
      </c>
      <c r="BA35" s="5">
        <f t="shared" si="83"/>
        <v>95319.5985</v>
      </c>
      <c r="BB35" s="5">
        <f t="shared" si="28"/>
        <v>3988.87146</v>
      </c>
      <c r="BC35" s="5">
        <f t="shared" si="29"/>
        <v>99308.46995999999</v>
      </c>
      <c r="BD35" s="35">
        <f t="shared" si="30"/>
        <v>1784.8182113999999</v>
      </c>
      <c r="BF35" s="36">
        <f t="shared" si="84"/>
        <v>44133.731</v>
      </c>
      <c r="BG35" s="5">
        <f t="shared" si="31"/>
        <v>1846.87916</v>
      </c>
      <c r="BH35" s="36">
        <f t="shared" si="32"/>
        <v>45980.61016</v>
      </c>
      <c r="BI35" s="35">
        <f t="shared" si="33"/>
        <v>826.3850044</v>
      </c>
      <c r="BK35" s="5">
        <f t="shared" si="85"/>
        <v>21136.922000000002</v>
      </c>
      <c r="BL35" s="5">
        <f t="shared" si="34"/>
        <v>884.5239200000001</v>
      </c>
      <c r="BM35" s="5">
        <f t="shared" si="35"/>
        <v>22021.445920000002</v>
      </c>
      <c r="BN35" s="35">
        <f t="shared" si="36"/>
        <v>395.7797128</v>
      </c>
      <c r="BP35" s="5">
        <f t="shared" si="37"/>
        <v>3118.7795</v>
      </c>
      <c r="BQ35" s="5">
        <f t="shared" si="38"/>
        <v>130.51262</v>
      </c>
      <c r="BR35" s="5">
        <f t="shared" si="39"/>
        <v>3249.29212</v>
      </c>
      <c r="BS35" s="35">
        <f t="shared" si="40"/>
        <v>58.397795800000004</v>
      </c>
      <c r="BU35" s="5">
        <f t="shared" si="86"/>
        <v>13827.5505</v>
      </c>
      <c r="BV35" s="5">
        <f t="shared" si="41"/>
        <v>578.64618</v>
      </c>
      <c r="BW35" s="5">
        <f t="shared" si="42"/>
        <v>14406.19668</v>
      </c>
      <c r="BX35" s="35">
        <f t="shared" si="43"/>
        <v>258.9148962</v>
      </c>
      <c r="BZ35" s="5">
        <f t="shared" si="87"/>
        <v>1904.3184999999999</v>
      </c>
      <c r="CA35" s="5">
        <f t="shared" si="44"/>
        <v>79.69066</v>
      </c>
      <c r="CB35" s="5">
        <f t="shared" si="45"/>
        <v>1984.0091599999998</v>
      </c>
      <c r="CC35" s="35">
        <f t="shared" si="46"/>
        <v>35.6575394</v>
      </c>
      <c r="CE35" s="5">
        <f t="shared" si="88"/>
        <v>39726.438</v>
      </c>
      <c r="CF35" s="5">
        <f t="shared" si="47"/>
        <v>1662.44568</v>
      </c>
      <c r="CG35" s="5">
        <f t="shared" si="48"/>
        <v>41388.88368</v>
      </c>
      <c r="CH35" s="35">
        <f t="shared" si="49"/>
        <v>743.8603512</v>
      </c>
      <c r="CJ35" s="5">
        <f t="shared" si="89"/>
        <v>7695.223999999999</v>
      </c>
      <c r="CK35" s="5">
        <f t="shared" si="50"/>
        <v>322.02464</v>
      </c>
      <c r="CL35" s="5">
        <f t="shared" si="51"/>
        <v>8017.248639999999</v>
      </c>
      <c r="CM35" s="35">
        <f t="shared" si="52"/>
        <v>144.08973759999998</v>
      </c>
      <c r="CO35" s="5">
        <f t="shared" si="90"/>
        <v>10181.0495</v>
      </c>
      <c r="CP35" s="5">
        <f t="shared" si="53"/>
        <v>426.04981999999995</v>
      </c>
      <c r="CQ35" s="36">
        <f t="shared" si="54"/>
        <v>10607.09932</v>
      </c>
      <c r="CR35" s="35">
        <f t="shared" si="55"/>
        <v>190.6357438</v>
      </c>
      <c r="CT35" s="5">
        <f t="shared" si="91"/>
        <v>33096.011</v>
      </c>
      <c r="CU35" s="5">
        <f t="shared" si="56"/>
        <v>1384.9799600000001</v>
      </c>
      <c r="CV35" s="36">
        <f t="shared" si="57"/>
        <v>34480.990959999996</v>
      </c>
      <c r="CW35" s="35">
        <f t="shared" si="58"/>
        <v>619.7084764</v>
      </c>
      <c r="CX35" s="5"/>
      <c r="CY35" s="5">
        <f t="shared" si="92"/>
        <v>19457.099499999997</v>
      </c>
      <c r="CZ35" s="5">
        <f t="shared" si="59"/>
        <v>814.22782</v>
      </c>
      <c r="DA35" s="5">
        <f t="shared" si="60"/>
        <v>20271.327319999997</v>
      </c>
      <c r="DB35" s="35">
        <f t="shared" si="61"/>
        <v>364.32576379999995</v>
      </c>
      <c r="DC35" s="5"/>
      <c r="DD35" s="5">
        <f t="shared" si="93"/>
        <v>21963.9715</v>
      </c>
      <c r="DE35" s="5">
        <f t="shared" si="62"/>
        <v>919.13374</v>
      </c>
      <c r="DF35" s="5">
        <f t="shared" si="63"/>
        <v>22883.10524</v>
      </c>
      <c r="DG35" s="35">
        <f t="shared" si="64"/>
        <v>411.26585659999995</v>
      </c>
      <c r="DH35" s="5"/>
      <c r="DI35" s="5">
        <f t="shared" si="94"/>
        <v>254298.62350000002</v>
      </c>
      <c r="DJ35" s="5">
        <f t="shared" si="65"/>
        <v>10641.72046</v>
      </c>
      <c r="DK35" s="5">
        <f t="shared" si="66"/>
        <v>264940.34396</v>
      </c>
      <c r="DL35" s="35">
        <f t="shared" si="67"/>
        <v>4761.6316214</v>
      </c>
      <c r="DM35" s="5"/>
      <c r="DN35" s="5">
        <f t="shared" si="95"/>
        <v>9363.354</v>
      </c>
      <c r="DO35" s="5">
        <f t="shared" si="68"/>
        <v>391.83144</v>
      </c>
      <c r="DP35" s="36">
        <f t="shared" si="69"/>
        <v>9755.18544</v>
      </c>
      <c r="DQ35" s="35">
        <f t="shared" si="70"/>
        <v>175.3247496</v>
      </c>
      <c r="DR35" s="5"/>
      <c r="DS35" s="5">
        <f t="shared" si="96"/>
        <v>8288.4235</v>
      </c>
      <c r="DT35" s="36">
        <f t="shared" si="71"/>
        <v>346.84846000000005</v>
      </c>
      <c r="DU35" s="36">
        <f t="shared" si="72"/>
        <v>8635.27196</v>
      </c>
      <c r="DV35" s="35">
        <f t="shared" si="73"/>
        <v>155.19714140000002</v>
      </c>
    </row>
    <row r="36" spans="1:126" ht="12.75">
      <c r="A36" s="37">
        <v>47392</v>
      </c>
      <c r="C36" s="3"/>
      <c r="D36" s="3">
        <v>170300</v>
      </c>
      <c r="E36" s="35">
        <f t="shared" si="0"/>
        <v>170300</v>
      </c>
      <c r="F36" s="35">
        <f>'2011A'!F36</f>
        <v>145958</v>
      </c>
      <c r="H36" s="47"/>
      <c r="I36" s="36">
        <f t="shared" si="1"/>
        <v>25667.956599999998</v>
      </c>
      <c r="J36" s="36">
        <f t="shared" si="2"/>
        <v>25667.956599999998</v>
      </c>
      <c r="K36" s="36">
        <f t="shared" si="3"/>
        <v>21999.081675999998</v>
      </c>
      <c r="M36" s="5"/>
      <c r="N36" s="5">
        <f t="shared" si="4"/>
        <v>10670.044319999999</v>
      </c>
      <c r="O36" s="5">
        <f t="shared" si="5"/>
        <v>10670.044319999999</v>
      </c>
      <c r="P36" s="35">
        <f t="shared" si="6"/>
        <v>9144.9109152</v>
      </c>
      <c r="R36" s="5"/>
      <c r="S36" s="36">
        <f t="shared" si="7"/>
        <v>4.7173099999999994</v>
      </c>
      <c r="T36" s="36">
        <f t="shared" si="8"/>
        <v>4.7173099999999994</v>
      </c>
      <c r="U36" s="35">
        <f t="shared" si="9"/>
        <v>4.0430366</v>
      </c>
      <c r="W36" s="5"/>
      <c r="X36" s="5">
        <f t="shared" si="10"/>
        <v>211.22308999999998</v>
      </c>
      <c r="Y36" s="5">
        <f t="shared" si="97"/>
        <v>211.22308999999998</v>
      </c>
      <c r="Z36" s="35">
        <f t="shared" si="12"/>
        <v>181.0317074</v>
      </c>
      <c r="AB36" s="5"/>
      <c r="AC36" s="5">
        <f t="shared" si="13"/>
        <v>127.19707</v>
      </c>
      <c r="AD36" s="5">
        <f t="shared" si="14"/>
        <v>127.19707</v>
      </c>
      <c r="AE36" s="35">
        <f t="shared" si="15"/>
        <v>109.0160302</v>
      </c>
      <c r="AG36" s="5"/>
      <c r="AH36" s="5">
        <f t="shared" si="16"/>
        <v>945.3353000000001</v>
      </c>
      <c r="AI36" s="5">
        <f t="shared" si="17"/>
        <v>945.3353000000001</v>
      </c>
      <c r="AJ36" s="35">
        <f t="shared" si="18"/>
        <v>810.2128580000001</v>
      </c>
      <c r="AL36" s="5"/>
      <c r="AM36" s="5">
        <f t="shared" si="19"/>
        <v>292.95006</v>
      </c>
      <c r="AN36" s="5">
        <f t="shared" si="20"/>
        <v>292.95006</v>
      </c>
      <c r="AO36" s="35">
        <f t="shared" si="21"/>
        <v>251.0769516</v>
      </c>
      <c r="AQ36" s="5"/>
      <c r="AR36" s="5">
        <f t="shared" si="22"/>
        <v>551.53358</v>
      </c>
      <c r="AS36" s="5">
        <f t="shared" si="23"/>
        <v>551.53358</v>
      </c>
      <c r="AT36" s="35">
        <f t="shared" si="24"/>
        <v>472.6995788</v>
      </c>
      <c r="AV36" s="5"/>
      <c r="AW36" s="5">
        <f t="shared" si="25"/>
        <v>116.79173999999999</v>
      </c>
      <c r="AX36" s="5">
        <f t="shared" si="26"/>
        <v>116.79173999999999</v>
      </c>
      <c r="AY36" s="35">
        <f t="shared" si="27"/>
        <v>100.0979964</v>
      </c>
      <c r="BA36" s="5"/>
      <c r="BB36" s="5">
        <f t="shared" si="28"/>
        <v>2082.4794899999997</v>
      </c>
      <c r="BC36" s="5">
        <f t="shared" si="29"/>
        <v>2082.4794899999997</v>
      </c>
      <c r="BD36" s="35">
        <f t="shared" si="30"/>
        <v>1784.8182113999999</v>
      </c>
      <c r="BF36" s="36"/>
      <c r="BG36" s="5">
        <f t="shared" si="31"/>
        <v>964.20454</v>
      </c>
      <c r="BH36" s="36">
        <f t="shared" si="32"/>
        <v>964.20454</v>
      </c>
      <c r="BI36" s="35">
        <f t="shared" si="33"/>
        <v>826.3850044</v>
      </c>
      <c r="BK36" s="5"/>
      <c r="BL36" s="5">
        <f t="shared" si="34"/>
        <v>461.78548000000006</v>
      </c>
      <c r="BM36" s="5">
        <f t="shared" si="35"/>
        <v>461.78548000000006</v>
      </c>
      <c r="BN36" s="35">
        <f t="shared" si="36"/>
        <v>395.7797128</v>
      </c>
      <c r="BP36" s="5">
        <f t="shared" si="37"/>
        <v>0</v>
      </c>
      <c r="BQ36" s="5">
        <f t="shared" si="38"/>
        <v>68.13703000000001</v>
      </c>
      <c r="BR36" s="5">
        <f t="shared" si="39"/>
        <v>68.13703000000001</v>
      </c>
      <c r="BS36" s="35">
        <f t="shared" si="40"/>
        <v>58.397795800000004</v>
      </c>
      <c r="BU36" s="5"/>
      <c r="BV36" s="5">
        <f t="shared" si="41"/>
        <v>302.09517</v>
      </c>
      <c r="BW36" s="5">
        <f t="shared" si="42"/>
        <v>302.09517</v>
      </c>
      <c r="BX36" s="35">
        <f t="shared" si="43"/>
        <v>258.9148962</v>
      </c>
      <c r="BZ36" s="5"/>
      <c r="CA36" s="5">
        <f t="shared" si="44"/>
        <v>41.60429</v>
      </c>
      <c r="CB36" s="5">
        <f t="shared" si="45"/>
        <v>41.60429</v>
      </c>
      <c r="CC36" s="35">
        <f t="shared" si="46"/>
        <v>35.6575394</v>
      </c>
      <c r="CE36" s="5"/>
      <c r="CF36" s="5">
        <f t="shared" si="47"/>
        <v>867.91692</v>
      </c>
      <c r="CG36" s="5">
        <f t="shared" si="48"/>
        <v>867.91692</v>
      </c>
      <c r="CH36" s="35">
        <f t="shared" si="49"/>
        <v>743.8603512</v>
      </c>
      <c r="CJ36" s="5"/>
      <c r="CK36" s="5">
        <f t="shared" si="50"/>
        <v>168.12016</v>
      </c>
      <c r="CL36" s="5">
        <f t="shared" si="51"/>
        <v>168.12016</v>
      </c>
      <c r="CM36" s="35">
        <f t="shared" si="52"/>
        <v>144.08973759999998</v>
      </c>
      <c r="CO36" s="5"/>
      <c r="CP36" s="5">
        <f t="shared" si="53"/>
        <v>222.42882999999998</v>
      </c>
      <c r="CQ36" s="36">
        <f t="shared" si="54"/>
        <v>222.42882999999998</v>
      </c>
      <c r="CR36" s="35">
        <f t="shared" si="55"/>
        <v>190.6357438</v>
      </c>
      <c r="CT36" s="5"/>
      <c r="CU36" s="5">
        <f t="shared" si="56"/>
        <v>723.05974</v>
      </c>
      <c r="CV36" s="36">
        <f t="shared" si="57"/>
        <v>723.05974</v>
      </c>
      <c r="CW36" s="35">
        <f t="shared" si="58"/>
        <v>619.7084764</v>
      </c>
      <c r="CZ36" s="5">
        <f t="shared" si="59"/>
        <v>425.08583</v>
      </c>
      <c r="DA36" s="5">
        <f t="shared" si="60"/>
        <v>425.08583</v>
      </c>
      <c r="DB36" s="35">
        <f t="shared" si="61"/>
        <v>364.32576379999995</v>
      </c>
      <c r="DE36" s="5">
        <f t="shared" si="62"/>
        <v>479.85430999999994</v>
      </c>
      <c r="DF36" s="5">
        <f t="shared" si="63"/>
        <v>479.85430999999994</v>
      </c>
      <c r="DG36" s="35">
        <f t="shared" si="64"/>
        <v>411.26585659999995</v>
      </c>
      <c r="DJ36" s="5">
        <f t="shared" si="65"/>
        <v>5555.74799</v>
      </c>
      <c r="DK36" s="5">
        <f t="shared" si="66"/>
        <v>5555.74799</v>
      </c>
      <c r="DL36" s="35">
        <f t="shared" si="67"/>
        <v>4761.6316214</v>
      </c>
      <c r="DO36" s="5">
        <f t="shared" si="68"/>
        <v>204.56436</v>
      </c>
      <c r="DP36" s="36">
        <f t="shared" si="69"/>
        <v>204.56436</v>
      </c>
      <c r="DQ36" s="35">
        <f t="shared" si="70"/>
        <v>175.3247496</v>
      </c>
      <c r="DT36" s="36">
        <f t="shared" si="71"/>
        <v>181.07999</v>
      </c>
      <c r="DU36" s="36">
        <f t="shared" si="72"/>
        <v>181.07999</v>
      </c>
      <c r="DV36" s="35">
        <f t="shared" si="73"/>
        <v>155.19714140000002</v>
      </c>
    </row>
    <row r="37" spans="1:126" ht="12.75">
      <c r="A37" s="37">
        <v>11049</v>
      </c>
      <c r="C37" s="3">
        <v>0</v>
      </c>
      <c r="D37" s="3">
        <v>170300</v>
      </c>
      <c r="E37" s="35">
        <f t="shared" si="0"/>
        <v>170300</v>
      </c>
      <c r="F37" s="35">
        <f>'2011A'!F37</f>
        <v>145958</v>
      </c>
      <c r="H37" s="47">
        <f t="shared" si="74"/>
        <v>0</v>
      </c>
      <c r="I37" s="36">
        <f t="shared" si="1"/>
        <v>25667.956599999998</v>
      </c>
      <c r="J37" s="36">
        <f t="shared" si="2"/>
        <v>25667.956599999998</v>
      </c>
      <c r="K37" s="36">
        <f t="shared" si="3"/>
        <v>21999.081675999998</v>
      </c>
      <c r="M37" s="5">
        <f t="shared" si="75"/>
        <v>0</v>
      </c>
      <c r="N37" s="5">
        <f t="shared" si="4"/>
        <v>10670.044319999999</v>
      </c>
      <c r="O37" s="5">
        <f t="shared" si="5"/>
        <v>10670.044319999999</v>
      </c>
      <c r="P37" s="35">
        <f t="shared" si="6"/>
        <v>9144.9109152</v>
      </c>
      <c r="R37" s="5">
        <f t="shared" si="76"/>
        <v>0</v>
      </c>
      <c r="S37" s="36">
        <f t="shared" si="7"/>
        <v>4.7173099999999994</v>
      </c>
      <c r="T37" s="36">
        <f t="shared" si="8"/>
        <v>4.7173099999999994</v>
      </c>
      <c r="U37" s="35">
        <f t="shared" si="9"/>
        <v>4.0430366</v>
      </c>
      <c r="W37" s="5">
        <f t="shared" si="77"/>
        <v>0</v>
      </c>
      <c r="X37" s="5">
        <f t="shared" si="10"/>
        <v>211.22308999999998</v>
      </c>
      <c r="Y37" s="5">
        <f t="shared" si="97"/>
        <v>211.22308999999998</v>
      </c>
      <c r="Z37" s="35">
        <f t="shared" si="12"/>
        <v>181.0317074</v>
      </c>
      <c r="AB37" s="5">
        <f t="shared" si="78"/>
        <v>0</v>
      </c>
      <c r="AC37" s="5">
        <f t="shared" si="13"/>
        <v>127.19707</v>
      </c>
      <c r="AD37" s="5">
        <f t="shared" si="14"/>
        <v>127.19707</v>
      </c>
      <c r="AE37" s="35">
        <f t="shared" si="15"/>
        <v>109.0160302</v>
      </c>
      <c r="AG37" s="5">
        <f t="shared" si="79"/>
        <v>0</v>
      </c>
      <c r="AH37" s="5">
        <f t="shared" si="16"/>
        <v>945.3353000000001</v>
      </c>
      <c r="AI37" s="5">
        <f t="shared" si="17"/>
        <v>945.3353000000001</v>
      </c>
      <c r="AJ37" s="35">
        <f t="shared" si="18"/>
        <v>810.2128580000001</v>
      </c>
      <c r="AL37" s="5">
        <f t="shared" si="80"/>
        <v>0</v>
      </c>
      <c r="AM37" s="5">
        <f t="shared" si="19"/>
        <v>292.95006</v>
      </c>
      <c r="AN37" s="5">
        <f t="shared" si="20"/>
        <v>292.95006</v>
      </c>
      <c r="AO37" s="35">
        <f t="shared" si="21"/>
        <v>251.0769516</v>
      </c>
      <c r="AQ37" s="5">
        <f t="shared" si="81"/>
        <v>0</v>
      </c>
      <c r="AR37" s="5">
        <f t="shared" si="22"/>
        <v>551.53358</v>
      </c>
      <c r="AS37" s="5">
        <f t="shared" si="23"/>
        <v>551.53358</v>
      </c>
      <c r="AT37" s="35">
        <f t="shared" si="24"/>
        <v>472.6995788</v>
      </c>
      <c r="AV37" s="5">
        <f t="shared" si="82"/>
        <v>0</v>
      </c>
      <c r="AW37" s="5">
        <f t="shared" si="25"/>
        <v>116.79173999999999</v>
      </c>
      <c r="AX37" s="5">
        <f t="shared" si="26"/>
        <v>116.79173999999999</v>
      </c>
      <c r="AY37" s="35">
        <f t="shared" si="27"/>
        <v>100.0979964</v>
      </c>
      <c r="BA37" s="5">
        <f t="shared" si="83"/>
        <v>0</v>
      </c>
      <c r="BB37" s="5">
        <f t="shared" si="28"/>
        <v>2082.4794899999997</v>
      </c>
      <c r="BC37" s="5">
        <f t="shared" si="29"/>
        <v>2082.4794899999997</v>
      </c>
      <c r="BD37" s="35">
        <f t="shared" si="30"/>
        <v>1784.8182113999999</v>
      </c>
      <c r="BF37" s="36">
        <f t="shared" si="84"/>
        <v>0</v>
      </c>
      <c r="BG37" s="5">
        <f t="shared" si="31"/>
        <v>964.20454</v>
      </c>
      <c r="BH37" s="36">
        <f t="shared" si="32"/>
        <v>964.20454</v>
      </c>
      <c r="BI37" s="35">
        <f t="shared" si="33"/>
        <v>826.3850044</v>
      </c>
      <c r="BK37" s="5">
        <f t="shared" si="85"/>
        <v>0</v>
      </c>
      <c r="BL37" s="5">
        <f t="shared" si="34"/>
        <v>461.78548000000006</v>
      </c>
      <c r="BM37" s="5">
        <f t="shared" si="35"/>
        <v>461.78548000000006</v>
      </c>
      <c r="BN37" s="35">
        <f t="shared" si="36"/>
        <v>395.7797128</v>
      </c>
      <c r="BP37" s="5">
        <f t="shared" si="37"/>
        <v>0</v>
      </c>
      <c r="BQ37" s="5">
        <f t="shared" si="38"/>
        <v>68.13703000000001</v>
      </c>
      <c r="BR37" s="5">
        <f t="shared" si="39"/>
        <v>68.13703000000001</v>
      </c>
      <c r="BS37" s="35">
        <f t="shared" si="40"/>
        <v>58.397795800000004</v>
      </c>
      <c r="BU37" s="5">
        <f t="shared" si="86"/>
        <v>0</v>
      </c>
      <c r="BV37" s="5">
        <f t="shared" si="41"/>
        <v>302.09517</v>
      </c>
      <c r="BW37" s="5">
        <f t="shared" si="42"/>
        <v>302.09517</v>
      </c>
      <c r="BX37" s="35">
        <f t="shared" si="43"/>
        <v>258.9148962</v>
      </c>
      <c r="BZ37" s="5">
        <f t="shared" si="87"/>
        <v>0</v>
      </c>
      <c r="CA37" s="5">
        <f t="shared" si="44"/>
        <v>41.60429</v>
      </c>
      <c r="CB37" s="5">
        <f t="shared" si="45"/>
        <v>41.60429</v>
      </c>
      <c r="CC37" s="35">
        <f t="shared" si="46"/>
        <v>35.6575394</v>
      </c>
      <c r="CE37" s="5">
        <f t="shared" si="88"/>
        <v>0</v>
      </c>
      <c r="CF37" s="5">
        <f t="shared" si="47"/>
        <v>867.91692</v>
      </c>
      <c r="CG37" s="5">
        <f t="shared" si="48"/>
        <v>867.91692</v>
      </c>
      <c r="CH37" s="35">
        <f t="shared" si="49"/>
        <v>743.8603512</v>
      </c>
      <c r="CJ37" s="5">
        <f t="shared" si="89"/>
        <v>0</v>
      </c>
      <c r="CK37" s="5">
        <f t="shared" si="50"/>
        <v>168.12016</v>
      </c>
      <c r="CL37" s="5">
        <f t="shared" si="51"/>
        <v>168.12016</v>
      </c>
      <c r="CM37" s="35">
        <f t="shared" si="52"/>
        <v>144.08973759999998</v>
      </c>
      <c r="CO37" s="5">
        <f t="shared" si="90"/>
        <v>0</v>
      </c>
      <c r="CP37" s="5">
        <f t="shared" si="53"/>
        <v>222.42882999999998</v>
      </c>
      <c r="CQ37" s="36">
        <f t="shared" si="54"/>
        <v>222.42882999999998</v>
      </c>
      <c r="CR37" s="35">
        <f t="shared" si="55"/>
        <v>190.6357438</v>
      </c>
      <c r="CT37" s="5">
        <f t="shared" si="91"/>
        <v>0</v>
      </c>
      <c r="CU37" s="5">
        <f t="shared" si="56"/>
        <v>723.05974</v>
      </c>
      <c r="CV37" s="36">
        <f t="shared" si="57"/>
        <v>723.05974</v>
      </c>
      <c r="CW37" s="35">
        <f t="shared" si="58"/>
        <v>619.7084764</v>
      </c>
      <c r="CX37" s="5"/>
      <c r="CY37" s="5">
        <f t="shared" si="92"/>
        <v>0</v>
      </c>
      <c r="CZ37" s="5">
        <f t="shared" si="59"/>
        <v>425.08583</v>
      </c>
      <c r="DA37" s="5">
        <f t="shared" si="60"/>
        <v>425.08583</v>
      </c>
      <c r="DB37" s="35">
        <f t="shared" si="61"/>
        <v>364.32576379999995</v>
      </c>
      <c r="DC37" s="5"/>
      <c r="DD37" s="5">
        <f t="shared" si="93"/>
        <v>0</v>
      </c>
      <c r="DE37" s="5">
        <f t="shared" si="62"/>
        <v>479.85430999999994</v>
      </c>
      <c r="DF37" s="5">
        <f t="shared" si="63"/>
        <v>479.85430999999994</v>
      </c>
      <c r="DG37" s="35">
        <f t="shared" si="64"/>
        <v>411.26585659999995</v>
      </c>
      <c r="DH37" s="5"/>
      <c r="DI37" s="5">
        <f t="shared" si="94"/>
        <v>0</v>
      </c>
      <c r="DJ37" s="5">
        <f t="shared" si="65"/>
        <v>5555.74799</v>
      </c>
      <c r="DK37" s="5">
        <f t="shared" si="66"/>
        <v>5555.74799</v>
      </c>
      <c r="DL37" s="35">
        <f t="shared" si="67"/>
        <v>4761.6316214</v>
      </c>
      <c r="DM37" s="5"/>
      <c r="DN37" s="5">
        <f t="shared" si="95"/>
        <v>0</v>
      </c>
      <c r="DO37" s="5">
        <f t="shared" si="68"/>
        <v>204.56436</v>
      </c>
      <c r="DP37" s="36">
        <f t="shared" si="69"/>
        <v>204.56436</v>
      </c>
      <c r="DQ37" s="35">
        <f t="shared" si="70"/>
        <v>175.3247496</v>
      </c>
      <c r="DR37" s="5"/>
      <c r="DS37" s="5">
        <f t="shared" si="96"/>
        <v>0</v>
      </c>
      <c r="DT37" s="36">
        <f t="shared" si="71"/>
        <v>181.07999</v>
      </c>
      <c r="DU37" s="36">
        <f t="shared" si="72"/>
        <v>181.07999</v>
      </c>
      <c r="DV37" s="35">
        <f t="shared" si="73"/>
        <v>155.19714140000002</v>
      </c>
    </row>
    <row r="38" spans="1:126" ht="12.75">
      <c r="A38" s="37">
        <v>11232</v>
      </c>
      <c r="C38" s="3"/>
      <c r="D38" s="3">
        <v>170300</v>
      </c>
      <c r="E38" s="35">
        <f t="shared" si="0"/>
        <v>170300</v>
      </c>
      <c r="F38" s="35">
        <f>'2011A'!F38</f>
        <v>145958</v>
      </c>
      <c r="H38" s="47"/>
      <c r="I38" s="36">
        <f t="shared" si="1"/>
        <v>25667.956599999998</v>
      </c>
      <c r="J38" s="36">
        <f t="shared" si="2"/>
        <v>25667.956599999998</v>
      </c>
      <c r="K38" s="36">
        <f t="shared" si="3"/>
        <v>21999.081675999998</v>
      </c>
      <c r="M38" s="5"/>
      <c r="N38" s="5">
        <f t="shared" si="4"/>
        <v>10670.044319999999</v>
      </c>
      <c r="O38" s="5">
        <f t="shared" si="5"/>
        <v>10670.044319999999</v>
      </c>
      <c r="P38" s="35">
        <f t="shared" si="6"/>
        <v>9144.9109152</v>
      </c>
      <c r="R38" s="5"/>
      <c r="S38" s="36">
        <f t="shared" si="7"/>
        <v>4.7173099999999994</v>
      </c>
      <c r="T38" s="36">
        <f t="shared" si="8"/>
        <v>4.7173099999999994</v>
      </c>
      <c r="U38" s="35">
        <f t="shared" si="9"/>
        <v>4.0430366</v>
      </c>
      <c r="W38" s="5"/>
      <c r="X38" s="5">
        <f t="shared" si="10"/>
        <v>211.22308999999998</v>
      </c>
      <c r="Y38" s="5">
        <f t="shared" si="97"/>
        <v>211.22308999999998</v>
      </c>
      <c r="Z38" s="35">
        <f t="shared" si="12"/>
        <v>181.0317074</v>
      </c>
      <c r="AB38" s="5"/>
      <c r="AC38" s="5">
        <f t="shared" si="13"/>
        <v>127.19707</v>
      </c>
      <c r="AD38" s="5">
        <f t="shared" si="14"/>
        <v>127.19707</v>
      </c>
      <c r="AE38" s="35">
        <f t="shared" si="15"/>
        <v>109.0160302</v>
      </c>
      <c r="AG38" s="5"/>
      <c r="AH38" s="5">
        <f t="shared" si="16"/>
        <v>945.3353000000001</v>
      </c>
      <c r="AI38" s="5">
        <f t="shared" si="17"/>
        <v>945.3353000000001</v>
      </c>
      <c r="AJ38" s="35">
        <f t="shared" si="18"/>
        <v>810.2128580000001</v>
      </c>
      <c r="AL38" s="5"/>
      <c r="AM38" s="5">
        <f t="shared" si="19"/>
        <v>292.95006</v>
      </c>
      <c r="AN38" s="5">
        <f t="shared" si="20"/>
        <v>292.95006</v>
      </c>
      <c r="AO38" s="35">
        <f t="shared" si="21"/>
        <v>251.0769516</v>
      </c>
      <c r="AQ38" s="5"/>
      <c r="AR38" s="5">
        <f t="shared" si="22"/>
        <v>551.53358</v>
      </c>
      <c r="AS38" s="5">
        <f t="shared" si="23"/>
        <v>551.53358</v>
      </c>
      <c r="AT38" s="35">
        <f t="shared" si="24"/>
        <v>472.6995788</v>
      </c>
      <c r="AV38" s="5"/>
      <c r="AW38" s="5">
        <f t="shared" si="25"/>
        <v>116.79173999999999</v>
      </c>
      <c r="AX38" s="5">
        <f t="shared" si="26"/>
        <v>116.79173999999999</v>
      </c>
      <c r="AY38" s="35">
        <f t="shared" si="27"/>
        <v>100.0979964</v>
      </c>
      <c r="BA38" s="5"/>
      <c r="BB38" s="5">
        <f t="shared" si="28"/>
        <v>2082.4794899999997</v>
      </c>
      <c r="BC38" s="5">
        <f t="shared" si="29"/>
        <v>2082.4794899999997</v>
      </c>
      <c r="BD38" s="35">
        <f t="shared" si="30"/>
        <v>1784.8182113999999</v>
      </c>
      <c r="BF38" s="36"/>
      <c r="BG38" s="5">
        <f t="shared" si="31"/>
        <v>964.20454</v>
      </c>
      <c r="BH38" s="36">
        <f t="shared" si="32"/>
        <v>964.20454</v>
      </c>
      <c r="BI38" s="35">
        <f t="shared" si="33"/>
        <v>826.3850044</v>
      </c>
      <c r="BK38" s="5"/>
      <c r="BL38" s="5">
        <f t="shared" si="34"/>
        <v>461.78548000000006</v>
      </c>
      <c r="BM38" s="5">
        <f t="shared" si="35"/>
        <v>461.78548000000006</v>
      </c>
      <c r="BN38" s="35">
        <f t="shared" si="36"/>
        <v>395.7797128</v>
      </c>
      <c r="BP38" s="5">
        <f t="shared" si="37"/>
        <v>0</v>
      </c>
      <c r="BQ38" s="5">
        <f t="shared" si="38"/>
        <v>68.13703000000001</v>
      </c>
      <c r="BR38" s="5">
        <f t="shared" si="39"/>
        <v>68.13703000000001</v>
      </c>
      <c r="BS38" s="35">
        <f t="shared" si="40"/>
        <v>58.397795800000004</v>
      </c>
      <c r="BU38" s="5"/>
      <c r="BV38" s="5">
        <f t="shared" si="41"/>
        <v>302.09517</v>
      </c>
      <c r="BW38" s="5">
        <f t="shared" si="42"/>
        <v>302.09517</v>
      </c>
      <c r="BX38" s="35">
        <f t="shared" si="43"/>
        <v>258.9148962</v>
      </c>
      <c r="BZ38" s="5"/>
      <c r="CA38" s="5">
        <f t="shared" si="44"/>
        <v>41.60429</v>
      </c>
      <c r="CB38" s="5">
        <f t="shared" si="45"/>
        <v>41.60429</v>
      </c>
      <c r="CC38" s="35">
        <f t="shared" si="46"/>
        <v>35.6575394</v>
      </c>
      <c r="CE38" s="5"/>
      <c r="CF38" s="5">
        <f t="shared" si="47"/>
        <v>867.91692</v>
      </c>
      <c r="CG38" s="5">
        <f t="shared" si="48"/>
        <v>867.91692</v>
      </c>
      <c r="CH38" s="35">
        <f t="shared" si="49"/>
        <v>743.8603512</v>
      </c>
      <c r="CJ38" s="5"/>
      <c r="CK38" s="5">
        <f t="shared" si="50"/>
        <v>168.12016</v>
      </c>
      <c r="CL38" s="5">
        <f t="shared" si="51"/>
        <v>168.12016</v>
      </c>
      <c r="CM38" s="35">
        <f t="shared" si="52"/>
        <v>144.08973759999998</v>
      </c>
      <c r="CO38" s="5"/>
      <c r="CP38" s="5">
        <f t="shared" si="53"/>
        <v>222.42882999999998</v>
      </c>
      <c r="CQ38" s="36">
        <f t="shared" si="54"/>
        <v>222.42882999999998</v>
      </c>
      <c r="CR38" s="35">
        <f t="shared" si="55"/>
        <v>190.6357438</v>
      </c>
      <c r="CT38" s="5"/>
      <c r="CU38" s="5">
        <f t="shared" si="56"/>
        <v>723.05974</v>
      </c>
      <c r="CV38" s="36">
        <f t="shared" si="57"/>
        <v>723.05974</v>
      </c>
      <c r="CW38" s="35">
        <f t="shared" si="58"/>
        <v>619.7084764</v>
      </c>
      <c r="CZ38" s="5">
        <f t="shared" si="59"/>
        <v>425.08583</v>
      </c>
      <c r="DA38" s="5">
        <f t="shared" si="60"/>
        <v>425.08583</v>
      </c>
      <c r="DB38" s="35">
        <f t="shared" si="61"/>
        <v>364.32576379999995</v>
      </c>
      <c r="DE38" s="5">
        <f t="shared" si="62"/>
        <v>479.85430999999994</v>
      </c>
      <c r="DF38" s="5">
        <f t="shared" si="63"/>
        <v>479.85430999999994</v>
      </c>
      <c r="DG38" s="35">
        <f t="shared" si="64"/>
        <v>411.26585659999995</v>
      </c>
      <c r="DJ38" s="5">
        <f t="shared" si="65"/>
        <v>5555.74799</v>
      </c>
      <c r="DK38" s="5">
        <f t="shared" si="66"/>
        <v>5555.74799</v>
      </c>
      <c r="DL38" s="35">
        <f t="shared" si="67"/>
        <v>4761.6316214</v>
      </c>
      <c r="DO38" s="5">
        <f t="shared" si="68"/>
        <v>204.56436</v>
      </c>
      <c r="DP38" s="36">
        <f t="shared" si="69"/>
        <v>204.56436</v>
      </c>
      <c r="DQ38" s="35">
        <f t="shared" si="70"/>
        <v>175.3247496</v>
      </c>
      <c r="DT38" s="36">
        <f t="shared" si="71"/>
        <v>181.07999</v>
      </c>
      <c r="DU38" s="36">
        <f t="shared" si="72"/>
        <v>181.07999</v>
      </c>
      <c r="DV38" s="35">
        <f t="shared" si="73"/>
        <v>155.19714140000002</v>
      </c>
    </row>
    <row r="39" spans="1:126" ht="12.75">
      <c r="A39" s="37">
        <v>11414</v>
      </c>
      <c r="C39" s="3">
        <v>8515000</v>
      </c>
      <c r="D39" s="3">
        <v>170300</v>
      </c>
      <c r="E39" s="35">
        <f t="shared" si="0"/>
        <v>8685300</v>
      </c>
      <c r="F39" s="35">
        <f>'2011A'!F39</f>
        <v>145958</v>
      </c>
      <c r="H39" s="47">
        <f t="shared" si="74"/>
        <v>1283397.8299999998</v>
      </c>
      <c r="I39" s="36">
        <f t="shared" si="1"/>
        <v>25667.956599999998</v>
      </c>
      <c r="J39" s="36">
        <f t="shared" si="2"/>
        <v>1309065.7865999998</v>
      </c>
      <c r="K39" s="36">
        <f t="shared" si="3"/>
        <v>21999.081675999998</v>
      </c>
      <c r="M39" s="5">
        <f t="shared" si="75"/>
        <v>533502.216</v>
      </c>
      <c r="N39" s="5">
        <f t="shared" si="4"/>
        <v>10670.044319999999</v>
      </c>
      <c r="O39" s="5">
        <f t="shared" si="5"/>
        <v>544172.26032</v>
      </c>
      <c r="P39" s="35">
        <f t="shared" si="6"/>
        <v>9144.9109152</v>
      </c>
      <c r="R39" s="5">
        <f t="shared" si="76"/>
        <v>235.8655</v>
      </c>
      <c r="S39" s="36">
        <f t="shared" si="7"/>
        <v>4.7173099999999994</v>
      </c>
      <c r="T39" s="36">
        <f t="shared" si="8"/>
        <v>240.58281</v>
      </c>
      <c r="U39" s="35">
        <f t="shared" si="9"/>
        <v>4.0430366</v>
      </c>
      <c r="W39" s="5">
        <f t="shared" si="77"/>
        <v>10561.154499999999</v>
      </c>
      <c r="X39" s="5">
        <f t="shared" si="10"/>
        <v>211.22308999999998</v>
      </c>
      <c r="Y39" s="5">
        <f t="shared" si="97"/>
        <v>10772.377589999998</v>
      </c>
      <c r="Z39" s="35">
        <f t="shared" si="12"/>
        <v>181.0317074</v>
      </c>
      <c r="AB39" s="5">
        <f t="shared" si="78"/>
        <v>6359.8535</v>
      </c>
      <c r="AC39" s="5">
        <f t="shared" si="13"/>
        <v>127.19707</v>
      </c>
      <c r="AD39" s="5">
        <f t="shared" si="14"/>
        <v>6487.05057</v>
      </c>
      <c r="AE39" s="35">
        <f t="shared" si="15"/>
        <v>109.0160302</v>
      </c>
      <c r="AG39" s="5">
        <f t="shared" si="79"/>
        <v>47266.76500000001</v>
      </c>
      <c r="AH39" s="5">
        <f t="shared" si="16"/>
        <v>945.3353000000001</v>
      </c>
      <c r="AI39" s="5">
        <f t="shared" si="17"/>
        <v>48212.100300000006</v>
      </c>
      <c r="AJ39" s="35">
        <f t="shared" si="18"/>
        <v>810.2128580000001</v>
      </c>
      <c r="AL39" s="5">
        <f t="shared" si="80"/>
        <v>14647.503</v>
      </c>
      <c r="AM39" s="5">
        <f t="shared" si="19"/>
        <v>292.95006</v>
      </c>
      <c r="AN39" s="5">
        <f t="shared" si="20"/>
        <v>14940.45306</v>
      </c>
      <c r="AO39" s="35">
        <f t="shared" si="21"/>
        <v>251.0769516</v>
      </c>
      <c r="AQ39" s="5">
        <f t="shared" si="81"/>
        <v>27576.679</v>
      </c>
      <c r="AR39" s="5">
        <f t="shared" si="22"/>
        <v>551.53358</v>
      </c>
      <c r="AS39" s="5">
        <f t="shared" si="23"/>
        <v>28128.21258</v>
      </c>
      <c r="AT39" s="35">
        <f t="shared" si="24"/>
        <v>472.6995788</v>
      </c>
      <c r="AV39" s="5">
        <f t="shared" si="82"/>
        <v>5839.5869999999995</v>
      </c>
      <c r="AW39" s="5">
        <f t="shared" si="25"/>
        <v>116.79173999999999</v>
      </c>
      <c r="AX39" s="5">
        <f t="shared" si="26"/>
        <v>5956.378739999999</v>
      </c>
      <c r="AY39" s="35">
        <f t="shared" si="27"/>
        <v>100.0979964</v>
      </c>
      <c r="BA39" s="5">
        <f t="shared" si="83"/>
        <v>104123.9745</v>
      </c>
      <c r="BB39" s="5">
        <f t="shared" si="28"/>
        <v>2082.4794899999997</v>
      </c>
      <c r="BC39" s="5">
        <f t="shared" si="29"/>
        <v>106206.45399</v>
      </c>
      <c r="BD39" s="35">
        <f t="shared" si="30"/>
        <v>1784.8182113999999</v>
      </c>
      <c r="BF39" s="36">
        <f t="shared" si="84"/>
        <v>48210.227</v>
      </c>
      <c r="BG39" s="5">
        <f t="shared" si="31"/>
        <v>964.20454</v>
      </c>
      <c r="BH39" s="36">
        <f t="shared" si="32"/>
        <v>49174.43154</v>
      </c>
      <c r="BI39" s="35">
        <f t="shared" si="33"/>
        <v>826.3850044</v>
      </c>
      <c r="BK39" s="5">
        <f t="shared" si="85"/>
        <v>23089.274</v>
      </c>
      <c r="BL39" s="5">
        <f t="shared" si="34"/>
        <v>461.78548000000006</v>
      </c>
      <c r="BM39" s="5">
        <f t="shared" si="35"/>
        <v>23551.05948</v>
      </c>
      <c r="BN39" s="35">
        <f t="shared" si="36"/>
        <v>395.7797128</v>
      </c>
      <c r="BP39" s="5">
        <f t="shared" si="37"/>
        <v>3406.8515</v>
      </c>
      <c r="BQ39" s="5">
        <f t="shared" si="38"/>
        <v>68.13703000000001</v>
      </c>
      <c r="BR39" s="5">
        <f t="shared" si="39"/>
        <v>3474.98853</v>
      </c>
      <c r="BS39" s="35">
        <f t="shared" si="40"/>
        <v>58.397795800000004</v>
      </c>
      <c r="BU39" s="5">
        <f t="shared" si="86"/>
        <v>15104.7585</v>
      </c>
      <c r="BV39" s="5">
        <f t="shared" si="41"/>
        <v>302.09517</v>
      </c>
      <c r="BW39" s="5">
        <f t="shared" si="42"/>
        <v>15406.85367</v>
      </c>
      <c r="BX39" s="35">
        <f t="shared" si="43"/>
        <v>258.9148962</v>
      </c>
      <c r="BZ39" s="5">
        <f t="shared" si="87"/>
        <v>2080.2144999999996</v>
      </c>
      <c r="CA39" s="5">
        <f t="shared" si="44"/>
        <v>41.60429</v>
      </c>
      <c r="CB39" s="5">
        <f t="shared" si="45"/>
        <v>2121.81879</v>
      </c>
      <c r="CC39" s="35">
        <f t="shared" si="46"/>
        <v>35.6575394</v>
      </c>
      <c r="CE39" s="5">
        <f t="shared" si="88"/>
        <v>43395.846</v>
      </c>
      <c r="CF39" s="5">
        <f t="shared" si="47"/>
        <v>867.91692</v>
      </c>
      <c r="CG39" s="5">
        <f t="shared" si="48"/>
        <v>44263.76292</v>
      </c>
      <c r="CH39" s="35">
        <f t="shared" si="49"/>
        <v>743.8603512</v>
      </c>
      <c r="CJ39" s="5">
        <f t="shared" si="89"/>
        <v>8406.008</v>
      </c>
      <c r="CK39" s="5">
        <f t="shared" si="50"/>
        <v>168.12016</v>
      </c>
      <c r="CL39" s="5">
        <f t="shared" si="51"/>
        <v>8574.12816</v>
      </c>
      <c r="CM39" s="35">
        <f t="shared" si="52"/>
        <v>144.08973759999998</v>
      </c>
      <c r="CO39" s="5">
        <f t="shared" si="90"/>
        <v>11121.441499999999</v>
      </c>
      <c r="CP39" s="5">
        <f t="shared" si="53"/>
        <v>222.42882999999998</v>
      </c>
      <c r="CQ39" s="36">
        <f t="shared" si="54"/>
        <v>11343.87033</v>
      </c>
      <c r="CR39" s="35">
        <f t="shared" si="55"/>
        <v>190.6357438</v>
      </c>
      <c r="CT39" s="5">
        <f t="shared" si="91"/>
        <v>36152.987</v>
      </c>
      <c r="CU39" s="5">
        <f t="shared" si="56"/>
        <v>723.05974</v>
      </c>
      <c r="CV39" s="36">
        <f t="shared" si="57"/>
        <v>36876.04674</v>
      </c>
      <c r="CW39" s="35">
        <f t="shared" si="58"/>
        <v>619.7084764</v>
      </c>
      <c r="CX39" s="5"/>
      <c r="CY39" s="5">
        <f t="shared" si="92"/>
        <v>21254.2915</v>
      </c>
      <c r="CZ39" s="5">
        <f t="shared" si="59"/>
        <v>425.08583</v>
      </c>
      <c r="DA39" s="5">
        <f t="shared" si="60"/>
        <v>21679.37733</v>
      </c>
      <c r="DB39" s="35">
        <f t="shared" si="61"/>
        <v>364.32576379999995</v>
      </c>
      <c r="DC39" s="5"/>
      <c r="DD39" s="5">
        <f t="shared" si="93"/>
        <v>23992.7155</v>
      </c>
      <c r="DE39" s="5">
        <f t="shared" si="62"/>
        <v>479.85430999999994</v>
      </c>
      <c r="DF39" s="5">
        <f t="shared" si="63"/>
        <v>24472.569809999997</v>
      </c>
      <c r="DG39" s="35">
        <f t="shared" si="64"/>
        <v>411.26585659999995</v>
      </c>
      <c r="DH39" s="5"/>
      <c r="DI39" s="5">
        <f t="shared" si="94"/>
        <v>277787.3995</v>
      </c>
      <c r="DJ39" s="5">
        <f t="shared" si="65"/>
        <v>5555.74799</v>
      </c>
      <c r="DK39" s="5">
        <f t="shared" si="66"/>
        <v>283343.14749</v>
      </c>
      <c r="DL39" s="35">
        <f t="shared" si="67"/>
        <v>4761.6316214</v>
      </c>
      <c r="DM39" s="5"/>
      <c r="DN39" s="5">
        <f t="shared" si="95"/>
        <v>10228.217999999999</v>
      </c>
      <c r="DO39" s="5">
        <f t="shared" si="68"/>
        <v>204.56436</v>
      </c>
      <c r="DP39" s="36">
        <f t="shared" si="69"/>
        <v>10432.78236</v>
      </c>
      <c r="DQ39" s="35">
        <f t="shared" si="70"/>
        <v>175.3247496</v>
      </c>
      <c r="DR39" s="5"/>
      <c r="DS39" s="5">
        <f t="shared" si="96"/>
        <v>9053.999500000002</v>
      </c>
      <c r="DT39" s="36">
        <f t="shared" si="71"/>
        <v>181.07999</v>
      </c>
      <c r="DU39" s="36">
        <f t="shared" si="72"/>
        <v>9235.079490000002</v>
      </c>
      <c r="DV39" s="35">
        <f t="shared" si="73"/>
        <v>155.19714140000002</v>
      </c>
    </row>
    <row r="40" spans="2:126" ht="12.75">
      <c r="B40" s="34"/>
      <c r="C40" s="35"/>
      <c r="D40" s="35"/>
      <c r="E40" s="35"/>
      <c r="F40" s="35"/>
      <c r="K40" s="35"/>
      <c r="P40" s="35"/>
      <c r="U40" s="35"/>
      <c r="Z40" s="35"/>
      <c r="AE40" s="35"/>
      <c r="AJ40" s="35"/>
      <c r="AO40" s="35"/>
      <c r="AT40" s="35"/>
      <c r="AY40" s="35"/>
      <c r="BD40" s="35"/>
      <c r="BI40" s="35"/>
      <c r="BN40" s="35"/>
      <c r="BS40" s="35"/>
      <c r="BX40" s="35"/>
      <c r="CC40" s="35"/>
      <c r="CH40" s="35"/>
      <c r="CM40" s="35"/>
      <c r="CR40" s="35"/>
      <c r="CW40" s="35"/>
      <c r="DB40" s="35"/>
      <c r="DG40" s="35"/>
      <c r="DL40" s="35"/>
      <c r="DQ40" s="35"/>
      <c r="DV40" s="35"/>
    </row>
    <row r="41" spans="1:126" ht="13.5" thickBot="1">
      <c r="A41" s="39" t="s">
        <v>16</v>
      </c>
      <c r="C41" s="40">
        <f>SUM(C8:C40)</f>
        <v>51575000</v>
      </c>
      <c r="D41" s="40">
        <f>SUM(D8:D40)</f>
        <v>19051300</v>
      </c>
      <c r="E41" s="40">
        <f>SUM(E8:E40)</f>
        <v>70626300</v>
      </c>
      <c r="F41" s="40">
        <f>SUM(F8:F40)</f>
        <v>4805110</v>
      </c>
      <c r="H41" s="40">
        <f>SUM(H8:H40)</f>
        <v>7773487.150000001</v>
      </c>
      <c r="I41" s="40">
        <f>SUM(I8:I40)</f>
        <v>2871450.0386000015</v>
      </c>
      <c r="J41" s="40">
        <f>SUM(J8:J40)</f>
        <v>10644937.188599994</v>
      </c>
      <c r="K41" s="40">
        <f>SUM(K8:K40)</f>
        <v>724235.7894199999</v>
      </c>
      <c r="L41" s="5"/>
      <c r="M41" s="40">
        <f>SUM(M8:M40)</f>
        <v>3231400.68</v>
      </c>
      <c r="N41" s="40">
        <f>SUM(N8:N40)</f>
        <v>1193647.7707200004</v>
      </c>
      <c r="O41" s="40">
        <f>SUM(O8:O40)</f>
        <v>4425048.45072</v>
      </c>
      <c r="P41" s="40">
        <f>SUM(P8:P40)</f>
        <v>301061.2839839999</v>
      </c>
      <c r="Q41" s="5"/>
      <c r="R41" s="40">
        <f>SUM(R8:R40)</f>
        <v>1428.6275</v>
      </c>
      <c r="S41" s="40">
        <f>SUM(S8:S40)</f>
        <v>527.7210099999998</v>
      </c>
      <c r="T41" s="40">
        <f>SUM(T8:T40)</f>
        <v>1956.3485100000007</v>
      </c>
      <c r="U41" s="40">
        <f>SUM(U8:U40)</f>
        <v>133.1015469999999</v>
      </c>
      <c r="V41" s="5"/>
      <c r="W41" s="40">
        <f>SUM(W8:W40)</f>
        <v>63968.472499999996</v>
      </c>
      <c r="X41" s="40">
        <f>SUM(X8:X40)</f>
        <v>23629.32738999999</v>
      </c>
      <c r="Y41" s="40">
        <f>SUM(Y8:Y40)</f>
        <v>87597.79989</v>
      </c>
      <c r="Z41" s="40">
        <f>SUM(Z8:Z40)</f>
        <v>5959.777933000004</v>
      </c>
      <c r="AA41" s="5"/>
      <c r="AB41" s="40">
        <f>SUM(AB8:AB40)</f>
        <v>38521.3675</v>
      </c>
      <c r="AC41" s="40">
        <f>SUM(AC8:AC40)</f>
        <v>14229.415969999987</v>
      </c>
      <c r="AD41" s="40">
        <f>SUM(AD8:AD40)</f>
        <v>52750.783470000024</v>
      </c>
      <c r="AE41" s="40">
        <f>SUM(AE8:AE40)</f>
        <v>3588.9366589999986</v>
      </c>
      <c r="AF41" s="5"/>
      <c r="AG41" s="40">
        <f>SUM(AG8:AG40)</f>
        <v>286292.825</v>
      </c>
      <c r="AH41" s="40">
        <f>SUM(AH8:AH40)</f>
        <v>105753.76630000002</v>
      </c>
      <c r="AI41" s="40">
        <f>SUM(AI8:AI40)</f>
        <v>392046.59129999985</v>
      </c>
      <c r="AJ41" s="40">
        <f>SUM(AJ8:AJ40)</f>
        <v>26673.165609999993</v>
      </c>
      <c r="AK41" s="5"/>
      <c r="AL41" s="40">
        <f>SUM(AL8:AL40)</f>
        <v>88719.315</v>
      </c>
      <c r="AM41" s="40">
        <f>SUM(AM8:AM40)</f>
        <v>32772.04625999998</v>
      </c>
      <c r="AN41" s="40">
        <f>SUM(AN8:AN40)</f>
        <v>121491.36125999996</v>
      </c>
      <c r="AO41" s="40">
        <f>SUM(AO8:AO40)</f>
        <v>8265.750222</v>
      </c>
      <c r="AP41" s="5"/>
      <c r="AQ41" s="40">
        <f>SUM(AQ8:AQ40)</f>
        <v>167030.79499999998</v>
      </c>
      <c r="AR41" s="40">
        <f>SUM(AR8:AR40)</f>
        <v>61699.540180000025</v>
      </c>
      <c r="AS41" s="40">
        <f>SUM(AS8:AS40)</f>
        <v>228730.33517999994</v>
      </c>
      <c r="AT41" s="40">
        <f>SUM(AT8:AT40)</f>
        <v>15561.829246000008</v>
      </c>
      <c r="AU41" s="5"/>
      <c r="AV41" s="40">
        <f>SUM(AV8:AV40)</f>
        <v>35370.135</v>
      </c>
      <c r="AW41" s="40">
        <f>SUM(AW8:AW40)</f>
        <v>13065.381539999998</v>
      </c>
      <c r="AX41" s="40">
        <f>SUM(AX8:AX40)</f>
        <v>48435.516540000004</v>
      </c>
      <c r="AY41" s="40">
        <f>SUM(AY8:AY40)</f>
        <v>3295.3444379999987</v>
      </c>
      <c r="AZ41" s="5"/>
      <c r="BA41" s="40">
        <f>SUM(BA8:BA40)</f>
        <v>630674.5725</v>
      </c>
      <c r="BB41" s="40">
        <f>SUM(BB8:BB40)</f>
        <v>232965.01179</v>
      </c>
      <c r="BC41" s="40">
        <f>SUM(BC8:BC40)</f>
        <v>863639.5842900005</v>
      </c>
      <c r="BD41" s="40">
        <f>SUM(BD8:BD40)</f>
        <v>58758.32661300002</v>
      </c>
      <c r="BE41" s="5"/>
      <c r="BF41" s="40">
        <f>SUM(BF8:BF40)</f>
        <v>292007.33499999996</v>
      </c>
      <c r="BG41" s="40">
        <f>SUM(BG8:BG40)</f>
        <v>107864.65034</v>
      </c>
      <c r="BH41" s="40">
        <f>SUM(BH8:BH40)</f>
        <v>399871.9853400001</v>
      </c>
      <c r="BI41" s="40">
        <f>SUM(BI8:BI40)</f>
        <v>27205.571797999983</v>
      </c>
      <c r="BJ41" s="5"/>
      <c r="BK41" s="40">
        <f>SUM(BK8:BK40)</f>
        <v>139850.77000000002</v>
      </c>
      <c r="BL41" s="40">
        <f>SUM(BL8:BL40)</f>
        <v>51659.50507999999</v>
      </c>
      <c r="BM41" s="40">
        <f>SUM(BM8:BM40)</f>
        <v>191510.27508000008</v>
      </c>
      <c r="BN41" s="40">
        <f>SUM(BN8:BN40)</f>
        <v>13029.536276000004</v>
      </c>
      <c r="BO41" s="5"/>
      <c r="BP41" s="40">
        <f>SUM(BP8:BP40)</f>
        <v>20635.1575</v>
      </c>
      <c r="BQ41" s="40">
        <f>SUM(BQ8:BQ40)</f>
        <v>7622.425130000001</v>
      </c>
      <c r="BR41" s="40">
        <f>SUM(BR8:BR40)</f>
        <v>28257.582630000026</v>
      </c>
      <c r="BS41" s="40">
        <f>SUM(BS8:BS40)</f>
        <v>1922.524511000001</v>
      </c>
      <c r="BT41" s="5"/>
      <c r="BU41" s="40">
        <f>SUM(BU8:BU40)</f>
        <v>91488.8925</v>
      </c>
      <c r="BV41" s="40">
        <f>SUM(BV8:BV40)</f>
        <v>33795.10107</v>
      </c>
      <c r="BW41" s="40">
        <f>SUM(BW8:BW40)</f>
        <v>125283.99356999992</v>
      </c>
      <c r="BX41" s="40">
        <f>SUM(BX8:BX40)</f>
        <v>8523.784628999998</v>
      </c>
      <c r="BY41" s="5"/>
      <c r="BZ41" s="40">
        <f>SUM(BZ8:BZ40)</f>
        <v>12599.7725</v>
      </c>
      <c r="CA41" s="40">
        <f>SUM(CA8:CA40)</f>
        <v>4654.232590000003</v>
      </c>
      <c r="CB41" s="40">
        <f>SUM(CB8:CB40)</f>
        <v>17254.005089999995</v>
      </c>
      <c r="CC41" s="40">
        <f>SUM(CC8:CC40)</f>
        <v>1173.8883729999998</v>
      </c>
      <c r="CD41" s="5"/>
      <c r="CE41" s="40">
        <f>SUM(CE8:CE40)</f>
        <v>262846.83</v>
      </c>
      <c r="CF41" s="40">
        <f>SUM(CF8:CF40)</f>
        <v>97093.04532000006</v>
      </c>
      <c r="CG41" s="40">
        <f>SUM(CG8:CG40)</f>
        <v>359939.87532</v>
      </c>
      <c r="CH41" s="40">
        <f>SUM(CH8:CH40)</f>
        <v>24488.762604000018</v>
      </c>
      <c r="CI41" s="5"/>
      <c r="CJ41" s="40">
        <f>SUM(CJ8:CJ40)</f>
        <v>50914.84</v>
      </c>
      <c r="CK41" s="40">
        <f>SUM(CK8:CK40)</f>
        <v>18807.443359999987</v>
      </c>
      <c r="CL41" s="40">
        <f>SUM(CL8:CL40)</f>
        <v>69722.28336000003</v>
      </c>
      <c r="CM41" s="40">
        <f>SUM(CM8:CM40)</f>
        <v>4743.604591999999</v>
      </c>
      <c r="CN41" s="5"/>
      <c r="CO41" s="40">
        <f>SUM(CO8:CO40)</f>
        <v>67362.1075</v>
      </c>
      <c r="CP41" s="40">
        <f>SUM(CP8:CP40)</f>
        <v>24882.90293000001</v>
      </c>
      <c r="CQ41" s="40">
        <f>SUM(CQ8:CQ40)</f>
        <v>92245.01043000001</v>
      </c>
      <c r="CR41" s="40">
        <f>SUM(CR8:CR40)</f>
        <v>6275.954170999996</v>
      </c>
      <c r="CS41" s="5"/>
      <c r="CT41" s="40">
        <f>SUM(CT8:CT40)</f>
        <v>218977.13499999998</v>
      </c>
      <c r="CU41" s="40">
        <f>SUM(CU8:CU40)</f>
        <v>80888.00953999996</v>
      </c>
      <c r="CV41" s="40">
        <f>SUM(CV8:CV40)</f>
        <v>299865.14453999995</v>
      </c>
      <c r="CW41" s="40">
        <f>SUM(CW8:CW40)</f>
        <v>20401.536037999987</v>
      </c>
      <c r="CX41" s="5"/>
      <c r="CY41" s="40">
        <f>SUM(CY8:CY40)</f>
        <v>128736.35750000001</v>
      </c>
      <c r="CZ41" s="40">
        <f>SUM(CZ8:CZ40)</f>
        <v>47553.94993</v>
      </c>
      <c r="DA41" s="40">
        <f>SUM(DA8:DA40)</f>
        <v>176290.30743</v>
      </c>
      <c r="DB41" s="40">
        <f>SUM(DB8:DB40)</f>
        <v>11994.035070999991</v>
      </c>
      <c r="DC41" s="5"/>
      <c r="DD41" s="40">
        <f>SUM(DD8:DD40)</f>
        <v>145322.8775</v>
      </c>
      <c r="DE41" s="40">
        <f>SUM(DE8:DE40)</f>
        <v>53680.84800999999</v>
      </c>
      <c r="DF41" s="40">
        <f>SUM(DF8:DF40)</f>
        <v>199003.7255099999</v>
      </c>
      <c r="DG41" s="40">
        <f>SUM(DG8:DG40)</f>
        <v>13539.358446999988</v>
      </c>
      <c r="DH41" s="5"/>
      <c r="DI41" s="40">
        <f>SUM(DI8:DI40)</f>
        <v>1682546.6975</v>
      </c>
      <c r="DJ41" s="40">
        <f>SUM(DJ8:DJ40)</f>
        <v>621516.2752899997</v>
      </c>
      <c r="DK41" s="40">
        <f>SUM(DK8:DK40)</f>
        <v>2304062.9727900005</v>
      </c>
      <c r="DL41" s="40">
        <f>SUM(DL8:DL40)</f>
        <v>156758.54506299997</v>
      </c>
      <c r="DM41" s="5"/>
      <c r="DN41" s="40">
        <f>SUM(DN8:DN40)</f>
        <v>61951.89</v>
      </c>
      <c r="DO41" s="40">
        <f>SUM(DO8:DO40)</f>
        <v>22884.421560000024</v>
      </c>
      <c r="DP41" s="40">
        <f>SUM(DP8:DP40)</f>
        <v>84836.31156</v>
      </c>
      <c r="DQ41" s="40">
        <f>SUM(DQ8:DQ40)</f>
        <v>5771.898132000002</v>
      </c>
      <c r="DR41" s="5"/>
      <c r="DS41" s="40">
        <f>SUM(DS8:DS40)</f>
        <v>54839.69750000001</v>
      </c>
      <c r="DT41" s="40">
        <f>SUM(DT8:DT40)</f>
        <v>20257.247290000007</v>
      </c>
      <c r="DU41" s="40">
        <f>SUM(DU8:DU40)</f>
        <v>75096.94479000001</v>
      </c>
      <c r="DV41" s="40">
        <f>SUM(DV8:DV40)</f>
        <v>5109.2734629999995</v>
      </c>
    </row>
    <row r="42" spans="1:11" ht="13.5" thickTop="1">
      <c r="A42" s="37"/>
      <c r="K42" s="5"/>
    </row>
    <row r="43" ht="12.75">
      <c r="A43" s="37"/>
    </row>
    <row r="44" ht="12.75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>
      <c r="A76" s="37"/>
    </row>
    <row r="77" ht="12.75">
      <c r="A77" s="37"/>
    </row>
    <row r="78" ht="12.75">
      <c r="A78" s="37"/>
    </row>
    <row r="79" ht="12.75">
      <c r="A79" s="37"/>
    </row>
    <row r="80" ht="12.75">
      <c r="A80" s="37"/>
    </row>
    <row r="81" spans="1:127" ht="12.75">
      <c r="A81"/>
      <c r="C81"/>
      <c r="D81"/>
      <c r="E81"/>
      <c r="F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W571"/>
  <sheetViews>
    <sheetView tabSelected="1" zoomScale="142" zoomScaleNormal="142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0" customWidth="1"/>
    <col min="50" max="50" width="3.7109375" style="5" customWidth="1"/>
    <col min="51" max="55" width="13.7109375" style="0" customWidth="1"/>
    <col min="56" max="56" width="3.7109375" style="6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0" customWidth="1"/>
    <col min="69" max="73" width="13.7109375" style="6" customWidth="1"/>
    <col min="74" max="74" width="3.7109375" style="6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2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8" width="13.7109375" style="6" customWidth="1"/>
    <col min="139" max="139" width="3.7109375" style="6" customWidth="1"/>
  </cols>
  <sheetData>
    <row r="1" spans="1:135" ht="12.75">
      <c r="A1" s="1"/>
      <c r="B1" s="2"/>
      <c r="D1" s="4"/>
      <c r="I1" s="4" t="s">
        <v>95</v>
      </c>
      <c r="O1" s="4"/>
      <c r="AA1" s="4" t="s">
        <v>95</v>
      </c>
      <c r="AS1" s="4" t="s">
        <v>95</v>
      </c>
      <c r="BK1" s="4" t="s">
        <v>95</v>
      </c>
      <c r="BW1" s="4"/>
      <c r="CC1" s="4" t="s">
        <v>95</v>
      </c>
      <c r="CI1" s="4"/>
      <c r="CU1" s="4" t="s">
        <v>95</v>
      </c>
      <c r="DA1" s="4"/>
      <c r="DM1" s="4" t="s">
        <v>95</v>
      </c>
      <c r="EE1" s="4" t="s">
        <v>95</v>
      </c>
    </row>
    <row r="2" spans="1:135" ht="12.75">
      <c r="A2" s="1"/>
      <c r="B2" s="2"/>
      <c r="D2" s="4"/>
      <c r="I2" s="4" t="s">
        <v>94</v>
      </c>
      <c r="O2" s="4"/>
      <c r="AA2" s="4" t="s">
        <v>94</v>
      </c>
      <c r="AS2" s="4" t="s">
        <v>94</v>
      </c>
      <c r="BK2" s="4" t="s">
        <v>94</v>
      </c>
      <c r="BW2" s="4"/>
      <c r="CC2" s="4" t="s">
        <v>94</v>
      </c>
      <c r="CI2" s="4"/>
      <c r="CU2" s="4" t="s">
        <v>94</v>
      </c>
      <c r="DA2" s="4"/>
      <c r="DM2" s="4" t="s">
        <v>94</v>
      </c>
      <c r="EE2" s="4" t="s">
        <v>94</v>
      </c>
    </row>
    <row r="3" spans="1:135" ht="12.75">
      <c r="A3" s="1"/>
      <c r="B3" s="2"/>
      <c r="D3" s="7"/>
      <c r="I3" s="4" t="s">
        <v>167</v>
      </c>
      <c r="O3" s="4"/>
      <c r="P3" s="8"/>
      <c r="AA3" s="4" t="str">
        <f>I3</f>
        <v>    2011 Series A Bond Funded Projects refinanced on 2016B</v>
      </c>
      <c r="AS3" s="4" t="s">
        <v>122</v>
      </c>
      <c r="BK3" s="4" t="s">
        <v>122</v>
      </c>
      <c r="BW3" s="4"/>
      <c r="CC3" s="4" t="s">
        <v>122</v>
      </c>
      <c r="CI3" s="4"/>
      <c r="CU3" s="4" t="s">
        <v>122</v>
      </c>
      <c r="DA3" s="4"/>
      <c r="DM3" s="4" t="s">
        <v>122</v>
      </c>
      <c r="EE3" s="4" t="s">
        <v>122</v>
      </c>
    </row>
    <row r="4" spans="1:4" ht="12.75">
      <c r="A4" s="1"/>
      <c r="B4" s="2"/>
      <c r="C4" s="7"/>
      <c r="D4" s="4"/>
    </row>
    <row r="5" spans="1:138" ht="12.75">
      <c r="A5" s="9" t="s">
        <v>0</v>
      </c>
      <c r="C5" s="10" t="s">
        <v>166</v>
      </c>
      <c r="D5" s="11"/>
      <c r="E5" s="12"/>
      <c r="F5" s="12"/>
      <c r="G5" s="31"/>
      <c r="I5" s="13" t="s">
        <v>131</v>
      </c>
      <c r="J5" s="14"/>
      <c r="K5" s="15"/>
      <c r="L5" s="74"/>
      <c r="M5" s="31"/>
      <c r="O5" s="13" t="s">
        <v>136</v>
      </c>
      <c r="P5" s="16"/>
      <c r="Q5" s="15"/>
      <c r="R5" s="74"/>
      <c r="S5" s="31"/>
      <c r="U5" s="20" t="s">
        <v>132</v>
      </c>
      <c r="V5" s="18"/>
      <c r="W5" s="19"/>
      <c r="X5" s="74"/>
      <c r="Y5" s="31"/>
      <c r="AA5" s="17" t="s">
        <v>1</v>
      </c>
      <c r="AB5" s="18"/>
      <c r="AC5" s="19"/>
      <c r="AD5" s="74"/>
      <c r="AE5" s="31"/>
      <c r="AG5" s="20" t="s">
        <v>98</v>
      </c>
      <c r="AH5" s="18"/>
      <c r="AI5" s="19"/>
      <c r="AJ5" s="74"/>
      <c r="AK5" s="31"/>
      <c r="AM5" s="20" t="s">
        <v>147</v>
      </c>
      <c r="AN5" s="18"/>
      <c r="AO5" s="19"/>
      <c r="AP5" s="74"/>
      <c r="AQ5" s="31"/>
      <c r="AS5" s="17" t="s">
        <v>148</v>
      </c>
      <c r="AT5" s="18"/>
      <c r="AU5" s="19"/>
      <c r="AV5" s="74"/>
      <c r="AW5" s="31"/>
      <c r="AY5" s="20" t="s">
        <v>149</v>
      </c>
      <c r="AZ5" s="18"/>
      <c r="BA5" s="19"/>
      <c r="BB5" s="74"/>
      <c r="BC5" s="31"/>
      <c r="BE5" s="17" t="s">
        <v>2</v>
      </c>
      <c r="BF5" s="18"/>
      <c r="BG5" s="19"/>
      <c r="BH5" s="74"/>
      <c r="BI5" s="31"/>
      <c r="BK5" s="17" t="s">
        <v>3</v>
      </c>
      <c r="BL5" s="18"/>
      <c r="BM5" s="19"/>
      <c r="BN5" s="74"/>
      <c r="BO5" s="31"/>
      <c r="BP5" s="21"/>
      <c r="BQ5" s="17" t="s">
        <v>4</v>
      </c>
      <c r="BR5" s="18"/>
      <c r="BS5" s="19"/>
      <c r="BT5" s="74"/>
      <c r="BU5" s="31"/>
      <c r="BW5" s="20" t="s">
        <v>150</v>
      </c>
      <c r="BX5" s="18"/>
      <c r="BY5" s="19"/>
      <c r="BZ5" s="74"/>
      <c r="CA5" s="31"/>
      <c r="CC5" s="17" t="s">
        <v>5</v>
      </c>
      <c r="CD5" s="18"/>
      <c r="CE5" s="19"/>
      <c r="CF5" s="74"/>
      <c r="CG5" s="31"/>
      <c r="CI5" s="17" t="s">
        <v>6</v>
      </c>
      <c r="CJ5" s="18"/>
      <c r="CK5" s="19"/>
      <c r="CL5" s="74"/>
      <c r="CM5" s="31"/>
      <c r="CO5" s="20" t="s">
        <v>7</v>
      </c>
      <c r="CP5" s="18"/>
      <c r="CQ5" s="19"/>
      <c r="CR5" s="74"/>
      <c r="CS5" s="31"/>
      <c r="CU5" s="17" t="s">
        <v>133</v>
      </c>
      <c r="CV5" s="18"/>
      <c r="CW5" s="19"/>
      <c r="CX5" s="74"/>
      <c r="CY5" s="31"/>
      <c r="DA5" s="20" t="s">
        <v>8</v>
      </c>
      <c r="DB5" s="18"/>
      <c r="DC5" s="19"/>
      <c r="DD5" s="74"/>
      <c r="DE5" s="31"/>
      <c r="DG5" s="20" t="s">
        <v>9</v>
      </c>
      <c r="DH5" s="18"/>
      <c r="DI5" s="19"/>
      <c r="DJ5" s="74"/>
      <c r="DK5" s="31"/>
      <c r="DM5" s="20" t="s">
        <v>10</v>
      </c>
      <c r="DN5" s="18"/>
      <c r="DO5" s="19"/>
      <c r="DP5" s="74"/>
      <c r="DQ5" s="31"/>
      <c r="DS5" s="20" t="s">
        <v>134</v>
      </c>
      <c r="DT5" s="18"/>
      <c r="DU5" s="19"/>
      <c r="DV5" s="74"/>
      <c r="DW5" s="31"/>
      <c r="DY5" s="17" t="s">
        <v>11</v>
      </c>
      <c r="DZ5" s="18"/>
      <c r="EA5" s="19"/>
      <c r="EB5" s="74"/>
      <c r="EC5" s="31"/>
      <c r="EE5" s="20" t="s">
        <v>12</v>
      </c>
      <c r="EF5" s="18"/>
      <c r="EG5" s="19"/>
      <c r="EH5" s="21"/>
    </row>
    <row r="6" spans="1:138" s="8" customFormat="1" ht="12.75">
      <c r="A6" s="22" t="s">
        <v>13</v>
      </c>
      <c r="C6" s="42" t="s">
        <v>135</v>
      </c>
      <c r="D6" s="14"/>
      <c r="E6" s="41"/>
      <c r="F6" s="31" t="s">
        <v>159</v>
      </c>
      <c r="G6" s="31" t="s">
        <v>159</v>
      </c>
      <c r="H6" s="5"/>
      <c r="I6" s="23">
        <v>0.0276096</v>
      </c>
      <c r="J6" s="24">
        <v>0.1184027</v>
      </c>
      <c r="K6" s="25">
        <v>0.150722</v>
      </c>
      <c r="L6" s="31" t="s">
        <v>159</v>
      </c>
      <c r="M6" s="31" t="s">
        <v>159</v>
      </c>
      <c r="N6" s="5"/>
      <c r="O6" s="23">
        <f>U6+AA6+AG6+AM6+AS6+AY6+BE6+BK6+BQ6+CC6+CI6+CO6+CU6+DA6+DG6+DM6+DS6+DY6+EE6+BW6</f>
        <v>0.977088</v>
      </c>
      <c r="P6" s="26">
        <f>V6+AT6+AZ6+CP6+DZ6+EF6+AB6+BF6+CD6+CJ6+DB6+DN6+DT6+AH6+AN6+BL6+CV6+DH6+BR6+BX6</f>
        <v>0.8815973000000001</v>
      </c>
      <c r="Q6" s="25">
        <f>W6+AC6+AI6+AO6+AU6+BA6+BG6+BM6+BS6+BY6+CE6+CK6+CQ6+CW6+DC6+DI6+DO6+DU6+EA6+EG6</f>
        <v>0.8492780000000001</v>
      </c>
      <c r="R6" s="31" t="s">
        <v>159</v>
      </c>
      <c r="S6" s="31" t="s">
        <v>159</v>
      </c>
      <c r="T6" s="5"/>
      <c r="U6" s="27">
        <v>0.0027577</v>
      </c>
      <c r="V6" s="28">
        <v>0.0225364</v>
      </c>
      <c r="W6" s="25">
        <v>0.0383301</v>
      </c>
      <c r="X6" s="31" t="s">
        <v>159</v>
      </c>
      <c r="Y6" s="31" t="s">
        <v>159</v>
      </c>
      <c r="Z6" s="5"/>
      <c r="AA6" s="27">
        <v>0.0314922</v>
      </c>
      <c r="AB6" s="28">
        <v>0.0639529</v>
      </c>
      <c r="AC6" s="25">
        <v>0.0694557</v>
      </c>
      <c r="AD6" s="31" t="s">
        <v>159</v>
      </c>
      <c r="AE6" s="31" t="s">
        <v>159</v>
      </c>
      <c r="AF6" s="5"/>
      <c r="AG6" s="27">
        <v>0.0028391</v>
      </c>
      <c r="AH6" s="28">
        <v>0.0537729</v>
      </c>
      <c r="AI6" s="25">
        <v>0.0559651</v>
      </c>
      <c r="AJ6" s="31" t="s">
        <v>159</v>
      </c>
      <c r="AK6" s="31" t="s">
        <v>159</v>
      </c>
      <c r="AL6" s="5"/>
      <c r="AM6" s="27">
        <v>0</v>
      </c>
      <c r="AN6" s="28">
        <v>0.0405662</v>
      </c>
      <c r="AO6" s="25">
        <v>0.066509</v>
      </c>
      <c r="AP6" s="31" t="s">
        <v>159</v>
      </c>
      <c r="AQ6" s="31" t="s">
        <v>159</v>
      </c>
      <c r="AR6" s="5"/>
      <c r="AS6" s="27">
        <v>0</v>
      </c>
      <c r="AT6" s="28">
        <v>0.00163</v>
      </c>
      <c r="AU6" s="25">
        <v>0.0039726</v>
      </c>
      <c r="AV6" s="31" t="s">
        <v>159</v>
      </c>
      <c r="AW6" s="31" t="s">
        <v>159</v>
      </c>
      <c r="AX6" s="5"/>
      <c r="AY6" s="27">
        <v>0</v>
      </c>
      <c r="AZ6" s="28">
        <v>0.0003304</v>
      </c>
      <c r="BA6" s="25">
        <v>0.0003576</v>
      </c>
      <c r="BB6" s="31" t="s">
        <v>159</v>
      </c>
      <c r="BC6" s="31" t="s">
        <v>159</v>
      </c>
      <c r="BE6" s="27">
        <v>0.0037598</v>
      </c>
      <c r="BF6" s="28">
        <v>0.0424374</v>
      </c>
      <c r="BG6" s="25">
        <v>0.0731656</v>
      </c>
      <c r="BH6" s="31" t="s">
        <v>159</v>
      </c>
      <c r="BI6" s="31" t="s">
        <v>159</v>
      </c>
      <c r="BK6" s="27">
        <v>2.5E-06</v>
      </c>
      <c r="BL6" s="28">
        <v>2.5E-06</v>
      </c>
      <c r="BM6" s="25">
        <v>2.6E-06</v>
      </c>
      <c r="BN6" s="31" t="s">
        <v>159</v>
      </c>
      <c r="BO6" s="31" t="s">
        <v>159</v>
      </c>
      <c r="BP6" s="72"/>
      <c r="BQ6" s="27">
        <v>0.0031753</v>
      </c>
      <c r="BR6" s="28">
        <v>0.0638023</v>
      </c>
      <c r="BS6" s="25">
        <v>0.093455</v>
      </c>
      <c r="BT6" s="31" t="s">
        <v>159</v>
      </c>
      <c r="BU6" s="31" t="s">
        <v>159</v>
      </c>
      <c r="BW6" s="27">
        <v>0</v>
      </c>
      <c r="BX6" s="28">
        <v>1.49E-05</v>
      </c>
      <c r="BY6" s="25">
        <v>0.0002205</v>
      </c>
      <c r="BZ6" s="31" t="s">
        <v>159</v>
      </c>
      <c r="CA6" s="31" t="s">
        <v>159</v>
      </c>
      <c r="CC6" s="27">
        <v>0.0072025</v>
      </c>
      <c r="CD6" s="28">
        <v>0.0214144</v>
      </c>
      <c r="CE6" s="25">
        <v>0.0391863</v>
      </c>
      <c r="CF6" s="31" t="s">
        <v>159</v>
      </c>
      <c r="CG6" s="31" t="s">
        <v>159</v>
      </c>
      <c r="CI6" s="27">
        <v>8.66E-05</v>
      </c>
      <c r="CJ6" s="28">
        <v>0.0001901</v>
      </c>
      <c r="CK6" s="25">
        <v>0.0001978</v>
      </c>
      <c r="CL6" s="31" t="s">
        <v>159</v>
      </c>
      <c r="CM6" s="31" t="s">
        <v>159</v>
      </c>
      <c r="CO6" s="27">
        <v>0.0004635</v>
      </c>
      <c r="CP6" s="28">
        <v>0.0049698</v>
      </c>
      <c r="CQ6" s="25">
        <v>0.0076906</v>
      </c>
      <c r="CR6" s="31" t="s">
        <v>159</v>
      </c>
      <c r="CS6" s="31" t="s">
        <v>159</v>
      </c>
      <c r="CU6" s="27">
        <v>0.0021123</v>
      </c>
      <c r="CV6" s="28">
        <v>0.0024687</v>
      </c>
      <c r="CW6" s="25">
        <v>0.0040943</v>
      </c>
      <c r="CX6" s="31" t="s">
        <v>159</v>
      </c>
      <c r="CY6" s="31" t="s">
        <v>159</v>
      </c>
      <c r="DA6" s="27">
        <v>0.0114827</v>
      </c>
      <c r="DB6" s="28">
        <v>0.0127301</v>
      </c>
      <c r="DC6" s="25">
        <v>0.0133414</v>
      </c>
      <c r="DD6" s="31" t="s">
        <v>159</v>
      </c>
      <c r="DE6" s="31" t="s">
        <v>159</v>
      </c>
      <c r="DG6" s="27">
        <v>0.0341885</v>
      </c>
      <c r="DH6" s="28">
        <v>0.0945673</v>
      </c>
      <c r="DI6" s="25">
        <v>0.1174377</v>
      </c>
      <c r="DJ6" s="31" t="s">
        <v>159</v>
      </c>
      <c r="DK6" s="31" t="s">
        <v>159</v>
      </c>
      <c r="DM6" s="27">
        <v>0.0324867</v>
      </c>
      <c r="DN6" s="28">
        <v>0.1778921</v>
      </c>
      <c r="DO6" s="25">
        <v>0.2431357</v>
      </c>
      <c r="DP6" s="31" t="s">
        <v>159</v>
      </c>
      <c r="DQ6" s="31" t="s">
        <v>159</v>
      </c>
      <c r="DS6" s="27">
        <v>0.0078216</v>
      </c>
      <c r="DT6" s="28">
        <v>0.0102824</v>
      </c>
      <c r="DU6" s="25">
        <v>0.0107909</v>
      </c>
      <c r="DV6" s="31" t="s">
        <v>159</v>
      </c>
      <c r="DW6" s="31" t="s">
        <v>159</v>
      </c>
      <c r="DY6" s="27">
        <v>0.0042498</v>
      </c>
      <c r="DZ6" s="28">
        <v>0.0114622</v>
      </c>
      <c r="EA6" s="25">
        <v>0.0119695</v>
      </c>
      <c r="EB6" s="31" t="s">
        <v>159</v>
      </c>
      <c r="EC6" s="31" t="s">
        <v>159</v>
      </c>
      <c r="EE6" s="27">
        <v>0.8329672</v>
      </c>
      <c r="EF6" s="28">
        <v>0.2565743</v>
      </c>
      <c r="EG6" s="25"/>
      <c r="EH6" s="72"/>
    </row>
    <row r="7" spans="1:13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165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165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165</v>
      </c>
      <c r="U7" s="32" t="s">
        <v>14</v>
      </c>
      <c r="V7" s="32" t="s">
        <v>15</v>
      </c>
      <c r="W7" s="32" t="s">
        <v>16</v>
      </c>
      <c r="X7" s="31" t="s">
        <v>160</v>
      </c>
      <c r="Y7" s="31" t="s">
        <v>165</v>
      </c>
      <c r="AA7" s="32" t="s">
        <v>14</v>
      </c>
      <c r="AB7" s="32" t="s">
        <v>15</v>
      </c>
      <c r="AC7" s="32" t="s">
        <v>16</v>
      </c>
      <c r="AD7" s="31" t="s">
        <v>160</v>
      </c>
      <c r="AE7" s="31" t="s">
        <v>165</v>
      </c>
      <c r="AG7" s="32" t="s">
        <v>14</v>
      </c>
      <c r="AH7" s="32" t="s">
        <v>15</v>
      </c>
      <c r="AI7" s="32" t="s">
        <v>16</v>
      </c>
      <c r="AJ7" s="31" t="s">
        <v>160</v>
      </c>
      <c r="AK7" s="31" t="s">
        <v>165</v>
      </c>
      <c r="AM7" s="32" t="s">
        <v>14</v>
      </c>
      <c r="AN7" s="32" t="s">
        <v>15</v>
      </c>
      <c r="AO7" s="32" t="s">
        <v>16</v>
      </c>
      <c r="AP7" s="31" t="s">
        <v>160</v>
      </c>
      <c r="AQ7" s="31" t="s">
        <v>165</v>
      </c>
      <c r="AS7" s="32" t="s">
        <v>14</v>
      </c>
      <c r="AT7" s="32" t="s">
        <v>15</v>
      </c>
      <c r="AU7" s="32" t="s">
        <v>16</v>
      </c>
      <c r="AV7" s="31" t="s">
        <v>160</v>
      </c>
      <c r="AW7" s="31" t="s">
        <v>165</v>
      </c>
      <c r="AY7" s="32" t="s">
        <v>14</v>
      </c>
      <c r="AZ7" s="32" t="s">
        <v>15</v>
      </c>
      <c r="BA7" s="32" t="s">
        <v>16</v>
      </c>
      <c r="BB7" s="31" t="s">
        <v>160</v>
      </c>
      <c r="BC7" s="31" t="s">
        <v>165</v>
      </c>
      <c r="BE7" s="32" t="s">
        <v>14</v>
      </c>
      <c r="BF7" s="32" t="s">
        <v>15</v>
      </c>
      <c r="BG7" s="32" t="s">
        <v>16</v>
      </c>
      <c r="BH7" s="31" t="s">
        <v>160</v>
      </c>
      <c r="BI7" s="31" t="s">
        <v>165</v>
      </c>
      <c r="BK7" s="32" t="s">
        <v>14</v>
      </c>
      <c r="BL7" s="32" t="s">
        <v>15</v>
      </c>
      <c r="BM7" s="32" t="s">
        <v>16</v>
      </c>
      <c r="BN7" s="31" t="s">
        <v>160</v>
      </c>
      <c r="BO7" s="31" t="s">
        <v>165</v>
      </c>
      <c r="BP7" s="33"/>
      <c r="BQ7" s="32" t="s">
        <v>14</v>
      </c>
      <c r="BR7" s="32" t="s">
        <v>15</v>
      </c>
      <c r="BS7" s="32" t="s">
        <v>16</v>
      </c>
      <c r="BT7" s="31" t="s">
        <v>160</v>
      </c>
      <c r="BU7" s="31" t="s">
        <v>165</v>
      </c>
      <c r="BW7" s="32" t="s">
        <v>14</v>
      </c>
      <c r="BX7" s="32" t="s">
        <v>15</v>
      </c>
      <c r="BY7" s="32" t="s">
        <v>16</v>
      </c>
      <c r="BZ7" s="31" t="s">
        <v>160</v>
      </c>
      <c r="CA7" s="31" t="s">
        <v>165</v>
      </c>
      <c r="CC7" s="32" t="s">
        <v>14</v>
      </c>
      <c r="CD7" s="32" t="s">
        <v>15</v>
      </c>
      <c r="CE7" s="32" t="s">
        <v>16</v>
      </c>
      <c r="CF7" s="31" t="s">
        <v>160</v>
      </c>
      <c r="CG7" s="31" t="s">
        <v>165</v>
      </c>
      <c r="CI7" s="32" t="s">
        <v>14</v>
      </c>
      <c r="CJ7" s="32" t="s">
        <v>15</v>
      </c>
      <c r="CK7" s="32" t="s">
        <v>16</v>
      </c>
      <c r="CL7" s="31" t="s">
        <v>160</v>
      </c>
      <c r="CM7" s="31" t="s">
        <v>165</v>
      </c>
      <c r="CO7" s="32" t="s">
        <v>14</v>
      </c>
      <c r="CP7" s="32" t="s">
        <v>15</v>
      </c>
      <c r="CQ7" s="32" t="s">
        <v>16</v>
      </c>
      <c r="CR7" s="31" t="s">
        <v>160</v>
      </c>
      <c r="CS7" s="31" t="s">
        <v>165</v>
      </c>
      <c r="CU7" s="32" t="s">
        <v>14</v>
      </c>
      <c r="CV7" s="32" t="s">
        <v>15</v>
      </c>
      <c r="CW7" s="32" t="s">
        <v>16</v>
      </c>
      <c r="CX7" s="31" t="s">
        <v>160</v>
      </c>
      <c r="CY7" s="31" t="s">
        <v>165</v>
      </c>
      <c r="DA7" s="32" t="s">
        <v>14</v>
      </c>
      <c r="DB7" s="32" t="s">
        <v>15</v>
      </c>
      <c r="DC7" s="32" t="s">
        <v>16</v>
      </c>
      <c r="DD7" s="31" t="s">
        <v>160</v>
      </c>
      <c r="DE7" s="31" t="s">
        <v>165</v>
      </c>
      <c r="DG7" s="32" t="s">
        <v>14</v>
      </c>
      <c r="DH7" s="32" t="s">
        <v>15</v>
      </c>
      <c r="DI7" s="32" t="s">
        <v>16</v>
      </c>
      <c r="DJ7" s="31" t="s">
        <v>160</v>
      </c>
      <c r="DK7" s="31" t="s">
        <v>165</v>
      </c>
      <c r="DM7" s="32" t="s">
        <v>14</v>
      </c>
      <c r="DN7" s="32" t="s">
        <v>15</v>
      </c>
      <c r="DO7" s="32" t="s">
        <v>16</v>
      </c>
      <c r="DP7" s="31" t="s">
        <v>160</v>
      </c>
      <c r="DQ7" s="31" t="s">
        <v>165</v>
      </c>
      <c r="DS7" s="32" t="s">
        <v>14</v>
      </c>
      <c r="DT7" s="32" t="s">
        <v>15</v>
      </c>
      <c r="DU7" s="32" t="s">
        <v>16</v>
      </c>
      <c r="DV7" s="31" t="s">
        <v>160</v>
      </c>
      <c r="DW7" s="31" t="s">
        <v>165</v>
      </c>
      <c r="DY7" s="32" t="s">
        <v>14</v>
      </c>
      <c r="DZ7" s="32" t="s">
        <v>15</v>
      </c>
      <c r="EA7" s="32" t="s">
        <v>16</v>
      </c>
      <c r="EB7" s="31" t="s">
        <v>160</v>
      </c>
      <c r="EC7" s="31" t="s">
        <v>165</v>
      </c>
      <c r="EE7" s="32" t="s">
        <v>14</v>
      </c>
      <c r="EF7" s="32" t="s">
        <v>15</v>
      </c>
      <c r="EG7" s="32" t="s">
        <v>16</v>
      </c>
      <c r="EH7" s="33"/>
    </row>
    <row r="8" spans="1:153" ht="12.75">
      <c r="A8" s="37">
        <v>42278</v>
      </c>
      <c r="E8" s="35">
        <f aca="true" t="shared" si="0" ref="E8:E39">C8+D8</f>
        <v>0</v>
      </c>
      <c r="F8" s="35"/>
      <c r="G8" s="35"/>
      <c r="I8" s="36"/>
      <c r="J8" s="36">
        <f>'2016B Academic'!J8</f>
        <v>0</v>
      </c>
      <c r="K8" s="36">
        <f>I8+J8</f>
        <v>0</v>
      </c>
      <c r="L8" s="36">
        <f>'2016B Academic'!L8</f>
        <v>0</v>
      </c>
      <c r="M8" s="36"/>
      <c r="O8" s="36"/>
      <c r="P8" s="35">
        <f aca="true" t="shared" si="1" ref="P8:P39">V8+AB8+AH8+AN8+AT8+AZ8+BF8+BL8+BR8+BX8+CD8+CJ8+CP8+CV8+DB8+DH8+DN8+DT8+DZ8+EF8</f>
        <v>0</v>
      </c>
      <c r="Q8" s="5">
        <f aca="true" t="shared" si="2" ref="Q8:Q39">O8+P8</f>
        <v>0</v>
      </c>
      <c r="R8" s="35">
        <f aca="true" t="shared" si="3" ref="R8:S39">X8+AD8+AJ8+AP8+AV8+BB8+BH8+BN8+BT8+BZ8+CF8+CL8+CR8+CX8+DD8+DJ8+DP8+DV8+EB8+EH8</f>
        <v>0</v>
      </c>
      <c r="S8" s="35"/>
      <c r="U8" s="36"/>
      <c r="V8" s="36">
        <f aca="true" t="shared" si="4" ref="V8:V39">D8*$W$6</f>
        <v>0</v>
      </c>
      <c r="W8" s="5">
        <f aca="true" t="shared" si="5" ref="W8:W39">U8+V8</f>
        <v>0</v>
      </c>
      <c r="X8" s="36">
        <f aca="true" t="shared" si="6" ref="X8:X39">W$6*$F8</f>
        <v>0</v>
      </c>
      <c r="Y8" s="36"/>
      <c r="AB8" s="36">
        <f aca="true" t="shared" si="7" ref="AB8:AB39">D8*$AC$6</f>
        <v>0</v>
      </c>
      <c r="AC8" s="36">
        <f aca="true" t="shared" si="8" ref="AC8:AC39">AA8+AB8</f>
        <v>0</v>
      </c>
      <c r="AD8" s="36">
        <f aca="true" t="shared" si="9" ref="AD8:AD39">AC$6*$F8</f>
        <v>0</v>
      </c>
      <c r="AE8" s="36"/>
      <c r="AH8" s="5">
        <f aca="true" t="shared" si="10" ref="AH8:AH39">D8*$AI$6</f>
        <v>0</v>
      </c>
      <c r="AI8" s="5">
        <f aca="true" t="shared" si="11" ref="AI8:AI39">AG8+AH8</f>
        <v>0</v>
      </c>
      <c r="AJ8" s="36">
        <f aca="true" t="shared" si="12" ref="AJ8:AJ39">AI$6*$F8</f>
        <v>0</v>
      </c>
      <c r="AK8" s="36"/>
      <c r="AN8" s="5">
        <f aca="true" t="shared" si="13" ref="AN8:AN39">D8*$AO$6</f>
        <v>0</v>
      </c>
      <c r="AO8" s="5">
        <f aca="true" t="shared" si="14" ref="AO8:AO39">AM8+AN8</f>
        <v>0</v>
      </c>
      <c r="AP8" s="36">
        <f aca="true" t="shared" si="15" ref="AP8:AP39">AO$6*$F8</f>
        <v>0</v>
      </c>
      <c r="AQ8" s="36"/>
      <c r="AS8" s="36"/>
      <c r="AT8" s="36">
        <f aca="true" t="shared" si="16" ref="AT8:AT39">D8*$AU$6</f>
        <v>0</v>
      </c>
      <c r="AU8" s="5">
        <f aca="true" t="shared" si="17" ref="AU8:AU39">AS8+AT8</f>
        <v>0</v>
      </c>
      <c r="AV8" s="36">
        <f aca="true" t="shared" si="18" ref="AV8:AV39">AU$6*$F8</f>
        <v>0</v>
      </c>
      <c r="AW8" s="36"/>
      <c r="AY8" s="36"/>
      <c r="AZ8" s="36">
        <f aca="true" t="shared" si="19" ref="AZ8:AZ39">D8*$BA$6</f>
        <v>0</v>
      </c>
      <c r="BA8" s="5">
        <f aca="true" t="shared" si="20" ref="BA8:BA39">AY8+AZ8</f>
        <v>0</v>
      </c>
      <c r="BB8" s="36">
        <f aca="true" t="shared" si="21" ref="BB8:BB39">BA$6*$F8</f>
        <v>0</v>
      </c>
      <c r="BC8" s="36"/>
      <c r="BD8" s="5"/>
      <c r="BE8" s="36"/>
      <c r="BF8" s="36">
        <f aca="true" t="shared" si="22" ref="BF8:BF39">D8*$BG$6</f>
        <v>0</v>
      </c>
      <c r="BG8" s="5">
        <f aca="true" t="shared" si="23" ref="BG8:BG39">BE8+BF8</f>
        <v>0</v>
      </c>
      <c r="BH8" s="36">
        <f aca="true" t="shared" si="24" ref="BH8:BH39">BG$6*$F8</f>
        <v>0</v>
      </c>
      <c r="BI8" s="36"/>
      <c r="BJ8" s="5"/>
      <c r="BK8" s="36"/>
      <c r="BL8" s="36">
        <f aca="true" t="shared" si="25" ref="BL8:BL39">D8*$BM$6</f>
        <v>0</v>
      </c>
      <c r="BM8" s="5">
        <f aca="true" t="shared" si="26" ref="BM8:BM39">BK8+BL8</f>
        <v>0</v>
      </c>
      <c r="BN8" s="36">
        <f aca="true" t="shared" si="27" ref="BN8:BN39">BM$6*$F8</f>
        <v>0</v>
      </c>
      <c r="BO8" s="36"/>
      <c r="BP8" s="5"/>
      <c r="BQ8" s="36"/>
      <c r="BR8" s="36">
        <f aca="true" t="shared" si="28" ref="BR8:BR39">D8*$BS$6</f>
        <v>0</v>
      </c>
      <c r="BS8" s="5">
        <f aca="true" t="shared" si="29" ref="BS8:BS39">BQ8+BR8</f>
        <v>0</v>
      </c>
      <c r="BT8" s="36">
        <f aca="true" t="shared" si="30" ref="BT8:BT39">BS$6*$F8</f>
        <v>0</v>
      </c>
      <c r="BU8" s="36"/>
      <c r="BV8" s="5"/>
      <c r="BW8" s="36"/>
      <c r="BX8" s="36">
        <f aca="true" t="shared" si="31" ref="BX8:BX39">D8*$BY$6</f>
        <v>0</v>
      </c>
      <c r="BY8" s="5">
        <f aca="true" t="shared" si="32" ref="BY8:BY39">BW8+BX8</f>
        <v>0</v>
      </c>
      <c r="BZ8" s="36">
        <f aca="true" t="shared" si="33" ref="BZ8:BZ39">BY$6*$F8</f>
        <v>0</v>
      </c>
      <c r="CA8" s="36"/>
      <c r="CB8" s="5"/>
      <c r="CC8" s="36"/>
      <c r="CD8" s="36">
        <f aca="true" t="shared" si="34" ref="CD8:CD39">D8*$CE$6</f>
        <v>0</v>
      </c>
      <c r="CE8" s="5">
        <f aca="true" t="shared" si="35" ref="CE8:CE39">CC8+CD8</f>
        <v>0</v>
      </c>
      <c r="CF8" s="36">
        <f aca="true" t="shared" si="36" ref="CF8:CF39">CE$6*$F8</f>
        <v>0</v>
      </c>
      <c r="CG8" s="36"/>
      <c r="CH8" s="5"/>
      <c r="CI8" s="5"/>
      <c r="CJ8" s="5">
        <f aca="true" t="shared" si="37" ref="CJ8:CJ39">D8*$CK$6</f>
        <v>0</v>
      </c>
      <c r="CK8" s="5">
        <f aca="true" t="shared" si="38" ref="CK8:CK39">CI8+CJ8</f>
        <v>0</v>
      </c>
      <c r="CL8" s="36">
        <f aca="true" t="shared" si="39" ref="CL8:CL39">CK$6*$F8</f>
        <v>0</v>
      </c>
      <c r="CM8" s="36"/>
      <c r="CN8" s="5"/>
      <c r="CO8" s="36"/>
      <c r="CP8" s="36">
        <f aca="true" t="shared" si="40" ref="CP8:CP39">D8*$CQ$6</f>
        <v>0</v>
      </c>
      <c r="CQ8" s="5">
        <f aca="true" t="shared" si="41" ref="CQ8:CQ39">CO8+CP8</f>
        <v>0</v>
      </c>
      <c r="CR8" s="36">
        <f aca="true" t="shared" si="42" ref="CR8:CR39">CQ$6*$F8</f>
        <v>0</v>
      </c>
      <c r="CS8" s="36"/>
      <c r="CT8" s="5"/>
      <c r="CU8" s="36"/>
      <c r="CV8" s="36">
        <f aca="true" t="shared" si="43" ref="CV8:CV39">D8*$CW$6</f>
        <v>0</v>
      </c>
      <c r="CW8" s="5">
        <f aca="true" t="shared" si="44" ref="CW8:CW39">CU8+CV8</f>
        <v>0</v>
      </c>
      <c r="CX8" s="36">
        <f aca="true" t="shared" si="45" ref="CX8:CX39">CW$6*$F8</f>
        <v>0</v>
      </c>
      <c r="CY8" s="36"/>
      <c r="CZ8" s="5"/>
      <c r="DA8" s="5"/>
      <c r="DB8" s="36">
        <f aca="true" t="shared" si="46" ref="DB8:DB39">D8*$DC$6</f>
        <v>0</v>
      </c>
      <c r="DC8" s="36">
        <f aca="true" t="shared" si="47" ref="DC8:DC39">DA8+DB8</f>
        <v>0</v>
      </c>
      <c r="DD8" s="36">
        <f aca="true" t="shared" si="48" ref="DD8:DD39">DC$6*$F8</f>
        <v>0</v>
      </c>
      <c r="DE8" s="36"/>
      <c r="DF8" s="5"/>
      <c r="DG8" s="5"/>
      <c r="DH8" s="36">
        <f aca="true" t="shared" si="49" ref="DH8:DH39">D8*$DI$6</f>
        <v>0</v>
      </c>
      <c r="DI8" s="36">
        <f aca="true" t="shared" si="50" ref="DI8:DI39">DG8+DH8</f>
        <v>0</v>
      </c>
      <c r="DJ8" s="36">
        <f aca="true" t="shared" si="51" ref="DJ8:DJ39">DI$6*$F8</f>
        <v>0</v>
      </c>
      <c r="DK8" s="36"/>
      <c r="DL8" s="5"/>
      <c r="DM8" s="36"/>
      <c r="DN8" s="36">
        <f aca="true" t="shared" si="52" ref="DN8:DN39">D8*$DO$6</f>
        <v>0</v>
      </c>
      <c r="DO8" s="5">
        <f aca="true" t="shared" si="53" ref="DO8:DO39">DM8+DN8</f>
        <v>0</v>
      </c>
      <c r="DP8" s="36">
        <f aca="true" t="shared" si="54" ref="DP8:DP39">DO$6*$F8</f>
        <v>0</v>
      </c>
      <c r="DQ8" s="36"/>
      <c r="DR8" s="5"/>
      <c r="DS8" s="5"/>
      <c r="DT8" s="5">
        <f aca="true" t="shared" si="55" ref="DT8:DT39">D8*$DU$6</f>
        <v>0</v>
      </c>
      <c r="DU8" s="5">
        <f aca="true" t="shared" si="56" ref="DU8:DU39">DS8+DT8</f>
        <v>0</v>
      </c>
      <c r="DV8" s="36">
        <f aca="true" t="shared" si="57" ref="DV8:DV39">DU$6*$F8</f>
        <v>0</v>
      </c>
      <c r="DW8" s="36"/>
      <c r="DX8" s="5"/>
      <c r="DY8" s="36"/>
      <c r="DZ8" s="36">
        <f aca="true" t="shared" si="58" ref="DZ8:DZ39">D8*$EA$6</f>
        <v>0</v>
      </c>
      <c r="EA8" s="5">
        <f aca="true" t="shared" si="59" ref="EA8:EA39">DY8+DZ8</f>
        <v>0</v>
      </c>
      <c r="EB8" s="36">
        <f aca="true" t="shared" si="60" ref="EB8:EB39">EA$6*$F8</f>
        <v>0</v>
      </c>
      <c r="EC8" s="36"/>
      <c r="ED8" s="5"/>
      <c r="EE8" s="36"/>
      <c r="EF8" s="36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53" ht="12.75">
      <c r="A9" s="37">
        <v>42461</v>
      </c>
      <c r="E9" s="35">
        <f t="shared" si="0"/>
        <v>0</v>
      </c>
      <c r="F9" s="35"/>
      <c r="G9" s="35"/>
      <c r="I9" s="36"/>
      <c r="J9" s="36">
        <f>'2016B Academic'!J9</f>
        <v>0</v>
      </c>
      <c r="K9" s="36">
        <f aca="true" t="shared" si="61" ref="K9:K39">I9+J9</f>
        <v>0</v>
      </c>
      <c r="L9" s="36">
        <f>'2016B Academic'!L9</f>
        <v>0</v>
      </c>
      <c r="M9" s="36"/>
      <c r="O9" s="36">
        <f aca="true" t="shared" si="62" ref="O9:O39">U9+AA9+AG9+AM9+AS9+AY9+BE9+BK9+BQ9+BW9+CC9+CI9+CO9+CP120+CU9+DA9+DG9+DM9+DS9+DY9+EE9</f>
        <v>0</v>
      </c>
      <c r="P9" s="35">
        <f t="shared" si="1"/>
        <v>0</v>
      </c>
      <c r="Q9" s="5">
        <f t="shared" si="2"/>
        <v>0</v>
      </c>
      <c r="R9" s="35">
        <f t="shared" si="3"/>
        <v>0</v>
      </c>
      <c r="S9" s="35"/>
      <c r="U9" s="36">
        <f aca="true" t="shared" si="63" ref="U9:U39">C9*$W$6</f>
        <v>0</v>
      </c>
      <c r="V9" s="36">
        <f t="shared" si="4"/>
        <v>0</v>
      </c>
      <c r="W9" s="5">
        <f t="shared" si="5"/>
        <v>0</v>
      </c>
      <c r="X9" s="36">
        <f t="shared" si="6"/>
        <v>0</v>
      </c>
      <c r="Y9" s="36"/>
      <c r="AA9" s="5">
        <f aca="true" t="shared" si="64" ref="AA9:AA39">C9*$AC$6</f>
        <v>0</v>
      </c>
      <c r="AB9" s="36">
        <f t="shared" si="7"/>
        <v>0</v>
      </c>
      <c r="AC9" s="36">
        <f t="shared" si="8"/>
        <v>0</v>
      </c>
      <c r="AD9" s="36">
        <f t="shared" si="9"/>
        <v>0</v>
      </c>
      <c r="AE9" s="36"/>
      <c r="AG9" s="5">
        <f aca="true" t="shared" si="65" ref="AG9:AG39">C9*$AI$6</f>
        <v>0</v>
      </c>
      <c r="AH9" s="5">
        <f t="shared" si="10"/>
        <v>0</v>
      </c>
      <c r="AI9" s="5">
        <f t="shared" si="11"/>
        <v>0</v>
      </c>
      <c r="AJ9" s="36">
        <f t="shared" si="12"/>
        <v>0</v>
      </c>
      <c r="AK9" s="36"/>
      <c r="AM9" s="5">
        <f aca="true" t="shared" si="66" ref="AM9:AM39">C9*$AO$6</f>
        <v>0</v>
      </c>
      <c r="AN9" s="5">
        <f t="shared" si="13"/>
        <v>0</v>
      </c>
      <c r="AO9" s="5">
        <f t="shared" si="14"/>
        <v>0</v>
      </c>
      <c r="AP9" s="36">
        <f t="shared" si="15"/>
        <v>0</v>
      </c>
      <c r="AQ9" s="36"/>
      <c r="AS9" s="36">
        <f aca="true" t="shared" si="67" ref="AS9:AS39">C9*$AU$6</f>
        <v>0</v>
      </c>
      <c r="AT9" s="36">
        <f t="shared" si="16"/>
        <v>0</v>
      </c>
      <c r="AU9" s="5">
        <f t="shared" si="17"/>
        <v>0</v>
      </c>
      <c r="AV9" s="36">
        <f t="shared" si="18"/>
        <v>0</v>
      </c>
      <c r="AW9" s="36"/>
      <c r="AY9" s="36">
        <f aca="true" t="shared" si="68" ref="AY9:AY39">C9*$BA$6</f>
        <v>0</v>
      </c>
      <c r="AZ9" s="36">
        <f t="shared" si="19"/>
        <v>0</v>
      </c>
      <c r="BA9" s="5">
        <f t="shared" si="20"/>
        <v>0</v>
      </c>
      <c r="BB9" s="36">
        <f t="shared" si="21"/>
        <v>0</v>
      </c>
      <c r="BC9" s="36"/>
      <c r="BD9" s="5"/>
      <c r="BE9" s="36">
        <f aca="true" t="shared" si="69" ref="BE9:BE39">C9*$BG$6</f>
        <v>0</v>
      </c>
      <c r="BF9" s="36">
        <f t="shared" si="22"/>
        <v>0</v>
      </c>
      <c r="BG9" s="5">
        <f t="shared" si="23"/>
        <v>0</v>
      </c>
      <c r="BH9" s="36">
        <f t="shared" si="24"/>
        <v>0</v>
      </c>
      <c r="BI9" s="36"/>
      <c r="BJ9" s="5"/>
      <c r="BK9" s="36">
        <f aca="true" t="shared" si="70" ref="BK9:BK39">C9*$BM$6</f>
        <v>0</v>
      </c>
      <c r="BL9" s="36">
        <f t="shared" si="25"/>
        <v>0</v>
      </c>
      <c r="BM9" s="5">
        <f t="shared" si="26"/>
        <v>0</v>
      </c>
      <c r="BN9" s="36">
        <f t="shared" si="27"/>
        <v>0</v>
      </c>
      <c r="BO9" s="36"/>
      <c r="BP9" s="5"/>
      <c r="BQ9" s="36">
        <f aca="true" t="shared" si="71" ref="BQ9:BQ39">C9*$BS$6</f>
        <v>0</v>
      </c>
      <c r="BR9" s="36">
        <f t="shared" si="28"/>
        <v>0</v>
      </c>
      <c r="BS9" s="5">
        <f t="shared" si="29"/>
        <v>0</v>
      </c>
      <c r="BT9" s="36">
        <f t="shared" si="30"/>
        <v>0</v>
      </c>
      <c r="BU9" s="36"/>
      <c r="BV9" s="5"/>
      <c r="BW9" s="36">
        <f aca="true" t="shared" si="72" ref="BW9:BW39">C9*$BY$6</f>
        <v>0</v>
      </c>
      <c r="BX9" s="36">
        <f t="shared" si="31"/>
        <v>0</v>
      </c>
      <c r="BY9" s="5">
        <f t="shared" si="32"/>
        <v>0</v>
      </c>
      <c r="BZ9" s="36">
        <f t="shared" si="33"/>
        <v>0</v>
      </c>
      <c r="CA9" s="36"/>
      <c r="CB9" s="5"/>
      <c r="CC9" s="36">
        <f aca="true" t="shared" si="73" ref="CC9:CC39">C9*$CE$6</f>
        <v>0</v>
      </c>
      <c r="CD9" s="36">
        <f t="shared" si="34"/>
        <v>0</v>
      </c>
      <c r="CE9" s="5">
        <f t="shared" si="35"/>
        <v>0</v>
      </c>
      <c r="CF9" s="36">
        <f t="shared" si="36"/>
        <v>0</v>
      </c>
      <c r="CG9" s="36"/>
      <c r="CH9" s="5"/>
      <c r="CI9" s="5">
        <f aca="true" t="shared" si="74" ref="CI9:CI39">C9*$CK$6</f>
        <v>0</v>
      </c>
      <c r="CJ9" s="5">
        <f t="shared" si="37"/>
        <v>0</v>
      </c>
      <c r="CK9" s="5">
        <f t="shared" si="38"/>
        <v>0</v>
      </c>
      <c r="CL9" s="36">
        <f t="shared" si="39"/>
        <v>0</v>
      </c>
      <c r="CM9" s="36"/>
      <c r="CN9" s="5"/>
      <c r="CO9" s="36">
        <f aca="true" t="shared" si="75" ref="CO9:CO39">C9*$CQ$6</f>
        <v>0</v>
      </c>
      <c r="CP9" s="36">
        <f t="shared" si="40"/>
        <v>0</v>
      </c>
      <c r="CQ9" s="5">
        <f t="shared" si="41"/>
        <v>0</v>
      </c>
      <c r="CR9" s="36">
        <f t="shared" si="42"/>
        <v>0</v>
      </c>
      <c r="CS9" s="36"/>
      <c r="CT9" s="5"/>
      <c r="CU9" s="36">
        <f aca="true" t="shared" si="76" ref="CU9:CU39">C9*$CW$6</f>
        <v>0</v>
      </c>
      <c r="CV9" s="36">
        <f t="shared" si="43"/>
        <v>0</v>
      </c>
      <c r="CW9" s="5">
        <f t="shared" si="44"/>
        <v>0</v>
      </c>
      <c r="CX9" s="36">
        <f t="shared" si="45"/>
        <v>0</v>
      </c>
      <c r="CY9" s="36"/>
      <c r="CZ9" s="5"/>
      <c r="DA9" s="5">
        <f aca="true" t="shared" si="77" ref="DA9:DA39">C9*$DC$6</f>
        <v>0</v>
      </c>
      <c r="DB9" s="36">
        <f t="shared" si="46"/>
        <v>0</v>
      </c>
      <c r="DC9" s="36">
        <f t="shared" si="47"/>
        <v>0</v>
      </c>
      <c r="DD9" s="36">
        <f t="shared" si="48"/>
        <v>0</v>
      </c>
      <c r="DE9" s="36"/>
      <c r="DF9" s="5"/>
      <c r="DG9" s="5">
        <f aca="true" t="shared" si="78" ref="DG9:DG39">C9*$DI$6</f>
        <v>0</v>
      </c>
      <c r="DH9" s="36">
        <f t="shared" si="49"/>
        <v>0</v>
      </c>
      <c r="DI9" s="36">
        <f t="shared" si="50"/>
        <v>0</v>
      </c>
      <c r="DJ9" s="36">
        <f t="shared" si="51"/>
        <v>0</v>
      </c>
      <c r="DK9" s="36"/>
      <c r="DL9" s="5"/>
      <c r="DM9" s="36">
        <f aca="true" t="shared" si="79" ref="DM9:DM39">C9*$DO$6</f>
        <v>0</v>
      </c>
      <c r="DN9" s="36">
        <f t="shared" si="52"/>
        <v>0</v>
      </c>
      <c r="DO9" s="5">
        <f t="shared" si="53"/>
        <v>0</v>
      </c>
      <c r="DP9" s="36">
        <f t="shared" si="54"/>
        <v>0</v>
      </c>
      <c r="DQ9" s="36"/>
      <c r="DR9" s="5"/>
      <c r="DS9" s="5">
        <f aca="true" t="shared" si="80" ref="DS9:DS39">C9*$DU$6</f>
        <v>0</v>
      </c>
      <c r="DT9" s="5">
        <f t="shared" si="55"/>
        <v>0</v>
      </c>
      <c r="DU9" s="5">
        <f t="shared" si="56"/>
        <v>0</v>
      </c>
      <c r="DV9" s="36">
        <f t="shared" si="57"/>
        <v>0</v>
      </c>
      <c r="DW9" s="36"/>
      <c r="DX9" s="5"/>
      <c r="DY9" s="36">
        <f aca="true" t="shared" si="81" ref="DY9:DY39">C9*$EA$6</f>
        <v>0</v>
      </c>
      <c r="DZ9" s="36">
        <f t="shared" si="58"/>
        <v>0</v>
      </c>
      <c r="EA9" s="5">
        <f t="shared" si="59"/>
        <v>0</v>
      </c>
      <c r="EB9" s="36">
        <f t="shared" si="60"/>
        <v>0</v>
      </c>
      <c r="EC9" s="36"/>
      <c r="ED9" s="5"/>
      <c r="EE9" s="36"/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</row>
    <row r="10" spans="1:153" ht="12.75">
      <c r="A10" s="37">
        <v>42644</v>
      </c>
      <c r="D10" s="3">
        <v>1287349</v>
      </c>
      <c r="E10" s="35">
        <f t="shared" si="0"/>
        <v>1287349</v>
      </c>
      <c r="F10" s="35">
        <f>336483+6</f>
        <v>336489</v>
      </c>
      <c r="G10" s="35">
        <f>179766+8</f>
        <v>179774</v>
      </c>
      <c r="I10" s="36"/>
      <c r="J10" s="36">
        <f>'2016B Academic'!J10</f>
        <v>194031.81597799997</v>
      </c>
      <c r="K10" s="36">
        <f t="shared" si="61"/>
        <v>194031.81597799997</v>
      </c>
      <c r="L10" s="36">
        <f>'2016B Academic'!L10</f>
        <v>50716.295058</v>
      </c>
      <c r="M10" s="36">
        <f>'2016B Academic'!M10</f>
        <v>27095.896828</v>
      </c>
      <c r="O10" s="36"/>
      <c r="P10" s="35">
        <f t="shared" si="1"/>
        <v>1093317.184022</v>
      </c>
      <c r="Q10" s="5">
        <f t="shared" si="2"/>
        <v>1093317.184022</v>
      </c>
      <c r="R10" s="35">
        <f t="shared" si="3"/>
        <v>285772.704942</v>
      </c>
      <c r="S10" s="35">
        <f t="shared" si="3"/>
        <v>152678.103172</v>
      </c>
      <c r="U10" s="36"/>
      <c r="V10" s="36">
        <f t="shared" si="4"/>
        <v>49344.2159049</v>
      </c>
      <c r="W10" s="5">
        <f t="shared" si="5"/>
        <v>49344.2159049</v>
      </c>
      <c r="X10" s="36">
        <f t="shared" si="6"/>
        <v>12897.6570189</v>
      </c>
      <c r="Y10" s="36">
        <f>W$6*$G10</f>
        <v>6890.7553974</v>
      </c>
      <c r="AB10" s="36">
        <f t="shared" si="7"/>
        <v>89413.7259393</v>
      </c>
      <c r="AC10" s="36">
        <f t="shared" si="8"/>
        <v>89413.7259393</v>
      </c>
      <c r="AD10" s="36">
        <f t="shared" si="9"/>
        <v>23371.079037299998</v>
      </c>
      <c r="AE10" s="36">
        <f>AC$6*$G10</f>
        <v>12486.329011799999</v>
      </c>
      <c r="AH10" s="5">
        <f t="shared" si="10"/>
        <v>72046.61551989999</v>
      </c>
      <c r="AI10" s="5">
        <f t="shared" si="11"/>
        <v>72046.61551989999</v>
      </c>
      <c r="AJ10" s="36">
        <f t="shared" si="12"/>
        <v>18831.640533899998</v>
      </c>
      <c r="AK10" s="36">
        <f>AI$6*$G10</f>
        <v>10061.069887399999</v>
      </c>
      <c r="AN10" s="5">
        <f t="shared" si="13"/>
        <v>85620.294641</v>
      </c>
      <c r="AO10" s="5">
        <f t="shared" si="14"/>
        <v>85620.294641</v>
      </c>
      <c r="AP10" s="36">
        <f t="shared" si="15"/>
        <v>22379.546900999998</v>
      </c>
      <c r="AQ10" s="36">
        <f>AO$6*$G10</f>
        <v>11956.588966</v>
      </c>
      <c r="AS10" s="36"/>
      <c r="AT10" s="36">
        <f t="shared" si="16"/>
        <v>5114.1226374</v>
      </c>
      <c r="AU10" s="5">
        <f t="shared" si="17"/>
        <v>5114.1226374</v>
      </c>
      <c r="AV10" s="36">
        <f t="shared" si="18"/>
        <v>1336.7362013999998</v>
      </c>
      <c r="AW10" s="36">
        <f>AU$6*$G10</f>
        <v>714.1701923999999</v>
      </c>
      <c r="AY10" s="36"/>
      <c r="AZ10" s="36">
        <f t="shared" si="19"/>
        <v>460.3560024</v>
      </c>
      <c r="BA10" s="5">
        <f t="shared" si="20"/>
        <v>460.3560024</v>
      </c>
      <c r="BB10" s="36">
        <f t="shared" si="21"/>
        <v>120.32846640000001</v>
      </c>
      <c r="BC10" s="36">
        <f>BA$6*$G10</f>
        <v>64.2871824</v>
      </c>
      <c r="BD10" s="5"/>
      <c r="BE10" s="36"/>
      <c r="BF10" s="36">
        <f t="shared" si="22"/>
        <v>94189.6619944</v>
      </c>
      <c r="BG10" s="5">
        <f t="shared" si="23"/>
        <v>94189.6619944</v>
      </c>
      <c r="BH10" s="36">
        <f t="shared" si="24"/>
        <v>24619.4195784</v>
      </c>
      <c r="BI10" s="36">
        <f>BG$6*$G10</f>
        <v>13153.2725744</v>
      </c>
      <c r="BJ10" s="5"/>
      <c r="BK10" s="36"/>
      <c r="BL10" s="36">
        <f t="shared" si="25"/>
        <v>3.3471074</v>
      </c>
      <c r="BM10" s="5">
        <f t="shared" si="26"/>
        <v>3.3471074</v>
      </c>
      <c r="BN10" s="36">
        <f t="shared" si="27"/>
        <v>0.8748714000000001</v>
      </c>
      <c r="BO10" s="36">
        <f>BM$6*$G10</f>
        <v>0.4674124</v>
      </c>
      <c r="BP10" s="5"/>
      <c r="BQ10" s="36"/>
      <c r="BR10" s="36">
        <f t="shared" si="28"/>
        <v>120309.200795</v>
      </c>
      <c r="BS10" s="5">
        <f t="shared" si="29"/>
        <v>120309.200795</v>
      </c>
      <c r="BT10" s="36">
        <f t="shared" si="30"/>
        <v>31446.579494999998</v>
      </c>
      <c r="BU10" s="36">
        <f>BS$6*$G10</f>
        <v>16800.779169999998</v>
      </c>
      <c r="BV10" s="5"/>
      <c r="BW10" s="36"/>
      <c r="BX10" s="36">
        <f t="shared" si="31"/>
        <v>283.8604545</v>
      </c>
      <c r="BY10" s="5">
        <f t="shared" si="32"/>
        <v>283.8604545</v>
      </c>
      <c r="BZ10" s="36">
        <f t="shared" si="33"/>
        <v>74.1958245</v>
      </c>
      <c r="CA10" s="36">
        <f>BY$6*$G10</f>
        <v>39.640167</v>
      </c>
      <c r="CB10" s="5"/>
      <c r="CC10" s="36"/>
      <c r="CD10" s="36">
        <f t="shared" si="34"/>
        <v>50446.4441187</v>
      </c>
      <c r="CE10" s="5">
        <f t="shared" si="35"/>
        <v>50446.4441187</v>
      </c>
      <c r="CF10" s="36">
        <f t="shared" si="36"/>
        <v>13185.7589007</v>
      </c>
      <c r="CG10" s="36">
        <f>CE$6*$G10</f>
        <v>7044.6778962</v>
      </c>
      <c r="CH10" s="5"/>
      <c r="CI10" s="5"/>
      <c r="CJ10" s="5">
        <f t="shared" si="37"/>
        <v>254.6376322</v>
      </c>
      <c r="CK10" s="5">
        <f t="shared" si="38"/>
        <v>254.6376322</v>
      </c>
      <c r="CL10" s="36">
        <f t="shared" si="39"/>
        <v>66.5575242</v>
      </c>
      <c r="CM10" s="36">
        <f>CK$6*$G10</f>
        <v>35.5592972</v>
      </c>
      <c r="CN10" s="5"/>
      <c r="CO10" s="36"/>
      <c r="CP10" s="36">
        <f t="shared" si="40"/>
        <v>9900.4862194</v>
      </c>
      <c r="CQ10" s="5">
        <f t="shared" si="41"/>
        <v>9900.4862194</v>
      </c>
      <c r="CR10" s="36">
        <f t="shared" si="42"/>
        <v>2587.8023034</v>
      </c>
      <c r="CS10" s="36">
        <f>CQ$6*$G10</f>
        <v>1382.5699244</v>
      </c>
      <c r="CT10" s="5"/>
      <c r="CU10" s="36"/>
      <c r="CV10" s="36">
        <f t="shared" si="43"/>
        <v>5270.7930107</v>
      </c>
      <c r="CW10" s="5">
        <f t="shared" si="44"/>
        <v>5270.7930107</v>
      </c>
      <c r="CX10" s="36">
        <f t="shared" si="45"/>
        <v>1377.6869127000002</v>
      </c>
      <c r="CY10" s="36">
        <f>CW$6*$G10</f>
        <v>736.0486882</v>
      </c>
      <c r="CZ10" s="5"/>
      <c r="DA10" s="5"/>
      <c r="DB10" s="36">
        <f t="shared" si="46"/>
        <v>17175.0379486</v>
      </c>
      <c r="DC10" s="36">
        <f t="shared" si="47"/>
        <v>17175.0379486</v>
      </c>
      <c r="DD10" s="36">
        <f t="shared" si="48"/>
        <v>4489.2343445999995</v>
      </c>
      <c r="DE10" s="36">
        <f>DC$6*$G10</f>
        <v>2398.4368436</v>
      </c>
      <c r="DF10" s="5"/>
      <c r="DG10" s="5"/>
      <c r="DH10" s="36">
        <f t="shared" si="49"/>
        <v>151183.30565730002</v>
      </c>
      <c r="DI10" s="36">
        <f t="shared" si="50"/>
        <v>151183.30565730002</v>
      </c>
      <c r="DJ10" s="36">
        <f t="shared" si="51"/>
        <v>39516.4942353</v>
      </c>
      <c r="DK10" s="36">
        <f>DI$6*$G10</f>
        <v>21112.245079800003</v>
      </c>
      <c r="DL10" s="5"/>
      <c r="DM10" s="36"/>
      <c r="DN10" s="36">
        <f t="shared" si="52"/>
        <v>313000.5002593</v>
      </c>
      <c r="DO10" s="5">
        <f t="shared" si="53"/>
        <v>313000.5002593</v>
      </c>
      <c r="DP10" s="36">
        <f t="shared" si="54"/>
        <v>81812.4885573</v>
      </c>
      <c r="DQ10" s="36">
        <f>DO$6*$G10</f>
        <v>43709.4773318</v>
      </c>
      <c r="DR10" s="5"/>
      <c r="DS10" s="5"/>
      <c r="DT10" s="5">
        <f t="shared" si="55"/>
        <v>13891.654324100002</v>
      </c>
      <c r="DU10" s="5">
        <f t="shared" si="56"/>
        <v>13891.654324100002</v>
      </c>
      <c r="DV10" s="36">
        <f t="shared" si="57"/>
        <v>3631.0191501000004</v>
      </c>
      <c r="DW10" s="36">
        <f>DU$6*$G10</f>
        <v>1939.9232566</v>
      </c>
      <c r="DX10" s="5"/>
      <c r="DY10" s="36"/>
      <c r="DZ10" s="36">
        <f t="shared" si="58"/>
        <v>15408.9238555</v>
      </c>
      <c r="EA10" s="5">
        <f t="shared" si="59"/>
        <v>15408.9238555</v>
      </c>
      <c r="EB10" s="36">
        <f t="shared" si="60"/>
        <v>4027.6050855</v>
      </c>
      <c r="EC10" s="36">
        <f>EA$6*$G10</f>
        <v>2151.804893</v>
      </c>
      <c r="ED10" s="5"/>
      <c r="EE10" s="36"/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</row>
    <row r="11" spans="1:153" ht="12.75">
      <c r="A11" s="37">
        <v>42826</v>
      </c>
      <c r="C11" s="3">
        <v>5000</v>
      </c>
      <c r="D11" s="3">
        <v>1039116</v>
      </c>
      <c r="E11" s="35">
        <f t="shared" si="0"/>
        <v>1044116</v>
      </c>
      <c r="F11" s="35">
        <v>336483</v>
      </c>
      <c r="G11" s="35">
        <v>179766</v>
      </c>
      <c r="I11" s="36">
        <f>'2016B Academic'!I11</f>
        <v>753.6099999999999</v>
      </c>
      <c r="J11" s="36">
        <f>'2016B Academic'!J11</f>
        <v>156617.64175199997</v>
      </c>
      <c r="K11" s="36">
        <f t="shared" si="61"/>
        <v>157371.25175199995</v>
      </c>
      <c r="L11" s="36">
        <f>'2016B Academic'!L11</f>
        <v>50715.390726000005</v>
      </c>
      <c r="M11" s="36">
        <f>'2016B Academic'!M11</f>
        <v>27094.691052000002</v>
      </c>
      <c r="O11" s="36">
        <f t="shared" si="62"/>
        <v>4246.389999999999</v>
      </c>
      <c r="P11" s="35">
        <f t="shared" si="1"/>
        <v>882498.358248</v>
      </c>
      <c r="Q11" s="5">
        <f t="shared" si="2"/>
        <v>886744.748248</v>
      </c>
      <c r="R11" s="35">
        <f t="shared" si="3"/>
        <v>285767.609274</v>
      </c>
      <c r="S11" s="35">
        <f t="shared" si="3"/>
        <v>152671.308948</v>
      </c>
      <c r="U11" s="36">
        <f t="shared" si="63"/>
        <v>191.6505</v>
      </c>
      <c r="V11" s="36">
        <f t="shared" si="4"/>
        <v>39829.4201916</v>
      </c>
      <c r="W11" s="5">
        <f t="shared" si="5"/>
        <v>40021.070691600005</v>
      </c>
      <c r="X11" s="36">
        <f t="shared" si="6"/>
        <v>12897.4270383</v>
      </c>
      <c r="Y11" s="36">
        <f aca="true" t="shared" si="82" ref="Y11:Y37">W$6*$G11</f>
        <v>6890.4487566</v>
      </c>
      <c r="AA11" s="5">
        <f t="shared" si="64"/>
        <v>347.27849999999995</v>
      </c>
      <c r="AB11" s="36">
        <f t="shared" si="7"/>
        <v>72172.5291612</v>
      </c>
      <c r="AC11" s="36">
        <f t="shared" si="8"/>
        <v>72519.8076612</v>
      </c>
      <c r="AD11" s="36">
        <f t="shared" si="9"/>
        <v>23370.662303099998</v>
      </c>
      <c r="AE11" s="36">
        <f aca="true" t="shared" si="83" ref="AE11:AE37">AC$6*$G11</f>
        <v>12485.7733662</v>
      </c>
      <c r="AG11" s="5">
        <f t="shared" si="65"/>
        <v>279.8255</v>
      </c>
      <c r="AH11" s="5">
        <f t="shared" si="10"/>
        <v>58154.2308516</v>
      </c>
      <c r="AI11" s="5">
        <f t="shared" si="11"/>
        <v>58434.0563516</v>
      </c>
      <c r="AJ11" s="36">
        <f t="shared" si="12"/>
        <v>18831.3047433</v>
      </c>
      <c r="AK11" s="36">
        <f aca="true" t="shared" si="84" ref="AK11:AK37">AI$6*$G11</f>
        <v>10060.6221666</v>
      </c>
      <c r="AM11" s="5">
        <f t="shared" si="66"/>
        <v>332.545</v>
      </c>
      <c r="AN11" s="5">
        <f t="shared" si="13"/>
        <v>69110.56604399999</v>
      </c>
      <c r="AO11" s="5">
        <f t="shared" si="14"/>
        <v>69443.11104399999</v>
      </c>
      <c r="AP11" s="36">
        <f t="shared" si="15"/>
        <v>22379.147847</v>
      </c>
      <c r="AQ11" s="36">
        <f aca="true" t="shared" si="85" ref="AQ11:AQ37">AO$6*$G11</f>
        <v>11956.056894</v>
      </c>
      <c r="AS11" s="36">
        <f t="shared" si="67"/>
        <v>19.863</v>
      </c>
      <c r="AT11" s="36">
        <f t="shared" si="16"/>
        <v>4127.9922215999995</v>
      </c>
      <c r="AU11" s="5">
        <f t="shared" si="17"/>
        <v>4147.8552216</v>
      </c>
      <c r="AV11" s="36">
        <f t="shared" si="18"/>
        <v>1336.7123657999998</v>
      </c>
      <c r="AW11" s="36">
        <f aca="true" t="shared" si="86" ref="AW11:AW37">AU$6*$G11</f>
        <v>714.1384115999999</v>
      </c>
      <c r="AY11" s="36">
        <f t="shared" si="68"/>
        <v>1.788</v>
      </c>
      <c r="AZ11" s="36">
        <f t="shared" si="19"/>
        <v>371.5878816</v>
      </c>
      <c r="BA11" s="5">
        <f t="shared" si="20"/>
        <v>373.3758816</v>
      </c>
      <c r="BB11" s="36">
        <f t="shared" si="21"/>
        <v>120.3263208</v>
      </c>
      <c r="BC11" s="36">
        <f aca="true" t="shared" si="87" ref="BC11:BC37">BA$6*$G11</f>
        <v>64.2843216</v>
      </c>
      <c r="BD11" s="5"/>
      <c r="BE11" s="36">
        <f t="shared" si="69"/>
        <v>365.828</v>
      </c>
      <c r="BF11" s="36">
        <f t="shared" si="22"/>
        <v>76027.5456096</v>
      </c>
      <c r="BG11" s="5">
        <f t="shared" si="23"/>
        <v>76393.37360959999</v>
      </c>
      <c r="BH11" s="36">
        <f t="shared" si="24"/>
        <v>24618.9805848</v>
      </c>
      <c r="BI11" s="36">
        <f aca="true" t="shared" si="88" ref="BI11:BI37">BG$6*$G11</f>
        <v>13152.6872496</v>
      </c>
      <c r="BJ11" s="5"/>
      <c r="BK11" s="36">
        <f t="shared" si="70"/>
        <v>0.013000000000000001</v>
      </c>
      <c r="BL11" s="36">
        <f t="shared" si="25"/>
        <v>2.7017016000000003</v>
      </c>
      <c r="BM11" s="5">
        <f t="shared" si="26"/>
        <v>2.7147016</v>
      </c>
      <c r="BN11" s="36">
        <f t="shared" si="27"/>
        <v>0.8748558000000001</v>
      </c>
      <c r="BO11" s="36">
        <f aca="true" t="shared" si="89" ref="BO11:BO37">BM$6*$G11</f>
        <v>0.4673916</v>
      </c>
      <c r="BP11" s="5"/>
      <c r="BQ11" s="36">
        <f t="shared" si="71"/>
        <v>467.275</v>
      </c>
      <c r="BR11" s="36">
        <f t="shared" si="28"/>
        <v>97110.58578</v>
      </c>
      <c r="BS11" s="5">
        <f t="shared" si="29"/>
        <v>97577.86077999999</v>
      </c>
      <c r="BT11" s="36">
        <f t="shared" si="30"/>
        <v>31446.018764999997</v>
      </c>
      <c r="BU11" s="36">
        <f aca="true" t="shared" si="90" ref="BU11:BU37">BS$6*$G11</f>
        <v>16800.03153</v>
      </c>
      <c r="BV11" s="5"/>
      <c r="BW11" s="36">
        <f t="shared" si="72"/>
        <v>1.1025</v>
      </c>
      <c r="BX11" s="36">
        <f t="shared" si="31"/>
        <v>229.125078</v>
      </c>
      <c r="BY11" s="5">
        <f t="shared" si="32"/>
        <v>230.227578</v>
      </c>
      <c r="BZ11" s="36">
        <f t="shared" si="33"/>
        <v>74.1945015</v>
      </c>
      <c r="CA11" s="36">
        <f aca="true" t="shared" si="91" ref="CA11:CA37">BY$6*$G11</f>
        <v>39.638403</v>
      </c>
      <c r="CB11" s="5"/>
      <c r="CC11" s="36">
        <f t="shared" si="73"/>
        <v>195.9315</v>
      </c>
      <c r="CD11" s="36">
        <f t="shared" si="34"/>
        <v>40719.1113108</v>
      </c>
      <c r="CE11" s="5">
        <f t="shared" si="35"/>
        <v>40915.0428108</v>
      </c>
      <c r="CF11" s="36">
        <f t="shared" si="36"/>
        <v>13185.5237829</v>
      </c>
      <c r="CG11" s="36">
        <f aca="true" t="shared" si="92" ref="CG11:CG37">CE$6*$G11</f>
        <v>7044.3644058</v>
      </c>
      <c r="CH11" s="5"/>
      <c r="CI11" s="5">
        <f t="shared" si="74"/>
        <v>0.9890000000000001</v>
      </c>
      <c r="CJ11" s="5">
        <f t="shared" si="37"/>
        <v>205.53714480000002</v>
      </c>
      <c r="CK11" s="5">
        <f t="shared" si="38"/>
        <v>206.52614480000003</v>
      </c>
      <c r="CL11" s="36">
        <f t="shared" si="39"/>
        <v>66.5563374</v>
      </c>
      <c r="CM11" s="36">
        <f aca="true" t="shared" si="93" ref="CM11:CM37">CK$6*$G11</f>
        <v>35.5577148</v>
      </c>
      <c r="CN11" s="5"/>
      <c r="CO11" s="36">
        <f t="shared" si="75"/>
        <v>38.452999999999996</v>
      </c>
      <c r="CP11" s="36">
        <f t="shared" si="40"/>
        <v>7991.4255096</v>
      </c>
      <c r="CQ11" s="5">
        <f t="shared" si="41"/>
        <v>8029.8785096</v>
      </c>
      <c r="CR11" s="36">
        <f t="shared" si="42"/>
        <v>2587.7561597999998</v>
      </c>
      <c r="CS11" s="36">
        <f aca="true" t="shared" si="94" ref="CS11:CS37">CQ$6*$G11</f>
        <v>1382.5083995999998</v>
      </c>
      <c r="CT11" s="5"/>
      <c r="CU11" s="36">
        <f t="shared" si="76"/>
        <v>20.471500000000002</v>
      </c>
      <c r="CV11" s="36">
        <f t="shared" si="43"/>
        <v>4254.4526388</v>
      </c>
      <c r="CW11" s="5">
        <f t="shared" si="44"/>
        <v>4274.9241388</v>
      </c>
      <c r="CX11" s="36">
        <f t="shared" si="45"/>
        <v>1377.6623469</v>
      </c>
      <c r="CY11" s="36">
        <f aca="true" t="shared" si="95" ref="CY11:CY37">CW$6*$G11</f>
        <v>736.0159338000001</v>
      </c>
      <c r="CZ11" s="5"/>
      <c r="DA11" s="5">
        <f t="shared" si="77"/>
        <v>66.707</v>
      </c>
      <c r="DB11" s="36">
        <f t="shared" si="46"/>
        <v>13863.2622024</v>
      </c>
      <c r="DC11" s="36">
        <f t="shared" si="47"/>
        <v>13929.9692024</v>
      </c>
      <c r="DD11" s="36">
        <f t="shared" si="48"/>
        <v>4489.1542962</v>
      </c>
      <c r="DE11" s="36">
        <f aca="true" t="shared" si="96" ref="DE11:DE37">DC$6*$G11</f>
        <v>2398.3301124</v>
      </c>
      <c r="DF11" s="5"/>
      <c r="DG11" s="5">
        <f t="shared" si="78"/>
        <v>587.1885</v>
      </c>
      <c r="DH11" s="36">
        <f t="shared" si="49"/>
        <v>122031.3930732</v>
      </c>
      <c r="DI11" s="36">
        <f t="shared" si="50"/>
        <v>122618.5815732</v>
      </c>
      <c r="DJ11" s="36">
        <f t="shared" si="51"/>
        <v>39515.7896091</v>
      </c>
      <c r="DK11" s="36">
        <f aca="true" t="shared" si="97" ref="DK11:DK37">DI$6*$G11</f>
        <v>21111.3055782</v>
      </c>
      <c r="DL11" s="5"/>
      <c r="DM11" s="36">
        <f t="shared" si="79"/>
        <v>1215.6785</v>
      </c>
      <c r="DN11" s="36">
        <f t="shared" si="52"/>
        <v>252646.19604120002</v>
      </c>
      <c r="DO11" s="5">
        <f t="shared" si="53"/>
        <v>253861.87454120003</v>
      </c>
      <c r="DP11" s="36">
        <f t="shared" si="54"/>
        <v>81811.0297431</v>
      </c>
      <c r="DQ11" s="36">
        <f aca="true" t="shared" si="98" ref="DQ11:DQ37">DO$6*$G11</f>
        <v>43707.532246200004</v>
      </c>
      <c r="DR11" s="5"/>
      <c r="DS11" s="5">
        <f t="shared" si="80"/>
        <v>53.9545</v>
      </c>
      <c r="DT11" s="5">
        <f t="shared" si="55"/>
        <v>11212.9968444</v>
      </c>
      <c r="DU11" s="5">
        <f t="shared" si="56"/>
        <v>11266.9513444</v>
      </c>
      <c r="DV11" s="36">
        <f t="shared" si="57"/>
        <v>3630.9544047000004</v>
      </c>
      <c r="DW11" s="36">
        <f aca="true" t="shared" si="99" ref="DW11:DW37">DU$6*$G11</f>
        <v>1939.8369294000001</v>
      </c>
      <c r="DX11" s="5"/>
      <c r="DY11" s="36">
        <f t="shared" si="81"/>
        <v>59.8475</v>
      </c>
      <c r="DZ11" s="36">
        <f t="shared" si="58"/>
        <v>12437.698961999999</v>
      </c>
      <c r="EA11" s="5">
        <f t="shared" si="59"/>
        <v>12497.546461999998</v>
      </c>
      <c r="EB11" s="36">
        <f t="shared" si="60"/>
        <v>4027.5332685</v>
      </c>
      <c r="EC11" s="36">
        <f aca="true" t="shared" si="100" ref="EC11:EC37">EA$6*$G11</f>
        <v>2151.709137</v>
      </c>
      <c r="ED11" s="5"/>
      <c r="EE11" s="36"/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</row>
    <row r="12" spans="1:153" ht="12.75">
      <c r="A12" s="37">
        <v>43009</v>
      </c>
      <c r="B12" s="38"/>
      <c r="D12" s="3">
        <v>1039066</v>
      </c>
      <c r="E12" s="35">
        <f t="shared" si="0"/>
        <v>1039066</v>
      </c>
      <c r="F12" s="35">
        <v>336483</v>
      </c>
      <c r="G12" s="35">
        <v>179766</v>
      </c>
      <c r="I12" s="36"/>
      <c r="J12" s="36">
        <f>'2016B Academic'!J12</f>
        <v>156610.10565200003</v>
      </c>
      <c r="K12" s="36">
        <f t="shared" si="61"/>
        <v>156610.10565200003</v>
      </c>
      <c r="L12" s="36">
        <f>'2016B Academic'!L12</f>
        <v>50715.390726000005</v>
      </c>
      <c r="M12" s="36">
        <f>'2016B Academic'!M12</f>
        <v>27094.691052000002</v>
      </c>
      <c r="O12" s="36"/>
      <c r="P12" s="35">
        <f t="shared" si="1"/>
        <v>882455.894348</v>
      </c>
      <c r="Q12" s="5">
        <f t="shared" si="2"/>
        <v>882455.894348</v>
      </c>
      <c r="R12" s="35">
        <f t="shared" si="3"/>
        <v>285767.609274</v>
      </c>
      <c r="S12" s="35">
        <f t="shared" si="3"/>
        <v>152671.308948</v>
      </c>
      <c r="U12" s="36"/>
      <c r="V12" s="36">
        <f t="shared" si="4"/>
        <v>39827.5036866</v>
      </c>
      <c r="W12" s="5">
        <f t="shared" si="5"/>
        <v>39827.5036866</v>
      </c>
      <c r="X12" s="36">
        <f t="shared" si="6"/>
        <v>12897.4270383</v>
      </c>
      <c r="Y12" s="36">
        <f t="shared" si="82"/>
        <v>6890.4487566</v>
      </c>
      <c r="AB12" s="36">
        <f t="shared" si="7"/>
        <v>72169.0563762</v>
      </c>
      <c r="AC12" s="36">
        <f t="shared" si="8"/>
        <v>72169.0563762</v>
      </c>
      <c r="AD12" s="36">
        <f t="shared" si="9"/>
        <v>23370.662303099998</v>
      </c>
      <c r="AE12" s="36">
        <f t="shared" si="83"/>
        <v>12485.7733662</v>
      </c>
      <c r="AH12" s="5">
        <f t="shared" si="10"/>
        <v>58151.432596599996</v>
      </c>
      <c r="AI12" s="5">
        <f t="shared" si="11"/>
        <v>58151.432596599996</v>
      </c>
      <c r="AJ12" s="36">
        <f t="shared" si="12"/>
        <v>18831.3047433</v>
      </c>
      <c r="AK12" s="36">
        <f t="shared" si="84"/>
        <v>10060.6221666</v>
      </c>
      <c r="AN12" s="5">
        <f t="shared" si="13"/>
        <v>69107.240594</v>
      </c>
      <c r="AO12" s="5">
        <f t="shared" si="14"/>
        <v>69107.240594</v>
      </c>
      <c r="AP12" s="36">
        <f t="shared" si="15"/>
        <v>22379.147847</v>
      </c>
      <c r="AQ12" s="36">
        <f t="shared" si="85"/>
        <v>11956.056894</v>
      </c>
      <c r="AS12" s="36"/>
      <c r="AT12" s="36">
        <f t="shared" si="16"/>
        <v>4127.7935916</v>
      </c>
      <c r="AU12" s="5">
        <f t="shared" si="17"/>
        <v>4127.7935916</v>
      </c>
      <c r="AV12" s="36">
        <f t="shared" si="18"/>
        <v>1336.7123657999998</v>
      </c>
      <c r="AW12" s="36">
        <f t="shared" si="86"/>
        <v>714.1384115999999</v>
      </c>
      <c r="AY12" s="36"/>
      <c r="AZ12" s="36">
        <f t="shared" si="19"/>
        <v>371.5700016</v>
      </c>
      <c r="BA12" s="5">
        <f t="shared" si="20"/>
        <v>371.5700016</v>
      </c>
      <c r="BB12" s="36">
        <f t="shared" si="21"/>
        <v>120.3263208</v>
      </c>
      <c r="BC12" s="36">
        <f t="shared" si="87"/>
        <v>64.2843216</v>
      </c>
      <c r="BD12" s="5"/>
      <c r="BE12" s="36"/>
      <c r="BF12" s="36">
        <f t="shared" si="22"/>
        <v>76023.8873296</v>
      </c>
      <c r="BG12" s="5">
        <f t="shared" si="23"/>
        <v>76023.8873296</v>
      </c>
      <c r="BH12" s="36">
        <f t="shared" si="24"/>
        <v>24618.9805848</v>
      </c>
      <c r="BI12" s="36">
        <f t="shared" si="88"/>
        <v>13152.6872496</v>
      </c>
      <c r="BJ12" s="5"/>
      <c r="BK12" s="36"/>
      <c r="BL12" s="36">
        <f t="shared" si="25"/>
        <v>2.7015716000000003</v>
      </c>
      <c r="BM12" s="5">
        <f t="shared" si="26"/>
        <v>2.7015716000000003</v>
      </c>
      <c r="BN12" s="36">
        <f t="shared" si="27"/>
        <v>0.8748558000000001</v>
      </c>
      <c r="BO12" s="36">
        <f t="shared" si="89"/>
        <v>0.4673916</v>
      </c>
      <c r="BP12" s="5"/>
      <c r="BQ12" s="36"/>
      <c r="BR12" s="36">
        <f t="shared" si="28"/>
        <v>97105.91303</v>
      </c>
      <c r="BS12" s="5">
        <f t="shared" si="29"/>
        <v>97105.91303</v>
      </c>
      <c r="BT12" s="36">
        <f t="shared" si="30"/>
        <v>31446.018764999997</v>
      </c>
      <c r="BU12" s="36">
        <f t="shared" si="90"/>
        <v>16800.03153</v>
      </c>
      <c r="BV12" s="5"/>
      <c r="BW12" s="36"/>
      <c r="BX12" s="36">
        <f t="shared" si="31"/>
        <v>229.11405299999998</v>
      </c>
      <c r="BY12" s="5">
        <f t="shared" si="32"/>
        <v>229.11405299999998</v>
      </c>
      <c r="BZ12" s="36">
        <f t="shared" si="33"/>
        <v>74.1945015</v>
      </c>
      <c r="CA12" s="36">
        <f t="shared" si="91"/>
        <v>39.638403</v>
      </c>
      <c r="CB12" s="5"/>
      <c r="CC12" s="36"/>
      <c r="CD12" s="36">
        <f t="shared" si="34"/>
        <v>40717.1519958</v>
      </c>
      <c r="CE12" s="5">
        <f t="shared" si="35"/>
        <v>40717.1519958</v>
      </c>
      <c r="CF12" s="36">
        <f t="shared" si="36"/>
        <v>13185.5237829</v>
      </c>
      <c r="CG12" s="36">
        <f t="shared" si="92"/>
        <v>7044.3644058</v>
      </c>
      <c r="CH12" s="5"/>
      <c r="CI12" s="5"/>
      <c r="CJ12" s="5">
        <f t="shared" si="37"/>
        <v>205.5272548</v>
      </c>
      <c r="CK12" s="5">
        <f t="shared" si="38"/>
        <v>205.5272548</v>
      </c>
      <c r="CL12" s="36">
        <f t="shared" si="39"/>
        <v>66.5563374</v>
      </c>
      <c r="CM12" s="36">
        <f t="shared" si="93"/>
        <v>35.5577148</v>
      </c>
      <c r="CN12" s="5"/>
      <c r="CO12" s="36"/>
      <c r="CP12" s="36">
        <f t="shared" si="40"/>
        <v>7991.040979599999</v>
      </c>
      <c r="CQ12" s="5">
        <f t="shared" si="41"/>
        <v>7991.040979599999</v>
      </c>
      <c r="CR12" s="36">
        <f t="shared" si="42"/>
        <v>2587.7561597999998</v>
      </c>
      <c r="CS12" s="36">
        <f t="shared" si="94"/>
        <v>1382.5083995999998</v>
      </c>
      <c r="CT12" s="5"/>
      <c r="CU12" s="36"/>
      <c r="CV12" s="36">
        <f t="shared" si="43"/>
        <v>4254.2479238000005</v>
      </c>
      <c r="CW12" s="5">
        <f t="shared" si="44"/>
        <v>4254.2479238000005</v>
      </c>
      <c r="CX12" s="36">
        <f t="shared" si="45"/>
        <v>1377.6623469</v>
      </c>
      <c r="CY12" s="36">
        <f t="shared" si="95"/>
        <v>736.0159338000001</v>
      </c>
      <c r="CZ12" s="5"/>
      <c r="DA12" s="5"/>
      <c r="DB12" s="36">
        <f t="shared" si="46"/>
        <v>13862.5951324</v>
      </c>
      <c r="DC12" s="36">
        <f t="shared" si="47"/>
        <v>13862.5951324</v>
      </c>
      <c r="DD12" s="36">
        <f t="shared" si="48"/>
        <v>4489.1542962</v>
      </c>
      <c r="DE12" s="36">
        <f t="shared" si="96"/>
        <v>2398.3301124</v>
      </c>
      <c r="DF12" s="5"/>
      <c r="DG12" s="5"/>
      <c r="DH12" s="36">
        <f t="shared" si="49"/>
        <v>122025.5211882</v>
      </c>
      <c r="DI12" s="36">
        <f t="shared" si="50"/>
        <v>122025.5211882</v>
      </c>
      <c r="DJ12" s="36">
        <f t="shared" si="51"/>
        <v>39515.7896091</v>
      </c>
      <c r="DK12" s="36">
        <f t="shared" si="97"/>
        <v>21111.3055782</v>
      </c>
      <c r="DL12" s="5"/>
      <c r="DM12" s="36"/>
      <c r="DN12" s="36">
        <f t="shared" si="52"/>
        <v>252634.03925620002</v>
      </c>
      <c r="DO12" s="5">
        <f t="shared" si="53"/>
        <v>252634.03925620002</v>
      </c>
      <c r="DP12" s="36">
        <f t="shared" si="54"/>
        <v>81811.0297431</v>
      </c>
      <c r="DQ12" s="36">
        <f t="shared" si="98"/>
        <v>43707.532246200004</v>
      </c>
      <c r="DR12" s="5"/>
      <c r="DS12" s="5"/>
      <c r="DT12" s="5">
        <f t="shared" si="55"/>
        <v>11212.457299400001</v>
      </c>
      <c r="DU12" s="5">
        <f t="shared" si="56"/>
        <v>11212.457299400001</v>
      </c>
      <c r="DV12" s="36">
        <f t="shared" si="57"/>
        <v>3630.9544047000004</v>
      </c>
      <c r="DW12" s="36">
        <f t="shared" si="99"/>
        <v>1939.8369294000001</v>
      </c>
      <c r="DX12" s="5"/>
      <c r="DY12" s="36"/>
      <c r="DZ12" s="36">
        <f t="shared" si="58"/>
        <v>12437.100487</v>
      </c>
      <c r="EA12" s="5">
        <f t="shared" si="59"/>
        <v>12437.100487</v>
      </c>
      <c r="EB12" s="36">
        <f t="shared" si="60"/>
        <v>4027.5332685</v>
      </c>
      <c r="EC12" s="36">
        <f t="shared" si="100"/>
        <v>2151.709137</v>
      </c>
      <c r="ED12" s="5"/>
      <c r="EE12" s="36"/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</row>
    <row r="13" spans="1:153" ht="12.75">
      <c r="A13" s="37">
        <v>43191</v>
      </c>
      <c r="C13" s="3">
        <v>10000</v>
      </c>
      <c r="D13" s="3">
        <v>1039066</v>
      </c>
      <c r="E13" s="35">
        <f t="shared" si="0"/>
        <v>1049066</v>
      </c>
      <c r="F13" s="35">
        <v>336483</v>
      </c>
      <c r="G13" s="35">
        <v>179766</v>
      </c>
      <c r="I13" s="36">
        <f>'2016B Academic'!I13</f>
        <v>1507.2199999999998</v>
      </c>
      <c r="J13" s="36">
        <f>'2016B Academic'!J13</f>
        <v>156610.10565200003</v>
      </c>
      <c r="K13" s="36">
        <f t="shared" si="61"/>
        <v>158117.32565200003</v>
      </c>
      <c r="L13" s="36">
        <f>'2016B Academic'!L13</f>
        <v>50715.390726000005</v>
      </c>
      <c r="M13" s="36">
        <f>'2016B Academic'!M13</f>
        <v>27094.691052000002</v>
      </c>
      <c r="O13" s="36">
        <f t="shared" si="62"/>
        <v>8492.779999999999</v>
      </c>
      <c r="P13" s="35">
        <f t="shared" si="1"/>
        <v>882455.894348</v>
      </c>
      <c r="Q13" s="5">
        <f t="shared" si="2"/>
        <v>890948.674348</v>
      </c>
      <c r="R13" s="35">
        <f t="shared" si="3"/>
        <v>285767.609274</v>
      </c>
      <c r="S13" s="35">
        <f t="shared" si="3"/>
        <v>152671.308948</v>
      </c>
      <c r="U13" s="36">
        <f t="shared" si="63"/>
        <v>383.301</v>
      </c>
      <c r="V13" s="36">
        <f t="shared" si="4"/>
        <v>39827.5036866</v>
      </c>
      <c r="W13" s="5">
        <f t="shared" si="5"/>
        <v>40210.8046866</v>
      </c>
      <c r="X13" s="36">
        <f t="shared" si="6"/>
        <v>12897.4270383</v>
      </c>
      <c r="Y13" s="36">
        <f t="shared" si="82"/>
        <v>6890.4487566</v>
      </c>
      <c r="AA13" s="5">
        <f t="shared" si="64"/>
        <v>694.5569999999999</v>
      </c>
      <c r="AB13" s="36">
        <f t="shared" si="7"/>
        <v>72169.0563762</v>
      </c>
      <c r="AC13" s="36">
        <f t="shared" si="8"/>
        <v>72863.6133762</v>
      </c>
      <c r="AD13" s="36">
        <f t="shared" si="9"/>
        <v>23370.662303099998</v>
      </c>
      <c r="AE13" s="36">
        <f t="shared" si="83"/>
        <v>12485.7733662</v>
      </c>
      <c r="AG13" s="5">
        <f t="shared" si="65"/>
        <v>559.651</v>
      </c>
      <c r="AH13" s="5">
        <f t="shared" si="10"/>
        <v>58151.432596599996</v>
      </c>
      <c r="AI13" s="5">
        <f t="shared" si="11"/>
        <v>58711.083596599994</v>
      </c>
      <c r="AJ13" s="36">
        <f t="shared" si="12"/>
        <v>18831.3047433</v>
      </c>
      <c r="AK13" s="36">
        <f t="shared" si="84"/>
        <v>10060.6221666</v>
      </c>
      <c r="AM13" s="5">
        <f t="shared" si="66"/>
        <v>665.09</v>
      </c>
      <c r="AN13" s="5">
        <f t="shared" si="13"/>
        <v>69107.240594</v>
      </c>
      <c r="AO13" s="5">
        <f t="shared" si="14"/>
        <v>69772.330594</v>
      </c>
      <c r="AP13" s="36">
        <f t="shared" si="15"/>
        <v>22379.147847</v>
      </c>
      <c r="AQ13" s="36">
        <f t="shared" si="85"/>
        <v>11956.056894</v>
      </c>
      <c r="AS13" s="36">
        <f t="shared" si="67"/>
        <v>39.726</v>
      </c>
      <c r="AT13" s="36">
        <f t="shared" si="16"/>
        <v>4127.7935916</v>
      </c>
      <c r="AU13" s="5">
        <f t="shared" si="17"/>
        <v>4167.519591599999</v>
      </c>
      <c r="AV13" s="36">
        <f t="shared" si="18"/>
        <v>1336.7123657999998</v>
      </c>
      <c r="AW13" s="36">
        <f t="shared" si="86"/>
        <v>714.1384115999999</v>
      </c>
      <c r="AY13" s="36">
        <f t="shared" si="68"/>
        <v>3.576</v>
      </c>
      <c r="AZ13" s="36">
        <f t="shared" si="19"/>
        <v>371.5700016</v>
      </c>
      <c r="BA13" s="5">
        <f t="shared" si="20"/>
        <v>375.14600160000003</v>
      </c>
      <c r="BB13" s="36">
        <f t="shared" si="21"/>
        <v>120.3263208</v>
      </c>
      <c r="BC13" s="36">
        <f t="shared" si="87"/>
        <v>64.2843216</v>
      </c>
      <c r="BD13" s="5"/>
      <c r="BE13" s="36">
        <f t="shared" si="69"/>
        <v>731.656</v>
      </c>
      <c r="BF13" s="36">
        <f t="shared" si="22"/>
        <v>76023.8873296</v>
      </c>
      <c r="BG13" s="5">
        <f t="shared" si="23"/>
        <v>76755.5433296</v>
      </c>
      <c r="BH13" s="36">
        <f t="shared" si="24"/>
        <v>24618.9805848</v>
      </c>
      <c r="BI13" s="36">
        <f t="shared" si="88"/>
        <v>13152.6872496</v>
      </c>
      <c r="BJ13" s="5"/>
      <c r="BK13" s="36">
        <f t="shared" si="70"/>
        <v>0.026000000000000002</v>
      </c>
      <c r="BL13" s="36">
        <f t="shared" si="25"/>
        <v>2.7015716000000003</v>
      </c>
      <c r="BM13" s="5">
        <f t="shared" si="26"/>
        <v>2.7275716</v>
      </c>
      <c r="BN13" s="36">
        <f t="shared" si="27"/>
        <v>0.8748558000000001</v>
      </c>
      <c r="BO13" s="36">
        <f t="shared" si="89"/>
        <v>0.4673916</v>
      </c>
      <c r="BP13" s="5"/>
      <c r="BQ13" s="36">
        <f t="shared" si="71"/>
        <v>934.55</v>
      </c>
      <c r="BR13" s="36">
        <f t="shared" si="28"/>
        <v>97105.91303</v>
      </c>
      <c r="BS13" s="5">
        <f t="shared" si="29"/>
        <v>98040.46303</v>
      </c>
      <c r="BT13" s="36">
        <f t="shared" si="30"/>
        <v>31446.018764999997</v>
      </c>
      <c r="BU13" s="36">
        <f t="shared" si="90"/>
        <v>16800.03153</v>
      </c>
      <c r="BV13" s="5"/>
      <c r="BW13" s="36">
        <f t="shared" si="72"/>
        <v>2.205</v>
      </c>
      <c r="BX13" s="36">
        <f t="shared" si="31"/>
        <v>229.11405299999998</v>
      </c>
      <c r="BY13" s="5">
        <f t="shared" si="32"/>
        <v>231.319053</v>
      </c>
      <c r="BZ13" s="36">
        <f t="shared" si="33"/>
        <v>74.1945015</v>
      </c>
      <c r="CA13" s="36">
        <f t="shared" si="91"/>
        <v>39.638403</v>
      </c>
      <c r="CB13" s="5"/>
      <c r="CC13" s="36">
        <f t="shared" si="73"/>
        <v>391.863</v>
      </c>
      <c r="CD13" s="36">
        <f t="shared" si="34"/>
        <v>40717.1519958</v>
      </c>
      <c r="CE13" s="5">
        <f t="shared" si="35"/>
        <v>41109.0149958</v>
      </c>
      <c r="CF13" s="36">
        <f t="shared" si="36"/>
        <v>13185.5237829</v>
      </c>
      <c r="CG13" s="36">
        <f t="shared" si="92"/>
        <v>7044.3644058</v>
      </c>
      <c r="CH13" s="5"/>
      <c r="CI13" s="5">
        <f t="shared" si="74"/>
        <v>1.9780000000000002</v>
      </c>
      <c r="CJ13" s="5">
        <f t="shared" si="37"/>
        <v>205.5272548</v>
      </c>
      <c r="CK13" s="5">
        <f t="shared" si="38"/>
        <v>207.50525480000002</v>
      </c>
      <c r="CL13" s="36">
        <f t="shared" si="39"/>
        <v>66.5563374</v>
      </c>
      <c r="CM13" s="36">
        <f t="shared" si="93"/>
        <v>35.5577148</v>
      </c>
      <c r="CN13" s="5"/>
      <c r="CO13" s="36">
        <f t="shared" si="75"/>
        <v>76.90599999999999</v>
      </c>
      <c r="CP13" s="36">
        <f t="shared" si="40"/>
        <v>7991.040979599999</v>
      </c>
      <c r="CQ13" s="5">
        <f t="shared" si="41"/>
        <v>8067.946979599999</v>
      </c>
      <c r="CR13" s="36">
        <f t="shared" si="42"/>
        <v>2587.7561597999998</v>
      </c>
      <c r="CS13" s="36">
        <f t="shared" si="94"/>
        <v>1382.5083995999998</v>
      </c>
      <c r="CT13" s="5"/>
      <c r="CU13" s="36">
        <f t="shared" si="76"/>
        <v>40.943000000000005</v>
      </c>
      <c r="CV13" s="36">
        <f t="shared" si="43"/>
        <v>4254.2479238000005</v>
      </c>
      <c r="CW13" s="5">
        <f t="shared" si="44"/>
        <v>4295.190923800001</v>
      </c>
      <c r="CX13" s="36">
        <f t="shared" si="45"/>
        <v>1377.6623469</v>
      </c>
      <c r="CY13" s="36">
        <f t="shared" si="95"/>
        <v>736.0159338000001</v>
      </c>
      <c r="CZ13" s="5"/>
      <c r="DA13" s="5">
        <f t="shared" si="77"/>
        <v>133.414</v>
      </c>
      <c r="DB13" s="36">
        <f t="shared" si="46"/>
        <v>13862.5951324</v>
      </c>
      <c r="DC13" s="36">
        <f t="shared" si="47"/>
        <v>13996.0091324</v>
      </c>
      <c r="DD13" s="36">
        <f t="shared" si="48"/>
        <v>4489.1542962</v>
      </c>
      <c r="DE13" s="36">
        <f t="shared" si="96"/>
        <v>2398.3301124</v>
      </c>
      <c r="DF13" s="5"/>
      <c r="DG13" s="5">
        <f t="shared" si="78"/>
        <v>1174.377</v>
      </c>
      <c r="DH13" s="36">
        <f t="shared" si="49"/>
        <v>122025.5211882</v>
      </c>
      <c r="DI13" s="36">
        <f t="shared" si="50"/>
        <v>123199.8981882</v>
      </c>
      <c r="DJ13" s="36">
        <f t="shared" si="51"/>
        <v>39515.7896091</v>
      </c>
      <c r="DK13" s="36">
        <f t="shared" si="97"/>
        <v>21111.3055782</v>
      </c>
      <c r="DL13" s="5"/>
      <c r="DM13" s="36">
        <f t="shared" si="79"/>
        <v>2431.357</v>
      </c>
      <c r="DN13" s="36">
        <f t="shared" si="52"/>
        <v>252634.03925620002</v>
      </c>
      <c r="DO13" s="5">
        <f t="shared" si="53"/>
        <v>255065.3962562</v>
      </c>
      <c r="DP13" s="36">
        <f t="shared" si="54"/>
        <v>81811.0297431</v>
      </c>
      <c r="DQ13" s="36">
        <f t="shared" si="98"/>
        <v>43707.532246200004</v>
      </c>
      <c r="DR13" s="5"/>
      <c r="DS13" s="5">
        <f t="shared" si="80"/>
        <v>107.909</v>
      </c>
      <c r="DT13" s="5">
        <f t="shared" si="55"/>
        <v>11212.457299400001</v>
      </c>
      <c r="DU13" s="5">
        <f t="shared" si="56"/>
        <v>11320.3662994</v>
      </c>
      <c r="DV13" s="36">
        <f t="shared" si="57"/>
        <v>3630.9544047000004</v>
      </c>
      <c r="DW13" s="36">
        <f t="shared" si="99"/>
        <v>1939.8369294000001</v>
      </c>
      <c r="DX13" s="5"/>
      <c r="DY13" s="36">
        <f t="shared" si="81"/>
        <v>119.695</v>
      </c>
      <c r="DZ13" s="36">
        <f t="shared" si="58"/>
        <v>12437.100487</v>
      </c>
      <c r="EA13" s="5">
        <f t="shared" si="59"/>
        <v>12556.795487</v>
      </c>
      <c r="EB13" s="36">
        <f t="shared" si="60"/>
        <v>4027.5332685</v>
      </c>
      <c r="EC13" s="36">
        <f t="shared" si="100"/>
        <v>2151.709137</v>
      </c>
      <c r="ED13" s="5"/>
      <c r="EE13" s="36"/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</row>
    <row r="14" spans="1:153" ht="12.75">
      <c r="A14" s="37">
        <v>43374</v>
      </c>
      <c r="D14" s="3">
        <v>1038966</v>
      </c>
      <c r="E14" s="35">
        <f t="shared" si="0"/>
        <v>1038966</v>
      </c>
      <c r="F14" s="35">
        <v>336483</v>
      </c>
      <c r="G14" s="35">
        <v>179766</v>
      </c>
      <c r="I14" s="36"/>
      <c r="J14" s="36">
        <f>'2016B Academic'!J14</f>
        <v>156595.03345200003</v>
      </c>
      <c r="K14" s="36">
        <f t="shared" si="61"/>
        <v>156595.03345200003</v>
      </c>
      <c r="L14" s="36">
        <f>'2016B Academic'!L14</f>
        <v>50715.390726000005</v>
      </c>
      <c r="M14" s="36">
        <f>'2016B Academic'!M14</f>
        <v>27094.691052000002</v>
      </c>
      <c r="O14" s="36"/>
      <c r="P14" s="35">
        <f t="shared" si="1"/>
        <v>882370.9665480001</v>
      </c>
      <c r="Q14" s="5">
        <f t="shared" si="2"/>
        <v>882370.9665480001</v>
      </c>
      <c r="R14" s="35">
        <f t="shared" si="3"/>
        <v>285767.609274</v>
      </c>
      <c r="S14" s="35">
        <f t="shared" si="3"/>
        <v>152671.308948</v>
      </c>
      <c r="U14" s="36"/>
      <c r="V14" s="36">
        <f t="shared" si="4"/>
        <v>39823.6706766</v>
      </c>
      <c r="W14" s="5">
        <f t="shared" si="5"/>
        <v>39823.6706766</v>
      </c>
      <c r="X14" s="36">
        <f t="shared" si="6"/>
        <v>12897.4270383</v>
      </c>
      <c r="Y14" s="36">
        <f t="shared" si="82"/>
        <v>6890.4487566</v>
      </c>
      <c r="AB14" s="36">
        <f t="shared" si="7"/>
        <v>72162.1108062</v>
      </c>
      <c r="AC14" s="36">
        <f t="shared" si="8"/>
        <v>72162.1108062</v>
      </c>
      <c r="AD14" s="36">
        <f t="shared" si="9"/>
        <v>23370.662303099998</v>
      </c>
      <c r="AE14" s="36">
        <f t="shared" si="83"/>
        <v>12485.7733662</v>
      </c>
      <c r="AH14" s="5">
        <f t="shared" si="10"/>
        <v>58145.8360866</v>
      </c>
      <c r="AI14" s="5">
        <f t="shared" si="11"/>
        <v>58145.8360866</v>
      </c>
      <c r="AJ14" s="36">
        <f t="shared" si="12"/>
        <v>18831.3047433</v>
      </c>
      <c r="AK14" s="36">
        <f t="shared" si="84"/>
        <v>10060.6221666</v>
      </c>
      <c r="AN14" s="5">
        <f t="shared" si="13"/>
        <v>69100.589694</v>
      </c>
      <c r="AO14" s="5">
        <f t="shared" si="14"/>
        <v>69100.589694</v>
      </c>
      <c r="AP14" s="36">
        <f t="shared" si="15"/>
        <v>22379.147847</v>
      </c>
      <c r="AQ14" s="36">
        <f t="shared" si="85"/>
        <v>11956.056894</v>
      </c>
      <c r="AS14" s="36"/>
      <c r="AT14" s="36">
        <f t="shared" si="16"/>
        <v>4127.3963316</v>
      </c>
      <c r="AU14" s="5">
        <f t="shared" si="17"/>
        <v>4127.3963316</v>
      </c>
      <c r="AV14" s="36">
        <f t="shared" si="18"/>
        <v>1336.7123657999998</v>
      </c>
      <c r="AW14" s="36">
        <f t="shared" si="86"/>
        <v>714.1384115999999</v>
      </c>
      <c r="AY14" s="36"/>
      <c r="AZ14" s="36">
        <f t="shared" si="19"/>
        <v>371.53424160000003</v>
      </c>
      <c r="BA14" s="5">
        <f t="shared" si="20"/>
        <v>371.53424160000003</v>
      </c>
      <c r="BB14" s="36">
        <f t="shared" si="21"/>
        <v>120.3263208</v>
      </c>
      <c r="BC14" s="36">
        <f t="shared" si="87"/>
        <v>64.2843216</v>
      </c>
      <c r="BD14" s="5"/>
      <c r="BE14" s="36"/>
      <c r="BF14" s="36">
        <f t="shared" si="22"/>
        <v>76016.5707696</v>
      </c>
      <c r="BG14" s="5">
        <f t="shared" si="23"/>
        <v>76016.5707696</v>
      </c>
      <c r="BH14" s="36">
        <f t="shared" si="24"/>
        <v>24618.9805848</v>
      </c>
      <c r="BI14" s="36">
        <f t="shared" si="88"/>
        <v>13152.6872496</v>
      </c>
      <c r="BJ14" s="5"/>
      <c r="BK14" s="36"/>
      <c r="BL14" s="36">
        <f t="shared" si="25"/>
        <v>2.7013116</v>
      </c>
      <c r="BM14" s="5">
        <f t="shared" si="26"/>
        <v>2.7013116</v>
      </c>
      <c r="BN14" s="36">
        <f t="shared" si="27"/>
        <v>0.8748558000000001</v>
      </c>
      <c r="BO14" s="36">
        <f t="shared" si="89"/>
        <v>0.4673916</v>
      </c>
      <c r="BP14" s="5"/>
      <c r="BQ14" s="36"/>
      <c r="BR14" s="36">
        <f t="shared" si="28"/>
        <v>97096.56753</v>
      </c>
      <c r="BS14" s="5">
        <f t="shared" si="29"/>
        <v>97096.56753</v>
      </c>
      <c r="BT14" s="36">
        <f t="shared" si="30"/>
        <v>31446.018764999997</v>
      </c>
      <c r="BU14" s="36">
        <f t="shared" si="90"/>
        <v>16800.03153</v>
      </c>
      <c r="BV14" s="5"/>
      <c r="BW14" s="36"/>
      <c r="BX14" s="36">
        <f t="shared" si="31"/>
        <v>229.092003</v>
      </c>
      <c r="BY14" s="5">
        <f t="shared" si="32"/>
        <v>229.092003</v>
      </c>
      <c r="BZ14" s="36">
        <f t="shared" si="33"/>
        <v>74.1945015</v>
      </c>
      <c r="CA14" s="36">
        <f t="shared" si="91"/>
        <v>39.638403</v>
      </c>
      <c r="CB14" s="5"/>
      <c r="CC14" s="36"/>
      <c r="CD14" s="36">
        <f t="shared" si="34"/>
        <v>40713.2333658</v>
      </c>
      <c r="CE14" s="5">
        <f t="shared" si="35"/>
        <v>40713.2333658</v>
      </c>
      <c r="CF14" s="36">
        <f t="shared" si="36"/>
        <v>13185.5237829</v>
      </c>
      <c r="CG14" s="36">
        <f t="shared" si="92"/>
        <v>7044.3644058</v>
      </c>
      <c r="CH14" s="5"/>
      <c r="CI14" s="5"/>
      <c r="CJ14" s="5">
        <f t="shared" si="37"/>
        <v>205.5074748</v>
      </c>
      <c r="CK14" s="5">
        <f t="shared" si="38"/>
        <v>205.5074748</v>
      </c>
      <c r="CL14" s="36">
        <f t="shared" si="39"/>
        <v>66.5563374</v>
      </c>
      <c r="CM14" s="36">
        <f t="shared" si="93"/>
        <v>35.5577148</v>
      </c>
      <c r="CN14" s="5"/>
      <c r="CO14" s="36"/>
      <c r="CP14" s="36">
        <f t="shared" si="40"/>
        <v>7990.2719196</v>
      </c>
      <c r="CQ14" s="5">
        <f t="shared" si="41"/>
        <v>7990.2719196</v>
      </c>
      <c r="CR14" s="36">
        <f t="shared" si="42"/>
        <v>2587.7561597999998</v>
      </c>
      <c r="CS14" s="36">
        <f t="shared" si="94"/>
        <v>1382.5083995999998</v>
      </c>
      <c r="CT14" s="5"/>
      <c r="CU14" s="36"/>
      <c r="CV14" s="36">
        <f t="shared" si="43"/>
        <v>4253.838493800001</v>
      </c>
      <c r="CW14" s="5">
        <f t="shared" si="44"/>
        <v>4253.838493800001</v>
      </c>
      <c r="CX14" s="36">
        <f t="shared" si="45"/>
        <v>1377.6623469</v>
      </c>
      <c r="CY14" s="36">
        <f t="shared" si="95"/>
        <v>736.0159338000001</v>
      </c>
      <c r="CZ14" s="5"/>
      <c r="DA14" s="5"/>
      <c r="DB14" s="36">
        <f t="shared" si="46"/>
        <v>13861.260992399999</v>
      </c>
      <c r="DC14" s="36">
        <f t="shared" si="47"/>
        <v>13861.260992399999</v>
      </c>
      <c r="DD14" s="36">
        <f t="shared" si="48"/>
        <v>4489.1542962</v>
      </c>
      <c r="DE14" s="36">
        <f t="shared" si="96"/>
        <v>2398.3301124</v>
      </c>
      <c r="DF14" s="5"/>
      <c r="DG14" s="5"/>
      <c r="DH14" s="36">
        <f t="shared" si="49"/>
        <v>122013.7774182</v>
      </c>
      <c r="DI14" s="36">
        <f t="shared" si="50"/>
        <v>122013.7774182</v>
      </c>
      <c r="DJ14" s="36">
        <f t="shared" si="51"/>
        <v>39515.7896091</v>
      </c>
      <c r="DK14" s="36">
        <f t="shared" si="97"/>
        <v>21111.3055782</v>
      </c>
      <c r="DL14" s="5"/>
      <c r="DM14" s="36"/>
      <c r="DN14" s="36">
        <f t="shared" si="52"/>
        <v>252609.72568620002</v>
      </c>
      <c r="DO14" s="5">
        <f t="shared" si="53"/>
        <v>252609.72568620002</v>
      </c>
      <c r="DP14" s="36">
        <f t="shared" si="54"/>
        <v>81811.0297431</v>
      </c>
      <c r="DQ14" s="36">
        <f t="shared" si="98"/>
        <v>43707.532246200004</v>
      </c>
      <c r="DR14" s="5"/>
      <c r="DS14" s="5"/>
      <c r="DT14" s="5">
        <f t="shared" si="55"/>
        <v>11211.378209400002</v>
      </c>
      <c r="DU14" s="5">
        <f t="shared" si="56"/>
        <v>11211.378209400002</v>
      </c>
      <c r="DV14" s="36">
        <f t="shared" si="57"/>
        <v>3630.9544047000004</v>
      </c>
      <c r="DW14" s="36">
        <f t="shared" si="99"/>
        <v>1939.8369294000001</v>
      </c>
      <c r="DX14" s="5"/>
      <c r="DY14" s="36"/>
      <c r="DZ14" s="36">
        <f t="shared" si="58"/>
        <v>12435.903536999998</v>
      </c>
      <c r="EA14" s="5">
        <f t="shared" si="59"/>
        <v>12435.903536999998</v>
      </c>
      <c r="EB14" s="36">
        <f t="shared" si="60"/>
        <v>4027.5332685</v>
      </c>
      <c r="EC14" s="36">
        <f t="shared" si="100"/>
        <v>2151.709137</v>
      </c>
      <c r="ED14" s="5"/>
      <c r="EE14" s="36"/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</row>
    <row r="15" spans="1:153" ht="12.75">
      <c r="A15" s="37">
        <v>43556</v>
      </c>
      <c r="C15" s="3">
        <v>10000</v>
      </c>
      <c r="D15" s="3">
        <v>1038966</v>
      </c>
      <c r="E15" s="35">
        <f t="shared" si="0"/>
        <v>1048966</v>
      </c>
      <c r="F15" s="35">
        <v>336483</v>
      </c>
      <c r="G15" s="35">
        <v>179766</v>
      </c>
      <c r="I15" s="36">
        <f>'2016B Academic'!I15</f>
        <v>1507.2199999999998</v>
      </c>
      <c r="J15" s="36">
        <f>'2016B Academic'!J15</f>
        <v>156595.03345200003</v>
      </c>
      <c r="K15" s="36">
        <f t="shared" si="61"/>
        <v>158102.25345200003</v>
      </c>
      <c r="L15" s="36">
        <f>'2016B Academic'!L15</f>
        <v>50715.390726000005</v>
      </c>
      <c r="M15" s="36">
        <f>'2016B Academic'!M15</f>
        <v>27094.691052000002</v>
      </c>
      <c r="O15" s="36">
        <f t="shared" si="62"/>
        <v>8492.779999999999</v>
      </c>
      <c r="P15" s="35">
        <f t="shared" si="1"/>
        <v>882370.9665480001</v>
      </c>
      <c r="Q15" s="5">
        <f t="shared" si="2"/>
        <v>890863.7465480001</v>
      </c>
      <c r="R15" s="35">
        <f t="shared" si="3"/>
        <v>285767.609274</v>
      </c>
      <c r="S15" s="35">
        <f t="shared" si="3"/>
        <v>152671.308948</v>
      </c>
      <c r="U15" s="36">
        <f t="shared" si="63"/>
        <v>383.301</v>
      </c>
      <c r="V15" s="36">
        <f t="shared" si="4"/>
        <v>39823.6706766</v>
      </c>
      <c r="W15" s="5">
        <f t="shared" si="5"/>
        <v>40206.9716766</v>
      </c>
      <c r="X15" s="36">
        <f t="shared" si="6"/>
        <v>12897.4270383</v>
      </c>
      <c r="Y15" s="36">
        <f t="shared" si="82"/>
        <v>6890.4487566</v>
      </c>
      <c r="AA15" s="5">
        <f t="shared" si="64"/>
        <v>694.5569999999999</v>
      </c>
      <c r="AB15" s="36">
        <f t="shared" si="7"/>
        <v>72162.1108062</v>
      </c>
      <c r="AC15" s="36">
        <f t="shared" si="8"/>
        <v>72856.6678062</v>
      </c>
      <c r="AD15" s="36">
        <f t="shared" si="9"/>
        <v>23370.662303099998</v>
      </c>
      <c r="AE15" s="36">
        <f t="shared" si="83"/>
        <v>12485.7733662</v>
      </c>
      <c r="AG15" s="5">
        <f t="shared" si="65"/>
        <v>559.651</v>
      </c>
      <c r="AH15" s="5">
        <f t="shared" si="10"/>
        <v>58145.8360866</v>
      </c>
      <c r="AI15" s="5">
        <f t="shared" si="11"/>
        <v>58705.4870866</v>
      </c>
      <c r="AJ15" s="36">
        <f t="shared" si="12"/>
        <v>18831.3047433</v>
      </c>
      <c r="AK15" s="36">
        <f t="shared" si="84"/>
        <v>10060.6221666</v>
      </c>
      <c r="AM15" s="5">
        <f t="shared" si="66"/>
        <v>665.09</v>
      </c>
      <c r="AN15" s="5">
        <f t="shared" si="13"/>
        <v>69100.589694</v>
      </c>
      <c r="AO15" s="5">
        <f t="shared" si="14"/>
        <v>69765.67969399999</v>
      </c>
      <c r="AP15" s="36">
        <f t="shared" si="15"/>
        <v>22379.147847</v>
      </c>
      <c r="AQ15" s="36">
        <f t="shared" si="85"/>
        <v>11956.056894</v>
      </c>
      <c r="AS15" s="36">
        <f t="shared" si="67"/>
        <v>39.726</v>
      </c>
      <c r="AT15" s="36">
        <f t="shared" si="16"/>
        <v>4127.3963316</v>
      </c>
      <c r="AU15" s="5">
        <f t="shared" si="17"/>
        <v>4167.1223316</v>
      </c>
      <c r="AV15" s="36">
        <f t="shared" si="18"/>
        <v>1336.7123657999998</v>
      </c>
      <c r="AW15" s="36">
        <f t="shared" si="86"/>
        <v>714.1384115999999</v>
      </c>
      <c r="AY15" s="36">
        <f t="shared" si="68"/>
        <v>3.576</v>
      </c>
      <c r="AZ15" s="36">
        <f t="shared" si="19"/>
        <v>371.53424160000003</v>
      </c>
      <c r="BA15" s="5">
        <f t="shared" si="20"/>
        <v>375.11024160000005</v>
      </c>
      <c r="BB15" s="36">
        <f t="shared" si="21"/>
        <v>120.3263208</v>
      </c>
      <c r="BC15" s="36">
        <f t="shared" si="87"/>
        <v>64.2843216</v>
      </c>
      <c r="BD15" s="5"/>
      <c r="BE15" s="36">
        <f t="shared" si="69"/>
        <v>731.656</v>
      </c>
      <c r="BF15" s="36">
        <f t="shared" si="22"/>
        <v>76016.5707696</v>
      </c>
      <c r="BG15" s="5">
        <f t="shared" si="23"/>
        <v>76748.2267696</v>
      </c>
      <c r="BH15" s="36">
        <f t="shared" si="24"/>
        <v>24618.9805848</v>
      </c>
      <c r="BI15" s="36">
        <f t="shared" si="88"/>
        <v>13152.6872496</v>
      </c>
      <c r="BJ15" s="5"/>
      <c r="BK15" s="36">
        <f t="shared" si="70"/>
        <v>0.026000000000000002</v>
      </c>
      <c r="BL15" s="36">
        <f t="shared" si="25"/>
        <v>2.7013116</v>
      </c>
      <c r="BM15" s="5">
        <f t="shared" si="26"/>
        <v>2.7273115999999997</v>
      </c>
      <c r="BN15" s="36">
        <f t="shared" si="27"/>
        <v>0.8748558000000001</v>
      </c>
      <c r="BO15" s="36">
        <f t="shared" si="89"/>
        <v>0.4673916</v>
      </c>
      <c r="BP15" s="5"/>
      <c r="BQ15" s="36">
        <f t="shared" si="71"/>
        <v>934.55</v>
      </c>
      <c r="BR15" s="36">
        <f t="shared" si="28"/>
        <v>97096.56753</v>
      </c>
      <c r="BS15" s="5">
        <f t="shared" si="29"/>
        <v>98031.11753</v>
      </c>
      <c r="BT15" s="36">
        <f t="shared" si="30"/>
        <v>31446.018764999997</v>
      </c>
      <c r="BU15" s="36">
        <f t="shared" si="90"/>
        <v>16800.03153</v>
      </c>
      <c r="BV15" s="5"/>
      <c r="BW15" s="36">
        <f t="shared" si="72"/>
        <v>2.205</v>
      </c>
      <c r="BX15" s="36">
        <f t="shared" si="31"/>
        <v>229.092003</v>
      </c>
      <c r="BY15" s="5">
        <f t="shared" si="32"/>
        <v>231.29700300000002</v>
      </c>
      <c r="BZ15" s="36">
        <f t="shared" si="33"/>
        <v>74.1945015</v>
      </c>
      <c r="CA15" s="36">
        <f t="shared" si="91"/>
        <v>39.638403</v>
      </c>
      <c r="CB15" s="5"/>
      <c r="CC15" s="36">
        <f t="shared" si="73"/>
        <v>391.863</v>
      </c>
      <c r="CD15" s="36">
        <f t="shared" si="34"/>
        <v>40713.2333658</v>
      </c>
      <c r="CE15" s="5">
        <f t="shared" si="35"/>
        <v>41105.0963658</v>
      </c>
      <c r="CF15" s="36">
        <f t="shared" si="36"/>
        <v>13185.5237829</v>
      </c>
      <c r="CG15" s="36">
        <f t="shared" si="92"/>
        <v>7044.3644058</v>
      </c>
      <c r="CH15" s="5"/>
      <c r="CI15" s="5">
        <f t="shared" si="74"/>
        <v>1.9780000000000002</v>
      </c>
      <c r="CJ15" s="5">
        <f t="shared" si="37"/>
        <v>205.5074748</v>
      </c>
      <c r="CK15" s="5">
        <f t="shared" si="38"/>
        <v>207.48547480000002</v>
      </c>
      <c r="CL15" s="36">
        <f t="shared" si="39"/>
        <v>66.5563374</v>
      </c>
      <c r="CM15" s="36">
        <f t="shared" si="93"/>
        <v>35.5577148</v>
      </c>
      <c r="CN15" s="5"/>
      <c r="CO15" s="36">
        <f t="shared" si="75"/>
        <v>76.90599999999999</v>
      </c>
      <c r="CP15" s="36">
        <f t="shared" si="40"/>
        <v>7990.2719196</v>
      </c>
      <c r="CQ15" s="5">
        <f t="shared" si="41"/>
        <v>8067.1779196</v>
      </c>
      <c r="CR15" s="36">
        <f t="shared" si="42"/>
        <v>2587.7561597999998</v>
      </c>
      <c r="CS15" s="36">
        <f t="shared" si="94"/>
        <v>1382.5083995999998</v>
      </c>
      <c r="CT15" s="5"/>
      <c r="CU15" s="36">
        <f t="shared" si="76"/>
        <v>40.943000000000005</v>
      </c>
      <c r="CV15" s="36">
        <f t="shared" si="43"/>
        <v>4253.838493800001</v>
      </c>
      <c r="CW15" s="5">
        <f t="shared" si="44"/>
        <v>4294.781493800001</v>
      </c>
      <c r="CX15" s="36">
        <f t="shared" si="45"/>
        <v>1377.6623469</v>
      </c>
      <c r="CY15" s="36">
        <f t="shared" si="95"/>
        <v>736.0159338000001</v>
      </c>
      <c r="CZ15" s="5"/>
      <c r="DA15" s="5">
        <f t="shared" si="77"/>
        <v>133.414</v>
      </c>
      <c r="DB15" s="36">
        <f t="shared" si="46"/>
        <v>13861.260992399999</v>
      </c>
      <c r="DC15" s="36">
        <f t="shared" si="47"/>
        <v>13994.6749924</v>
      </c>
      <c r="DD15" s="36">
        <f t="shared" si="48"/>
        <v>4489.1542962</v>
      </c>
      <c r="DE15" s="36">
        <f t="shared" si="96"/>
        <v>2398.3301124</v>
      </c>
      <c r="DF15" s="5"/>
      <c r="DG15" s="5">
        <f t="shared" si="78"/>
        <v>1174.377</v>
      </c>
      <c r="DH15" s="36">
        <f t="shared" si="49"/>
        <v>122013.7774182</v>
      </c>
      <c r="DI15" s="36">
        <f t="shared" si="50"/>
        <v>123188.15441819999</v>
      </c>
      <c r="DJ15" s="36">
        <f t="shared" si="51"/>
        <v>39515.7896091</v>
      </c>
      <c r="DK15" s="36">
        <f t="shared" si="97"/>
        <v>21111.3055782</v>
      </c>
      <c r="DL15" s="5"/>
      <c r="DM15" s="36">
        <f t="shared" si="79"/>
        <v>2431.357</v>
      </c>
      <c r="DN15" s="36">
        <f t="shared" si="52"/>
        <v>252609.72568620002</v>
      </c>
      <c r="DO15" s="5">
        <f t="shared" si="53"/>
        <v>255041.0826862</v>
      </c>
      <c r="DP15" s="36">
        <f t="shared" si="54"/>
        <v>81811.0297431</v>
      </c>
      <c r="DQ15" s="36">
        <f t="shared" si="98"/>
        <v>43707.532246200004</v>
      </c>
      <c r="DR15" s="5"/>
      <c r="DS15" s="5">
        <f t="shared" si="80"/>
        <v>107.909</v>
      </c>
      <c r="DT15" s="5">
        <f t="shared" si="55"/>
        <v>11211.378209400002</v>
      </c>
      <c r="DU15" s="5">
        <f t="shared" si="56"/>
        <v>11319.287209400001</v>
      </c>
      <c r="DV15" s="36">
        <f t="shared" si="57"/>
        <v>3630.9544047000004</v>
      </c>
      <c r="DW15" s="36">
        <f t="shared" si="99"/>
        <v>1939.8369294000001</v>
      </c>
      <c r="DX15" s="5"/>
      <c r="DY15" s="36">
        <f t="shared" si="81"/>
        <v>119.695</v>
      </c>
      <c r="DZ15" s="36">
        <f t="shared" si="58"/>
        <v>12435.903536999998</v>
      </c>
      <c r="EA15" s="5">
        <f t="shared" si="59"/>
        <v>12555.598536999998</v>
      </c>
      <c r="EB15" s="36">
        <f t="shared" si="60"/>
        <v>4027.5332685</v>
      </c>
      <c r="EC15" s="36">
        <f t="shared" si="100"/>
        <v>2151.709137</v>
      </c>
      <c r="ED15" s="5"/>
      <c r="EE15" s="36"/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</row>
    <row r="16" spans="1:153" ht="12.75">
      <c r="A16" s="37">
        <v>43739</v>
      </c>
      <c r="D16" s="3">
        <v>1038866</v>
      </c>
      <c r="E16" s="35">
        <f t="shared" si="0"/>
        <v>1038866</v>
      </c>
      <c r="F16" s="35">
        <v>336483</v>
      </c>
      <c r="G16" s="35">
        <v>179766</v>
      </c>
      <c r="I16" s="36"/>
      <c r="J16" s="36">
        <f>'2016B Academic'!J16</f>
        <v>156579.96125199998</v>
      </c>
      <c r="K16" s="36">
        <f t="shared" si="61"/>
        <v>156579.96125199998</v>
      </c>
      <c r="L16" s="36">
        <f>'2016B Academic'!L16</f>
        <v>50715.390726000005</v>
      </c>
      <c r="M16" s="36">
        <f>'2016B Academic'!M16</f>
        <v>27094.691052000002</v>
      </c>
      <c r="O16" s="36"/>
      <c r="P16" s="35">
        <f t="shared" si="1"/>
        <v>882286.0387480002</v>
      </c>
      <c r="Q16" s="5">
        <f t="shared" si="2"/>
        <v>882286.0387480002</v>
      </c>
      <c r="R16" s="35">
        <f t="shared" si="3"/>
        <v>285767.609274</v>
      </c>
      <c r="S16" s="35">
        <f t="shared" si="3"/>
        <v>152671.308948</v>
      </c>
      <c r="U16" s="36"/>
      <c r="V16" s="36">
        <f t="shared" si="4"/>
        <v>39819.8376666</v>
      </c>
      <c r="W16" s="5">
        <f t="shared" si="5"/>
        <v>39819.8376666</v>
      </c>
      <c r="X16" s="36">
        <f t="shared" si="6"/>
        <v>12897.4270383</v>
      </c>
      <c r="Y16" s="36">
        <f t="shared" si="82"/>
        <v>6890.4487566</v>
      </c>
      <c r="AB16" s="36">
        <f t="shared" si="7"/>
        <v>72155.1652362</v>
      </c>
      <c r="AC16" s="36">
        <f t="shared" si="8"/>
        <v>72155.1652362</v>
      </c>
      <c r="AD16" s="36">
        <f t="shared" si="9"/>
        <v>23370.662303099998</v>
      </c>
      <c r="AE16" s="36">
        <f t="shared" si="83"/>
        <v>12485.7733662</v>
      </c>
      <c r="AH16" s="5">
        <f t="shared" si="10"/>
        <v>58140.2395766</v>
      </c>
      <c r="AI16" s="5">
        <f t="shared" si="11"/>
        <v>58140.2395766</v>
      </c>
      <c r="AJ16" s="36">
        <f t="shared" si="12"/>
        <v>18831.3047433</v>
      </c>
      <c r="AK16" s="36">
        <f t="shared" si="84"/>
        <v>10060.6221666</v>
      </c>
      <c r="AN16" s="5">
        <f t="shared" si="13"/>
        <v>69093.938794</v>
      </c>
      <c r="AO16" s="5">
        <f t="shared" si="14"/>
        <v>69093.938794</v>
      </c>
      <c r="AP16" s="36">
        <f t="shared" si="15"/>
        <v>22379.147847</v>
      </c>
      <c r="AQ16" s="36">
        <f t="shared" si="85"/>
        <v>11956.056894</v>
      </c>
      <c r="AS16" s="36"/>
      <c r="AT16" s="36">
        <f t="shared" si="16"/>
        <v>4126.999071599999</v>
      </c>
      <c r="AU16" s="5">
        <f t="shared" si="17"/>
        <v>4126.999071599999</v>
      </c>
      <c r="AV16" s="36">
        <f t="shared" si="18"/>
        <v>1336.7123657999998</v>
      </c>
      <c r="AW16" s="36">
        <f t="shared" si="86"/>
        <v>714.1384115999999</v>
      </c>
      <c r="AY16" s="36"/>
      <c r="AZ16" s="36">
        <f t="shared" si="19"/>
        <v>371.4984816</v>
      </c>
      <c r="BA16" s="5">
        <f t="shared" si="20"/>
        <v>371.4984816</v>
      </c>
      <c r="BB16" s="36">
        <f t="shared" si="21"/>
        <v>120.3263208</v>
      </c>
      <c r="BC16" s="36">
        <f t="shared" si="87"/>
        <v>64.2843216</v>
      </c>
      <c r="BD16" s="5"/>
      <c r="BE16" s="36"/>
      <c r="BF16" s="36">
        <f t="shared" si="22"/>
        <v>76009.2542096</v>
      </c>
      <c r="BG16" s="5">
        <f t="shared" si="23"/>
        <v>76009.2542096</v>
      </c>
      <c r="BH16" s="36">
        <f t="shared" si="24"/>
        <v>24618.9805848</v>
      </c>
      <c r="BI16" s="36">
        <f t="shared" si="88"/>
        <v>13152.6872496</v>
      </c>
      <c r="BJ16" s="5"/>
      <c r="BK16" s="36"/>
      <c r="BL16" s="36">
        <f t="shared" si="25"/>
        <v>2.7010516</v>
      </c>
      <c r="BM16" s="5">
        <f t="shared" si="26"/>
        <v>2.7010516</v>
      </c>
      <c r="BN16" s="36">
        <f t="shared" si="27"/>
        <v>0.8748558000000001</v>
      </c>
      <c r="BO16" s="36">
        <f t="shared" si="89"/>
        <v>0.4673916</v>
      </c>
      <c r="BP16" s="5"/>
      <c r="BQ16" s="36"/>
      <c r="BR16" s="36">
        <f t="shared" si="28"/>
        <v>97087.22202999999</v>
      </c>
      <c r="BS16" s="5">
        <f t="shared" si="29"/>
        <v>97087.22202999999</v>
      </c>
      <c r="BT16" s="36">
        <f t="shared" si="30"/>
        <v>31446.018764999997</v>
      </c>
      <c r="BU16" s="36">
        <f t="shared" si="90"/>
        <v>16800.03153</v>
      </c>
      <c r="BV16" s="5"/>
      <c r="BW16" s="36"/>
      <c r="BX16" s="36">
        <f t="shared" si="31"/>
        <v>229.069953</v>
      </c>
      <c r="BY16" s="5">
        <f t="shared" si="32"/>
        <v>229.069953</v>
      </c>
      <c r="BZ16" s="36">
        <f t="shared" si="33"/>
        <v>74.1945015</v>
      </c>
      <c r="CA16" s="36">
        <f t="shared" si="91"/>
        <v>39.638403</v>
      </c>
      <c r="CB16" s="5"/>
      <c r="CC16" s="36"/>
      <c r="CD16" s="36">
        <f t="shared" si="34"/>
        <v>40709.3147358</v>
      </c>
      <c r="CE16" s="5">
        <f t="shared" si="35"/>
        <v>40709.3147358</v>
      </c>
      <c r="CF16" s="36">
        <f t="shared" si="36"/>
        <v>13185.5237829</v>
      </c>
      <c r="CG16" s="36">
        <f t="shared" si="92"/>
        <v>7044.3644058</v>
      </c>
      <c r="CH16" s="5"/>
      <c r="CI16" s="5"/>
      <c r="CJ16" s="5">
        <f t="shared" si="37"/>
        <v>205.4876948</v>
      </c>
      <c r="CK16" s="5">
        <f t="shared" si="38"/>
        <v>205.4876948</v>
      </c>
      <c r="CL16" s="36">
        <f t="shared" si="39"/>
        <v>66.5563374</v>
      </c>
      <c r="CM16" s="36">
        <f t="shared" si="93"/>
        <v>35.5577148</v>
      </c>
      <c r="CN16" s="5"/>
      <c r="CO16" s="36"/>
      <c r="CP16" s="36">
        <f t="shared" si="40"/>
        <v>7989.502859599999</v>
      </c>
      <c r="CQ16" s="5">
        <f t="shared" si="41"/>
        <v>7989.502859599999</v>
      </c>
      <c r="CR16" s="36">
        <f t="shared" si="42"/>
        <v>2587.7561597999998</v>
      </c>
      <c r="CS16" s="36">
        <f t="shared" si="94"/>
        <v>1382.5083995999998</v>
      </c>
      <c r="CT16" s="5"/>
      <c r="CU16" s="36"/>
      <c r="CV16" s="36">
        <f t="shared" si="43"/>
        <v>4253.4290638</v>
      </c>
      <c r="CW16" s="5">
        <f t="shared" si="44"/>
        <v>4253.4290638</v>
      </c>
      <c r="CX16" s="36">
        <f t="shared" si="45"/>
        <v>1377.6623469</v>
      </c>
      <c r="CY16" s="36">
        <f t="shared" si="95"/>
        <v>736.0159338000001</v>
      </c>
      <c r="CZ16" s="5"/>
      <c r="DA16" s="5"/>
      <c r="DB16" s="36">
        <f t="shared" si="46"/>
        <v>13859.9268524</v>
      </c>
      <c r="DC16" s="36">
        <f t="shared" si="47"/>
        <v>13859.9268524</v>
      </c>
      <c r="DD16" s="36">
        <f t="shared" si="48"/>
        <v>4489.1542962</v>
      </c>
      <c r="DE16" s="36">
        <f t="shared" si="96"/>
        <v>2398.3301124</v>
      </c>
      <c r="DF16" s="5"/>
      <c r="DG16" s="5"/>
      <c r="DH16" s="36">
        <f t="shared" si="49"/>
        <v>122002.03364820001</v>
      </c>
      <c r="DI16" s="36">
        <f t="shared" si="50"/>
        <v>122002.03364820001</v>
      </c>
      <c r="DJ16" s="36">
        <f t="shared" si="51"/>
        <v>39515.7896091</v>
      </c>
      <c r="DK16" s="36">
        <f t="shared" si="97"/>
        <v>21111.3055782</v>
      </c>
      <c r="DL16" s="5"/>
      <c r="DM16" s="36"/>
      <c r="DN16" s="36">
        <f t="shared" si="52"/>
        <v>252585.41211620002</v>
      </c>
      <c r="DO16" s="5">
        <f t="shared" si="53"/>
        <v>252585.41211620002</v>
      </c>
      <c r="DP16" s="36">
        <f t="shared" si="54"/>
        <v>81811.0297431</v>
      </c>
      <c r="DQ16" s="36">
        <f t="shared" si="98"/>
        <v>43707.532246200004</v>
      </c>
      <c r="DR16" s="5"/>
      <c r="DS16" s="5"/>
      <c r="DT16" s="5">
        <f t="shared" si="55"/>
        <v>11210.2991194</v>
      </c>
      <c r="DU16" s="5">
        <f t="shared" si="56"/>
        <v>11210.2991194</v>
      </c>
      <c r="DV16" s="36">
        <f t="shared" si="57"/>
        <v>3630.9544047000004</v>
      </c>
      <c r="DW16" s="36">
        <f t="shared" si="99"/>
        <v>1939.8369294000001</v>
      </c>
      <c r="DX16" s="5"/>
      <c r="DY16" s="36"/>
      <c r="DZ16" s="36">
        <f t="shared" si="58"/>
        <v>12434.706586999999</v>
      </c>
      <c r="EA16" s="5">
        <f t="shared" si="59"/>
        <v>12434.706586999999</v>
      </c>
      <c r="EB16" s="36">
        <f t="shared" si="60"/>
        <v>4027.5332685</v>
      </c>
      <c r="EC16" s="36">
        <f t="shared" si="100"/>
        <v>2151.709137</v>
      </c>
      <c r="ED16" s="5"/>
      <c r="EE16" s="36"/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</row>
    <row r="17" spans="1:153" ht="12.75">
      <c r="A17" s="37">
        <v>43922</v>
      </c>
      <c r="C17" s="3">
        <v>0</v>
      </c>
      <c r="D17" s="3">
        <v>1038866</v>
      </c>
      <c r="E17" s="35">
        <f t="shared" si="0"/>
        <v>1038866</v>
      </c>
      <c r="F17" s="35">
        <v>336483</v>
      </c>
      <c r="G17" s="35">
        <v>179766</v>
      </c>
      <c r="I17" s="36">
        <f>'2016B Academic'!I17</f>
        <v>0</v>
      </c>
      <c r="J17" s="36">
        <f>'2016B Academic'!J17</f>
        <v>156579.96125199998</v>
      </c>
      <c r="K17" s="36">
        <f t="shared" si="61"/>
        <v>156579.96125199998</v>
      </c>
      <c r="L17" s="36">
        <f>'2016B Academic'!L17</f>
        <v>50715.390726000005</v>
      </c>
      <c r="M17" s="36">
        <f>'2016B Academic'!M17</f>
        <v>27094.691052000002</v>
      </c>
      <c r="O17" s="36">
        <f t="shared" si="62"/>
        <v>0</v>
      </c>
      <c r="P17" s="35">
        <f t="shared" si="1"/>
        <v>882286.0387480002</v>
      </c>
      <c r="Q17" s="5">
        <f t="shared" si="2"/>
        <v>882286.0387480002</v>
      </c>
      <c r="R17" s="35">
        <f t="shared" si="3"/>
        <v>285767.609274</v>
      </c>
      <c r="S17" s="35">
        <f t="shared" si="3"/>
        <v>152671.308948</v>
      </c>
      <c r="U17" s="36">
        <f t="shared" si="63"/>
        <v>0</v>
      </c>
      <c r="V17" s="36">
        <f t="shared" si="4"/>
        <v>39819.8376666</v>
      </c>
      <c r="W17" s="5">
        <f t="shared" si="5"/>
        <v>39819.8376666</v>
      </c>
      <c r="X17" s="36">
        <f t="shared" si="6"/>
        <v>12897.4270383</v>
      </c>
      <c r="Y17" s="36">
        <f t="shared" si="82"/>
        <v>6890.4487566</v>
      </c>
      <c r="AA17" s="5">
        <f t="shared" si="64"/>
        <v>0</v>
      </c>
      <c r="AB17" s="36">
        <f t="shared" si="7"/>
        <v>72155.1652362</v>
      </c>
      <c r="AC17" s="36">
        <f t="shared" si="8"/>
        <v>72155.1652362</v>
      </c>
      <c r="AD17" s="36">
        <f t="shared" si="9"/>
        <v>23370.662303099998</v>
      </c>
      <c r="AE17" s="36">
        <f t="shared" si="83"/>
        <v>12485.7733662</v>
      </c>
      <c r="AG17" s="5">
        <f t="shared" si="65"/>
        <v>0</v>
      </c>
      <c r="AH17" s="5">
        <f t="shared" si="10"/>
        <v>58140.2395766</v>
      </c>
      <c r="AI17" s="5">
        <f t="shared" si="11"/>
        <v>58140.2395766</v>
      </c>
      <c r="AJ17" s="36">
        <f t="shared" si="12"/>
        <v>18831.3047433</v>
      </c>
      <c r="AK17" s="36">
        <f t="shared" si="84"/>
        <v>10060.6221666</v>
      </c>
      <c r="AM17" s="5">
        <f t="shared" si="66"/>
        <v>0</v>
      </c>
      <c r="AN17" s="5">
        <f t="shared" si="13"/>
        <v>69093.938794</v>
      </c>
      <c r="AO17" s="5">
        <f t="shared" si="14"/>
        <v>69093.938794</v>
      </c>
      <c r="AP17" s="36">
        <f t="shared" si="15"/>
        <v>22379.147847</v>
      </c>
      <c r="AQ17" s="36">
        <f t="shared" si="85"/>
        <v>11956.056894</v>
      </c>
      <c r="AS17" s="36">
        <f t="shared" si="67"/>
        <v>0</v>
      </c>
      <c r="AT17" s="36">
        <f t="shared" si="16"/>
        <v>4126.999071599999</v>
      </c>
      <c r="AU17" s="5">
        <f t="shared" si="17"/>
        <v>4126.999071599999</v>
      </c>
      <c r="AV17" s="36">
        <f t="shared" si="18"/>
        <v>1336.7123657999998</v>
      </c>
      <c r="AW17" s="36">
        <f t="shared" si="86"/>
        <v>714.1384115999999</v>
      </c>
      <c r="AY17" s="36">
        <f t="shared" si="68"/>
        <v>0</v>
      </c>
      <c r="AZ17" s="36">
        <f t="shared" si="19"/>
        <v>371.4984816</v>
      </c>
      <c r="BA17" s="5">
        <f t="shared" si="20"/>
        <v>371.4984816</v>
      </c>
      <c r="BB17" s="36">
        <f t="shared" si="21"/>
        <v>120.3263208</v>
      </c>
      <c r="BC17" s="36">
        <f t="shared" si="87"/>
        <v>64.2843216</v>
      </c>
      <c r="BD17" s="5"/>
      <c r="BE17" s="36">
        <f t="shared" si="69"/>
        <v>0</v>
      </c>
      <c r="BF17" s="36">
        <f t="shared" si="22"/>
        <v>76009.2542096</v>
      </c>
      <c r="BG17" s="5">
        <f t="shared" si="23"/>
        <v>76009.2542096</v>
      </c>
      <c r="BH17" s="36">
        <f t="shared" si="24"/>
        <v>24618.9805848</v>
      </c>
      <c r="BI17" s="36">
        <f t="shared" si="88"/>
        <v>13152.6872496</v>
      </c>
      <c r="BJ17" s="5"/>
      <c r="BK17" s="36">
        <f t="shared" si="70"/>
        <v>0</v>
      </c>
      <c r="BL17" s="36">
        <f t="shared" si="25"/>
        <v>2.7010516</v>
      </c>
      <c r="BM17" s="5">
        <f t="shared" si="26"/>
        <v>2.7010516</v>
      </c>
      <c r="BN17" s="36">
        <f t="shared" si="27"/>
        <v>0.8748558000000001</v>
      </c>
      <c r="BO17" s="36">
        <f t="shared" si="89"/>
        <v>0.4673916</v>
      </c>
      <c r="BP17" s="5"/>
      <c r="BQ17" s="36">
        <f t="shared" si="71"/>
        <v>0</v>
      </c>
      <c r="BR17" s="36">
        <f t="shared" si="28"/>
        <v>97087.22202999999</v>
      </c>
      <c r="BS17" s="5">
        <f t="shared" si="29"/>
        <v>97087.22202999999</v>
      </c>
      <c r="BT17" s="36">
        <f t="shared" si="30"/>
        <v>31446.018764999997</v>
      </c>
      <c r="BU17" s="36">
        <f t="shared" si="90"/>
        <v>16800.03153</v>
      </c>
      <c r="BV17" s="5"/>
      <c r="BW17" s="36">
        <f t="shared" si="72"/>
        <v>0</v>
      </c>
      <c r="BX17" s="36">
        <f t="shared" si="31"/>
        <v>229.069953</v>
      </c>
      <c r="BY17" s="5">
        <f t="shared" si="32"/>
        <v>229.069953</v>
      </c>
      <c r="BZ17" s="36">
        <f t="shared" si="33"/>
        <v>74.1945015</v>
      </c>
      <c r="CA17" s="36">
        <f t="shared" si="91"/>
        <v>39.638403</v>
      </c>
      <c r="CB17" s="5"/>
      <c r="CC17" s="36">
        <f t="shared" si="73"/>
        <v>0</v>
      </c>
      <c r="CD17" s="36">
        <f t="shared" si="34"/>
        <v>40709.3147358</v>
      </c>
      <c r="CE17" s="5">
        <f t="shared" si="35"/>
        <v>40709.3147358</v>
      </c>
      <c r="CF17" s="36">
        <f t="shared" si="36"/>
        <v>13185.5237829</v>
      </c>
      <c r="CG17" s="36">
        <f t="shared" si="92"/>
        <v>7044.3644058</v>
      </c>
      <c r="CH17" s="5"/>
      <c r="CI17" s="5">
        <f t="shared" si="74"/>
        <v>0</v>
      </c>
      <c r="CJ17" s="5">
        <f t="shared" si="37"/>
        <v>205.4876948</v>
      </c>
      <c r="CK17" s="5">
        <f t="shared" si="38"/>
        <v>205.4876948</v>
      </c>
      <c r="CL17" s="36">
        <f t="shared" si="39"/>
        <v>66.5563374</v>
      </c>
      <c r="CM17" s="36">
        <f t="shared" si="93"/>
        <v>35.5577148</v>
      </c>
      <c r="CN17" s="5"/>
      <c r="CO17" s="36">
        <f t="shared" si="75"/>
        <v>0</v>
      </c>
      <c r="CP17" s="36">
        <f t="shared" si="40"/>
        <v>7989.502859599999</v>
      </c>
      <c r="CQ17" s="5">
        <f t="shared" si="41"/>
        <v>7989.502859599999</v>
      </c>
      <c r="CR17" s="36">
        <f t="shared" si="42"/>
        <v>2587.7561597999998</v>
      </c>
      <c r="CS17" s="36">
        <f t="shared" si="94"/>
        <v>1382.5083995999998</v>
      </c>
      <c r="CT17" s="5"/>
      <c r="CU17" s="36">
        <f t="shared" si="76"/>
        <v>0</v>
      </c>
      <c r="CV17" s="36">
        <f t="shared" si="43"/>
        <v>4253.4290638</v>
      </c>
      <c r="CW17" s="5">
        <f t="shared" si="44"/>
        <v>4253.4290638</v>
      </c>
      <c r="CX17" s="36">
        <f t="shared" si="45"/>
        <v>1377.6623469</v>
      </c>
      <c r="CY17" s="36">
        <f t="shared" si="95"/>
        <v>736.0159338000001</v>
      </c>
      <c r="CZ17" s="5"/>
      <c r="DA17" s="5">
        <f t="shared" si="77"/>
        <v>0</v>
      </c>
      <c r="DB17" s="36">
        <f t="shared" si="46"/>
        <v>13859.9268524</v>
      </c>
      <c r="DC17" s="36">
        <f t="shared" si="47"/>
        <v>13859.9268524</v>
      </c>
      <c r="DD17" s="36">
        <f t="shared" si="48"/>
        <v>4489.1542962</v>
      </c>
      <c r="DE17" s="36">
        <f t="shared" si="96"/>
        <v>2398.3301124</v>
      </c>
      <c r="DF17" s="5"/>
      <c r="DG17" s="5">
        <f t="shared" si="78"/>
        <v>0</v>
      </c>
      <c r="DH17" s="36">
        <f t="shared" si="49"/>
        <v>122002.03364820001</v>
      </c>
      <c r="DI17" s="36">
        <f t="shared" si="50"/>
        <v>122002.03364820001</v>
      </c>
      <c r="DJ17" s="36">
        <f t="shared" si="51"/>
        <v>39515.7896091</v>
      </c>
      <c r="DK17" s="36">
        <f t="shared" si="97"/>
        <v>21111.3055782</v>
      </c>
      <c r="DL17" s="5"/>
      <c r="DM17" s="36">
        <f t="shared" si="79"/>
        <v>0</v>
      </c>
      <c r="DN17" s="36">
        <f t="shared" si="52"/>
        <v>252585.41211620002</v>
      </c>
      <c r="DO17" s="5">
        <f t="shared" si="53"/>
        <v>252585.41211620002</v>
      </c>
      <c r="DP17" s="36">
        <f t="shared" si="54"/>
        <v>81811.0297431</v>
      </c>
      <c r="DQ17" s="36">
        <f t="shared" si="98"/>
        <v>43707.532246200004</v>
      </c>
      <c r="DR17" s="5"/>
      <c r="DS17" s="5">
        <f t="shared" si="80"/>
        <v>0</v>
      </c>
      <c r="DT17" s="5">
        <f t="shared" si="55"/>
        <v>11210.2991194</v>
      </c>
      <c r="DU17" s="5">
        <f t="shared" si="56"/>
        <v>11210.2991194</v>
      </c>
      <c r="DV17" s="36">
        <f t="shared" si="57"/>
        <v>3630.9544047000004</v>
      </c>
      <c r="DW17" s="36">
        <f t="shared" si="99"/>
        <v>1939.8369294000001</v>
      </c>
      <c r="DX17" s="5"/>
      <c r="DY17" s="36">
        <f t="shared" si="81"/>
        <v>0</v>
      </c>
      <c r="DZ17" s="36">
        <f t="shared" si="58"/>
        <v>12434.706586999999</v>
      </c>
      <c r="EA17" s="5">
        <f t="shared" si="59"/>
        <v>12434.706586999999</v>
      </c>
      <c r="EB17" s="36">
        <f t="shared" si="60"/>
        <v>4027.5332685</v>
      </c>
      <c r="EC17" s="36">
        <f t="shared" si="100"/>
        <v>2151.709137</v>
      </c>
      <c r="ED17" s="5"/>
      <c r="EE17" s="36"/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:153" ht="12.75">
      <c r="A18" s="37">
        <v>44105</v>
      </c>
      <c r="D18" s="3">
        <v>1038866</v>
      </c>
      <c r="E18" s="35">
        <f t="shared" si="0"/>
        <v>1038866</v>
      </c>
      <c r="F18" s="35">
        <v>336483</v>
      </c>
      <c r="G18" s="35">
        <v>179766</v>
      </c>
      <c r="I18" s="36"/>
      <c r="J18" s="36">
        <f>'2016B Academic'!J18</f>
        <v>156579.96125199998</v>
      </c>
      <c r="K18" s="36">
        <f t="shared" si="61"/>
        <v>156579.96125199998</v>
      </c>
      <c r="L18" s="36">
        <f>'2016B Academic'!L18</f>
        <v>50715.390726000005</v>
      </c>
      <c r="M18" s="36">
        <f>'2016B Academic'!M18</f>
        <v>27094.691052000002</v>
      </c>
      <c r="O18" s="36"/>
      <c r="P18" s="35">
        <f t="shared" si="1"/>
        <v>882286.0387480002</v>
      </c>
      <c r="Q18" s="5">
        <f t="shared" si="2"/>
        <v>882286.0387480002</v>
      </c>
      <c r="R18" s="35">
        <f t="shared" si="3"/>
        <v>285767.609274</v>
      </c>
      <c r="S18" s="35">
        <f t="shared" si="3"/>
        <v>152671.308948</v>
      </c>
      <c r="U18" s="36"/>
      <c r="V18" s="36">
        <f t="shared" si="4"/>
        <v>39819.8376666</v>
      </c>
      <c r="W18" s="5">
        <f t="shared" si="5"/>
        <v>39819.8376666</v>
      </c>
      <c r="X18" s="36">
        <f t="shared" si="6"/>
        <v>12897.4270383</v>
      </c>
      <c r="Y18" s="36">
        <f t="shared" si="82"/>
        <v>6890.4487566</v>
      </c>
      <c r="AB18" s="36">
        <f t="shared" si="7"/>
        <v>72155.1652362</v>
      </c>
      <c r="AC18" s="36">
        <f t="shared" si="8"/>
        <v>72155.1652362</v>
      </c>
      <c r="AD18" s="36">
        <f t="shared" si="9"/>
        <v>23370.662303099998</v>
      </c>
      <c r="AE18" s="36">
        <f t="shared" si="83"/>
        <v>12485.7733662</v>
      </c>
      <c r="AH18" s="5">
        <f t="shared" si="10"/>
        <v>58140.2395766</v>
      </c>
      <c r="AI18" s="5">
        <f t="shared" si="11"/>
        <v>58140.2395766</v>
      </c>
      <c r="AJ18" s="36">
        <f t="shared" si="12"/>
        <v>18831.3047433</v>
      </c>
      <c r="AK18" s="36">
        <f t="shared" si="84"/>
        <v>10060.6221666</v>
      </c>
      <c r="AN18" s="5">
        <f t="shared" si="13"/>
        <v>69093.938794</v>
      </c>
      <c r="AO18" s="5">
        <f t="shared" si="14"/>
        <v>69093.938794</v>
      </c>
      <c r="AP18" s="36">
        <f t="shared" si="15"/>
        <v>22379.147847</v>
      </c>
      <c r="AQ18" s="36">
        <f t="shared" si="85"/>
        <v>11956.056894</v>
      </c>
      <c r="AS18" s="36"/>
      <c r="AT18" s="36">
        <f t="shared" si="16"/>
        <v>4126.999071599999</v>
      </c>
      <c r="AU18" s="5">
        <f t="shared" si="17"/>
        <v>4126.999071599999</v>
      </c>
      <c r="AV18" s="36">
        <f t="shared" si="18"/>
        <v>1336.7123657999998</v>
      </c>
      <c r="AW18" s="36">
        <f t="shared" si="86"/>
        <v>714.1384115999999</v>
      </c>
      <c r="AY18" s="36"/>
      <c r="AZ18" s="36">
        <f t="shared" si="19"/>
        <v>371.4984816</v>
      </c>
      <c r="BA18" s="5">
        <f t="shared" si="20"/>
        <v>371.4984816</v>
      </c>
      <c r="BB18" s="36">
        <f t="shared" si="21"/>
        <v>120.3263208</v>
      </c>
      <c r="BC18" s="36">
        <f t="shared" si="87"/>
        <v>64.2843216</v>
      </c>
      <c r="BD18" s="5"/>
      <c r="BE18" s="36"/>
      <c r="BF18" s="36">
        <f t="shared" si="22"/>
        <v>76009.2542096</v>
      </c>
      <c r="BG18" s="5">
        <f t="shared" si="23"/>
        <v>76009.2542096</v>
      </c>
      <c r="BH18" s="36">
        <f t="shared" si="24"/>
        <v>24618.9805848</v>
      </c>
      <c r="BI18" s="36">
        <f t="shared" si="88"/>
        <v>13152.6872496</v>
      </c>
      <c r="BJ18" s="5"/>
      <c r="BK18" s="36"/>
      <c r="BL18" s="36">
        <f t="shared" si="25"/>
        <v>2.7010516</v>
      </c>
      <c r="BM18" s="5">
        <f t="shared" si="26"/>
        <v>2.7010516</v>
      </c>
      <c r="BN18" s="36">
        <f t="shared" si="27"/>
        <v>0.8748558000000001</v>
      </c>
      <c r="BO18" s="36">
        <f t="shared" si="89"/>
        <v>0.4673916</v>
      </c>
      <c r="BP18" s="5"/>
      <c r="BQ18" s="36"/>
      <c r="BR18" s="36">
        <f t="shared" si="28"/>
        <v>97087.22202999999</v>
      </c>
      <c r="BS18" s="5">
        <f t="shared" si="29"/>
        <v>97087.22202999999</v>
      </c>
      <c r="BT18" s="36">
        <f t="shared" si="30"/>
        <v>31446.018764999997</v>
      </c>
      <c r="BU18" s="36">
        <f t="shared" si="90"/>
        <v>16800.03153</v>
      </c>
      <c r="BV18" s="5"/>
      <c r="BW18" s="36"/>
      <c r="BX18" s="36">
        <f t="shared" si="31"/>
        <v>229.069953</v>
      </c>
      <c r="BY18" s="5">
        <f t="shared" si="32"/>
        <v>229.069953</v>
      </c>
      <c r="BZ18" s="36">
        <f t="shared" si="33"/>
        <v>74.1945015</v>
      </c>
      <c r="CA18" s="36">
        <f t="shared" si="91"/>
        <v>39.638403</v>
      </c>
      <c r="CB18" s="5"/>
      <c r="CC18" s="36"/>
      <c r="CD18" s="36">
        <f t="shared" si="34"/>
        <v>40709.3147358</v>
      </c>
      <c r="CE18" s="5">
        <f t="shared" si="35"/>
        <v>40709.3147358</v>
      </c>
      <c r="CF18" s="36">
        <f t="shared" si="36"/>
        <v>13185.5237829</v>
      </c>
      <c r="CG18" s="36">
        <f t="shared" si="92"/>
        <v>7044.3644058</v>
      </c>
      <c r="CH18" s="5"/>
      <c r="CI18" s="5"/>
      <c r="CJ18" s="5">
        <f t="shared" si="37"/>
        <v>205.4876948</v>
      </c>
      <c r="CK18" s="5">
        <f t="shared" si="38"/>
        <v>205.4876948</v>
      </c>
      <c r="CL18" s="36">
        <f t="shared" si="39"/>
        <v>66.5563374</v>
      </c>
      <c r="CM18" s="36">
        <f t="shared" si="93"/>
        <v>35.5577148</v>
      </c>
      <c r="CN18" s="5"/>
      <c r="CO18" s="36"/>
      <c r="CP18" s="36">
        <f t="shared" si="40"/>
        <v>7989.502859599999</v>
      </c>
      <c r="CQ18" s="5">
        <f t="shared" si="41"/>
        <v>7989.502859599999</v>
      </c>
      <c r="CR18" s="36">
        <f t="shared" si="42"/>
        <v>2587.7561597999998</v>
      </c>
      <c r="CS18" s="36">
        <f t="shared" si="94"/>
        <v>1382.5083995999998</v>
      </c>
      <c r="CT18" s="5"/>
      <c r="CU18" s="36"/>
      <c r="CV18" s="36">
        <f t="shared" si="43"/>
        <v>4253.4290638</v>
      </c>
      <c r="CW18" s="5">
        <f t="shared" si="44"/>
        <v>4253.4290638</v>
      </c>
      <c r="CX18" s="36">
        <f t="shared" si="45"/>
        <v>1377.6623469</v>
      </c>
      <c r="CY18" s="36">
        <f t="shared" si="95"/>
        <v>736.0159338000001</v>
      </c>
      <c r="CZ18" s="5"/>
      <c r="DA18" s="5"/>
      <c r="DB18" s="36">
        <f t="shared" si="46"/>
        <v>13859.9268524</v>
      </c>
      <c r="DC18" s="36">
        <f t="shared" si="47"/>
        <v>13859.9268524</v>
      </c>
      <c r="DD18" s="36">
        <f t="shared" si="48"/>
        <v>4489.1542962</v>
      </c>
      <c r="DE18" s="36">
        <f t="shared" si="96"/>
        <v>2398.3301124</v>
      </c>
      <c r="DF18" s="5"/>
      <c r="DG18" s="5"/>
      <c r="DH18" s="36">
        <f t="shared" si="49"/>
        <v>122002.03364820001</v>
      </c>
      <c r="DI18" s="36">
        <f t="shared" si="50"/>
        <v>122002.03364820001</v>
      </c>
      <c r="DJ18" s="36">
        <f t="shared" si="51"/>
        <v>39515.7896091</v>
      </c>
      <c r="DK18" s="36">
        <f t="shared" si="97"/>
        <v>21111.3055782</v>
      </c>
      <c r="DL18" s="5"/>
      <c r="DM18" s="36"/>
      <c r="DN18" s="36">
        <f t="shared" si="52"/>
        <v>252585.41211620002</v>
      </c>
      <c r="DO18" s="5">
        <f t="shared" si="53"/>
        <v>252585.41211620002</v>
      </c>
      <c r="DP18" s="36">
        <f t="shared" si="54"/>
        <v>81811.0297431</v>
      </c>
      <c r="DQ18" s="36">
        <f t="shared" si="98"/>
        <v>43707.532246200004</v>
      </c>
      <c r="DR18" s="5"/>
      <c r="DS18" s="5"/>
      <c r="DT18" s="5">
        <f t="shared" si="55"/>
        <v>11210.2991194</v>
      </c>
      <c r="DU18" s="5">
        <f t="shared" si="56"/>
        <v>11210.2991194</v>
      </c>
      <c r="DV18" s="36">
        <f t="shared" si="57"/>
        <v>3630.9544047000004</v>
      </c>
      <c r="DW18" s="36">
        <f t="shared" si="99"/>
        <v>1939.8369294000001</v>
      </c>
      <c r="DX18" s="5"/>
      <c r="DY18" s="36"/>
      <c r="DZ18" s="36">
        <f t="shared" si="58"/>
        <v>12434.706586999999</v>
      </c>
      <c r="EA18" s="5">
        <f t="shared" si="59"/>
        <v>12434.706586999999</v>
      </c>
      <c r="EB18" s="36">
        <f t="shared" si="60"/>
        <v>4027.5332685</v>
      </c>
      <c r="EC18" s="36">
        <f t="shared" si="100"/>
        <v>2151.709137</v>
      </c>
      <c r="ED18" s="5"/>
      <c r="EE18" s="36"/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</row>
    <row r="19" spans="1:153" ht="12.75">
      <c r="A19" s="37">
        <v>44287</v>
      </c>
      <c r="C19" s="3">
        <v>0</v>
      </c>
      <c r="D19" s="3">
        <v>1038866</v>
      </c>
      <c r="E19" s="35">
        <f t="shared" si="0"/>
        <v>1038866</v>
      </c>
      <c r="F19" s="35">
        <v>336483</v>
      </c>
      <c r="G19" s="35">
        <v>179766</v>
      </c>
      <c r="I19" s="36">
        <f>'2016B Academic'!I19</f>
        <v>0</v>
      </c>
      <c r="J19" s="36">
        <f>'2016B Academic'!J19</f>
        <v>156579.96125199998</v>
      </c>
      <c r="K19" s="36">
        <f t="shared" si="61"/>
        <v>156579.96125199998</v>
      </c>
      <c r="L19" s="36">
        <f>'2016B Academic'!L19</f>
        <v>50715.390726000005</v>
      </c>
      <c r="M19" s="36">
        <f>'2016B Academic'!M19</f>
        <v>27094.691052000002</v>
      </c>
      <c r="O19" s="36">
        <f t="shared" si="62"/>
        <v>0</v>
      </c>
      <c r="P19" s="35">
        <f t="shared" si="1"/>
        <v>882286.0387480002</v>
      </c>
      <c r="Q19" s="5">
        <f t="shared" si="2"/>
        <v>882286.0387480002</v>
      </c>
      <c r="R19" s="35">
        <f t="shared" si="3"/>
        <v>285767.609274</v>
      </c>
      <c r="S19" s="35">
        <f t="shared" si="3"/>
        <v>152671.308948</v>
      </c>
      <c r="U19" s="36">
        <f t="shared" si="63"/>
        <v>0</v>
      </c>
      <c r="V19" s="36">
        <f t="shared" si="4"/>
        <v>39819.8376666</v>
      </c>
      <c r="W19" s="5">
        <f t="shared" si="5"/>
        <v>39819.8376666</v>
      </c>
      <c r="X19" s="36">
        <f t="shared" si="6"/>
        <v>12897.4270383</v>
      </c>
      <c r="Y19" s="36">
        <f t="shared" si="82"/>
        <v>6890.4487566</v>
      </c>
      <c r="AA19" s="5">
        <f t="shared" si="64"/>
        <v>0</v>
      </c>
      <c r="AB19" s="36">
        <f t="shared" si="7"/>
        <v>72155.1652362</v>
      </c>
      <c r="AC19" s="36">
        <f t="shared" si="8"/>
        <v>72155.1652362</v>
      </c>
      <c r="AD19" s="36">
        <f t="shared" si="9"/>
        <v>23370.662303099998</v>
      </c>
      <c r="AE19" s="36">
        <f t="shared" si="83"/>
        <v>12485.7733662</v>
      </c>
      <c r="AG19" s="5">
        <f t="shared" si="65"/>
        <v>0</v>
      </c>
      <c r="AH19" s="5">
        <f t="shared" si="10"/>
        <v>58140.2395766</v>
      </c>
      <c r="AI19" s="5">
        <f t="shared" si="11"/>
        <v>58140.2395766</v>
      </c>
      <c r="AJ19" s="36">
        <f t="shared" si="12"/>
        <v>18831.3047433</v>
      </c>
      <c r="AK19" s="36">
        <f t="shared" si="84"/>
        <v>10060.6221666</v>
      </c>
      <c r="AM19" s="5">
        <f t="shared" si="66"/>
        <v>0</v>
      </c>
      <c r="AN19" s="5">
        <f t="shared" si="13"/>
        <v>69093.938794</v>
      </c>
      <c r="AO19" s="5">
        <f t="shared" si="14"/>
        <v>69093.938794</v>
      </c>
      <c r="AP19" s="36">
        <f t="shared" si="15"/>
        <v>22379.147847</v>
      </c>
      <c r="AQ19" s="36">
        <f t="shared" si="85"/>
        <v>11956.056894</v>
      </c>
      <c r="AS19" s="36">
        <f t="shared" si="67"/>
        <v>0</v>
      </c>
      <c r="AT19" s="36">
        <f t="shared" si="16"/>
        <v>4126.999071599999</v>
      </c>
      <c r="AU19" s="5">
        <f t="shared" si="17"/>
        <v>4126.999071599999</v>
      </c>
      <c r="AV19" s="36">
        <f t="shared" si="18"/>
        <v>1336.7123657999998</v>
      </c>
      <c r="AW19" s="36">
        <f t="shared" si="86"/>
        <v>714.1384115999999</v>
      </c>
      <c r="AY19" s="36">
        <f t="shared" si="68"/>
        <v>0</v>
      </c>
      <c r="AZ19" s="36">
        <f t="shared" si="19"/>
        <v>371.4984816</v>
      </c>
      <c r="BA19" s="5">
        <f t="shared" si="20"/>
        <v>371.4984816</v>
      </c>
      <c r="BB19" s="36">
        <f t="shared" si="21"/>
        <v>120.3263208</v>
      </c>
      <c r="BC19" s="36">
        <f t="shared" si="87"/>
        <v>64.2843216</v>
      </c>
      <c r="BD19" s="5"/>
      <c r="BE19" s="36">
        <f t="shared" si="69"/>
        <v>0</v>
      </c>
      <c r="BF19" s="36">
        <f t="shared" si="22"/>
        <v>76009.2542096</v>
      </c>
      <c r="BG19" s="5">
        <f t="shared" si="23"/>
        <v>76009.2542096</v>
      </c>
      <c r="BH19" s="36">
        <f t="shared" si="24"/>
        <v>24618.9805848</v>
      </c>
      <c r="BI19" s="36">
        <f t="shared" si="88"/>
        <v>13152.6872496</v>
      </c>
      <c r="BJ19" s="5"/>
      <c r="BK19" s="36">
        <f t="shared" si="70"/>
        <v>0</v>
      </c>
      <c r="BL19" s="36">
        <f t="shared" si="25"/>
        <v>2.7010516</v>
      </c>
      <c r="BM19" s="5">
        <f t="shared" si="26"/>
        <v>2.7010516</v>
      </c>
      <c r="BN19" s="36">
        <f t="shared" si="27"/>
        <v>0.8748558000000001</v>
      </c>
      <c r="BO19" s="36">
        <f t="shared" si="89"/>
        <v>0.4673916</v>
      </c>
      <c r="BP19" s="5"/>
      <c r="BQ19" s="36">
        <f t="shared" si="71"/>
        <v>0</v>
      </c>
      <c r="BR19" s="36">
        <f t="shared" si="28"/>
        <v>97087.22202999999</v>
      </c>
      <c r="BS19" s="5">
        <f t="shared" si="29"/>
        <v>97087.22202999999</v>
      </c>
      <c r="BT19" s="36">
        <f t="shared" si="30"/>
        <v>31446.018764999997</v>
      </c>
      <c r="BU19" s="36">
        <f t="shared" si="90"/>
        <v>16800.03153</v>
      </c>
      <c r="BV19" s="5"/>
      <c r="BW19" s="36">
        <f t="shared" si="72"/>
        <v>0</v>
      </c>
      <c r="BX19" s="36">
        <f t="shared" si="31"/>
        <v>229.069953</v>
      </c>
      <c r="BY19" s="5">
        <f t="shared" si="32"/>
        <v>229.069953</v>
      </c>
      <c r="BZ19" s="36">
        <f t="shared" si="33"/>
        <v>74.1945015</v>
      </c>
      <c r="CA19" s="36">
        <f t="shared" si="91"/>
        <v>39.638403</v>
      </c>
      <c r="CB19" s="5"/>
      <c r="CC19" s="36">
        <f t="shared" si="73"/>
        <v>0</v>
      </c>
      <c r="CD19" s="36">
        <f t="shared" si="34"/>
        <v>40709.3147358</v>
      </c>
      <c r="CE19" s="5">
        <f t="shared" si="35"/>
        <v>40709.3147358</v>
      </c>
      <c r="CF19" s="36">
        <f t="shared" si="36"/>
        <v>13185.5237829</v>
      </c>
      <c r="CG19" s="36">
        <f t="shared" si="92"/>
        <v>7044.3644058</v>
      </c>
      <c r="CH19" s="5"/>
      <c r="CI19" s="5">
        <f t="shared" si="74"/>
        <v>0</v>
      </c>
      <c r="CJ19" s="5">
        <f t="shared" si="37"/>
        <v>205.4876948</v>
      </c>
      <c r="CK19" s="5">
        <f t="shared" si="38"/>
        <v>205.4876948</v>
      </c>
      <c r="CL19" s="36">
        <f t="shared" si="39"/>
        <v>66.5563374</v>
      </c>
      <c r="CM19" s="36">
        <f t="shared" si="93"/>
        <v>35.5577148</v>
      </c>
      <c r="CN19" s="5"/>
      <c r="CO19" s="36">
        <f t="shared" si="75"/>
        <v>0</v>
      </c>
      <c r="CP19" s="36">
        <f t="shared" si="40"/>
        <v>7989.502859599999</v>
      </c>
      <c r="CQ19" s="5">
        <f t="shared" si="41"/>
        <v>7989.502859599999</v>
      </c>
      <c r="CR19" s="36">
        <f t="shared" si="42"/>
        <v>2587.7561597999998</v>
      </c>
      <c r="CS19" s="36">
        <f t="shared" si="94"/>
        <v>1382.5083995999998</v>
      </c>
      <c r="CT19" s="5"/>
      <c r="CU19" s="36">
        <f t="shared" si="76"/>
        <v>0</v>
      </c>
      <c r="CV19" s="36">
        <f t="shared" si="43"/>
        <v>4253.4290638</v>
      </c>
      <c r="CW19" s="5">
        <f t="shared" si="44"/>
        <v>4253.4290638</v>
      </c>
      <c r="CX19" s="36">
        <f t="shared" si="45"/>
        <v>1377.6623469</v>
      </c>
      <c r="CY19" s="36">
        <f t="shared" si="95"/>
        <v>736.0159338000001</v>
      </c>
      <c r="CZ19" s="5"/>
      <c r="DA19" s="5">
        <f t="shared" si="77"/>
        <v>0</v>
      </c>
      <c r="DB19" s="36">
        <f t="shared" si="46"/>
        <v>13859.9268524</v>
      </c>
      <c r="DC19" s="36">
        <f t="shared" si="47"/>
        <v>13859.9268524</v>
      </c>
      <c r="DD19" s="36">
        <f t="shared" si="48"/>
        <v>4489.1542962</v>
      </c>
      <c r="DE19" s="36">
        <f t="shared" si="96"/>
        <v>2398.3301124</v>
      </c>
      <c r="DF19" s="5"/>
      <c r="DG19" s="5">
        <f t="shared" si="78"/>
        <v>0</v>
      </c>
      <c r="DH19" s="36">
        <f t="shared" si="49"/>
        <v>122002.03364820001</v>
      </c>
      <c r="DI19" s="36">
        <f t="shared" si="50"/>
        <v>122002.03364820001</v>
      </c>
      <c r="DJ19" s="36">
        <f t="shared" si="51"/>
        <v>39515.7896091</v>
      </c>
      <c r="DK19" s="36">
        <f t="shared" si="97"/>
        <v>21111.3055782</v>
      </c>
      <c r="DL19" s="5"/>
      <c r="DM19" s="36">
        <f t="shared" si="79"/>
        <v>0</v>
      </c>
      <c r="DN19" s="36">
        <f t="shared" si="52"/>
        <v>252585.41211620002</v>
      </c>
      <c r="DO19" s="5">
        <f t="shared" si="53"/>
        <v>252585.41211620002</v>
      </c>
      <c r="DP19" s="36">
        <f t="shared" si="54"/>
        <v>81811.0297431</v>
      </c>
      <c r="DQ19" s="36">
        <f t="shared" si="98"/>
        <v>43707.532246200004</v>
      </c>
      <c r="DR19" s="5"/>
      <c r="DS19" s="5">
        <f t="shared" si="80"/>
        <v>0</v>
      </c>
      <c r="DT19" s="5">
        <f t="shared" si="55"/>
        <v>11210.2991194</v>
      </c>
      <c r="DU19" s="5">
        <f t="shared" si="56"/>
        <v>11210.2991194</v>
      </c>
      <c r="DV19" s="36">
        <f t="shared" si="57"/>
        <v>3630.9544047000004</v>
      </c>
      <c r="DW19" s="36">
        <f t="shared" si="99"/>
        <v>1939.8369294000001</v>
      </c>
      <c r="DX19" s="5"/>
      <c r="DY19" s="36">
        <f t="shared" si="81"/>
        <v>0</v>
      </c>
      <c r="DZ19" s="36">
        <f t="shared" si="58"/>
        <v>12434.706586999999</v>
      </c>
      <c r="EA19" s="5">
        <f t="shared" si="59"/>
        <v>12434.706586999999</v>
      </c>
      <c r="EB19" s="36">
        <f t="shared" si="60"/>
        <v>4027.5332685</v>
      </c>
      <c r="EC19" s="36">
        <f t="shared" si="100"/>
        <v>2151.709137</v>
      </c>
      <c r="ED19" s="5"/>
      <c r="EE19" s="36"/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</row>
    <row r="20" spans="1:153" ht="12.75">
      <c r="A20" s="37">
        <v>44470</v>
      </c>
      <c r="D20" s="3">
        <v>1038866</v>
      </c>
      <c r="E20" s="35">
        <f t="shared" si="0"/>
        <v>1038866</v>
      </c>
      <c r="F20" s="35">
        <v>336483</v>
      </c>
      <c r="G20" s="35">
        <v>179766</v>
      </c>
      <c r="I20" s="36"/>
      <c r="J20" s="36">
        <f>'2016B Academic'!J20</f>
        <v>156579.96125199998</v>
      </c>
      <c r="K20" s="36">
        <f t="shared" si="61"/>
        <v>156579.96125199998</v>
      </c>
      <c r="L20" s="36">
        <f>'2016B Academic'!L20</f>
        <v>50715.390726000005</v>
      </c>
      <c r="M20" s="36">
        <f>'2016B Academic'!M20</f>
        <v>27094.691052000002</v>
      </c>
      <c r="O20" s="36"/>
      <c r="P20" s="35">
        <f t="shared" si="1"/>
        <v>882286.0387480002</v>
      </c>
      <c r="Q20" s="5">
        <f t="shared" si="2"/>
        <v>882286.0387480002</v>
      </c>
      <c r="R20" s="35">
        <f t="shared" si="3"/>
        <v>285767.609274</v>
      </c>
      <c r="S20" s="35">
        <f t="shared" si="3"/>
        <v>152671.308948</v>
      </c>
      <c r="U20" s="36"/>
      <c r="V20" s="36">
        <f t="shared" si="4"/>
        <v>39819.8376666</v>
      </c>
      <c r="W20" s="5">
        <f t="shared" si="5"/>
        <v>39819.8376666</v>
      </c>
      <c r="X20" s="36">
        <f t="shared" si="6"/>
        <v>12897.4270383</v>
      </c>
      <c r="Y20" s="36">
        <f t="shared" si="82"/>
        <v>6890.4487566</v>
      </c>
      <c r="AB20" s="36">
        <f t="shared" si="7"/>
        <v>72155.1652362</v>
      </c>
      <c r="AC20" s="36">
        <f t="shared" si="8"/>
        <v>72155.1652362</v>
      </c>
      <c r="AD20" s="36">
        <f t="shared" si="9"/>
        <v>23370.662303099998</v>
      </c>
      <c r="AE20" s="36">
        <f t="shared" si="83"/>
        <v>12485.7733662</v>
      </c>
      <c r="AH20" s="5">
        <f t="shared" si="10"/>
        <v>58140.2395766</v>
      </c>
      <c r="AI20" s="5">
        <f t="shared" si="11"/>
        <v>58140.2395766</v>
      </c>
      <c r="AJ20" s="36">
        <f t="shared" si="12"/>
        <v>18831.3047433</v>
      </c>
      <c r="AK20" s="36">
        <f t="shared" si="84"/>
        <v>10060.6221666</v>
      </c>
      <c r="AN20" s="5">
        <f t="shared" si="13"/>
        <v>69093.938794</v>
      </c>
      <c r="AO20" s="5">
        <f t="shared" si="14"/>
        <v>69093.938794</v>
      </c>
      <c r="AP20" s="36">
        <f t="shared" si="15"/>
        <v>22379.147847</v>
      </c>
      <c r="AQ20" s="36">
        <f t="shared" si="85"/>
        <v>11956.056894</v>
      </c>
      <c r="AS20" s="36"/>
      <c r="AT20" s="36">
        <f t="shared" si="16"/>
        <v>4126.999071599999</v>
      </c>
      <c r="AU20" s="5">
        <f t="shared" si="17"/>
        <v>4126.999071599999</v>
      </c>
      <c r="AV20" s="36">
        <f t="shared" si="18"/>
        <v>1336.7123657999998</v>
      </c>
      <c r="AW20" s="36">
        <f t="shared" si="86"/>
        <v>714.1384115999999</v>
      </c>
      <c r="AY20" s="36"/>
      <c r="AZ20" s="36">
        <f t="shared" si="19"/>
        <v>371.4984816</v>
      </c>
      <c r="BA20" s="5">
        <f t="shared" si="20"/>
        <v>371.4984816</v>
      </c>
      <c r="BB20" s="36">
        <f t="shared" si="21"/>
        <v>120.3263208</v>
      </c>
      <c r="BC20" s="36">
        <f t="shared" si="87"/>
        <v>64.2843216</v>
      </c>
      <c r="BD20" s="5"/>
      <c r="BE20" s="36"/>
      <c r="BF20" s="36">
        <f t="shared" si="22"/>
        <v>76009.2542096</v>
      </c>
      <c r="BG20" s="5">
        <f t="shared" si="23"/>
        <v>76009.2542096</v>
      </c>
      <c r="BH20" s="36">
        <f t="shared" si="24"/>
        <v>24618.9805848</v>
      </c>
      <c r="BI20" s="36">
        <f t="shared" si="88"/>
        <v>13152.6872496</v>
      </c>
      <c r="BJ20" s="5"/>
      <c r="BK20" s="36"/>
      <c r="BL20" s="36">
        <f t="shared" si="25"/>
        <v>2.7010516</v>
      </c>
      <c r="BM20" s="5">
        <f t="shared" si="26"/>
        <v>2.7010516</v>
      </c>
      <c r="BN20" s="36">
        <f t="shared" si="27"/>
        <v>0.8748558000000001</v>
      </c>
      <c r="BO20" s="36">
        <f t="shared" si="89"/>
        <v>0.4673916</v>
      </c>
      <c r="BP20" s="5"/>
      <c r="BQ20" s="36"/>
      <c r="BR20" s="36">
        <f t="shared" si="28"/>
        <v>97087.22202999999</v>
      </c>
      <c r="BS20" s="5">
        <f t="shared" si="29"/>
        <v>97087.22202999999</v>
      </c>
      <c r="BT20" s="36">
        <f t="shared" si="30"/>
        <v>31446.018764999997</v>
      </c>
      <c r="BU20" s="36">
        <f t="shared" si="90"/>
        <v>16800.03153</v>
      </c>
      <c r="BV20" s="5"/>
      <c r="BW20" s="36"/>
      <c r="BX20" s="36">
        <f t="shared" si="31"/>
        <v>229.069953</v>
      </c>
      <c r="BY20" s="5">
        <f t="shared" si="32"/>
        <v>229.069953</v>
      </c>
      <c r="BZ20" s="36">
        <f t="shared" si="33"/>
        <v>74.1945015</v>
      </c>
      <c r="CA20" s="36">
        <f t="shared" si="91"/>
        <v>39.638403</v>
      </c>
      <c r="CB20" s="5"/>
      <c r="CC20" s="36"/>
      <c r="CD20" s="36">
        <f t="shared" si="34"/>
        <v>40709.3147358</v>
      </c>
      <c r="CE20" s="5">
        <f t="shared" si="35"/>
        <v>40709.3147358</v>
      </c>
      <c r="CF20" s="36">
        <f t="shared" si="36"/>
        <v>13185.5237829</v>
      </c>
      <c r="CG20" s="36">
        <f t="shared" si="92"/>
        <v>7044.3644058</v>
      </c>
      <c r="CH20" s="5"/>
      <c r="CI20" s="5"/>
      <c r="CJ20" s="5">
        <f t="shared" si="37"/>
        <v>205.4876948</v>
      </c>
      <c r="CK20" s="5">
        <f t="shared" si="38"/>
        <v>205.4876948</v>
      </c>
      <c r="CL20" s="36">
        <f t="shared" si="39"/>
        <v>66.5563374</v>
      </c>
      <c r="CM20" s="36">
        <f t="shared" si="93"/>
        <v>35.5577148</v>
      </c>
      <c r="CN20" s="5"/>
      <c r="CO20" s="36"/>
      <c r="CP20" s="36">
        <f t="shared" si="40"/>
        <v>7989.502859599999</v>
      </c>
      <c r="CQ20" s="5">
        <f t="shared" si="41"/>
        <v>7989.502859599999</v>
      </c>
      <c r="CR20" s="36">
        <f t="shared" si="42"/>
        <v>2587.7561597999998</v>
      </c>
      <c r="CS20" s="36">
        <f t="shared" si="94"/>
        <v>1382.5083995999998</v>
      </c>
      <c r="CT20" s="5"/>
      <c r="CU20" s="36"/>
      <c r="CV20" s="36">
        <f t="shared" si="43"/>
        <v>4253.4290638</v>
      </c>
      <c r="CW20" s="5">
        <f t="shared" si="44"/>
        <v>4253.4290638</v>
      </c>
      <c r="CX20" s="36">
        <f t="shared" si="45"/>
        <v>1377.6623469</v>
      </c>
      <c r="CY20" s="36">
        <f t="shared" si="95"/>
        <v>736.0159338000001</v>
      </c>
      <c r="CZ20" s="5"/>
      <c r="DA20" s="5"/>
      <c r="DB20" s="36">
        <f t="shared" si="46"/>
        <v>13859.9268524</v>
      </c>
      <c r="DC20" s="36">
        <f t="shared" si="47"/>
        <v>13859.9268524</v>
      </c>
      <c r="DD20" s="36">
        <f t="shared" si="48"/>
        <v>4489.1542962</v>
      </c>
      <c r="DE20" s="36">
        <f t="shared" si="96"/>
        <v>2398.3301124</v>
      </c>
      <c r="DF20" s="5"/>
      <c r="DG20" s="5"/>
      <c r="DH20" s="36">
        <f t="shared" si="49"/>
        <v>122002.03364820001</v>
      </c>
      <c r="DI20" s="36">
        <f t="shared" si="50"/>
        <v>122002.03364820001</v>
      </c>
      <c r="DJ20" s="36">
        <f t="shared" si="51"/>
        <v>39515.7896091</v>
      </c>
      <c r="DK20" s="36">
        <f t="shared" si="97"/>
        <v>21111.3055782</v>
      </c>
      <c r="DL20" s="5"/>
      <c r="DM20" s="36"/>
      <c r="DN20" s="36">
        <f t="shared" si="52"/>
        <v>252585.41211620002</v>
      </c>
      <c r="DO20" s="5">
        <f t="shared" si="53"/>
        <v>252585.41211620002</v>
      </c>
      <c r="DP20" s="36">
        <f t="shared" si="54"/>
        <v>81811.0297431</v>
      </c>
      <c r="DQ20" s="36">
        <f t="shared" si="98"/>
        <v>43707.532246200004</v>
      </c>
      <c r="DR20" s="5"/>
      <c r="DS20" s="5"/>
      <c r="DT20" s="5">
        <f t="shared" si="55"/>
        <v>11210.2991194</v>
      </c>
      <c r="DU20" s="5">
        <f t="shared" si="56"/>
        <v>11210.2991194</v>
      </c>
      <c r="DV20" s="36">
        <f t="shared" si="57"/>
        <v>3630.9544047000004</v>
      </c>
      <c r="DW20" s="36">
        <f t="shared" si="99"/>
        <v>1939.8369294000001</v>
      </c>
      <c r="DX20" s="5"/>
      <c r="DY20" s="36"/>
      <c r="DZ20" s="36">
        <f t="shared" si="58"/>
        <v>12434.706586999999</v>
      </c>
      <c r="EA20" s="5">
        <f t="shared" si="59"/>
        <v>12434.706586999999</v>
      </c>
      <c r="EB20" s="36">
        <f t="shared" si="60"/>
        <v>4027.5332685</v>
      </c>
      <c r="EC20" s="36">
        <f t="shared" si="100"/>
        <v>2151.709137</v>
      </c>
      <c r="ED20" s="5"/>
      <c r="EE20" s="36"/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</row>
    <row r="21" spans="1:153" ht="12.75">
      <c r="A21" s="37">
        <v>44652</v>
      </c>
      <c r="C21" s="3">
        <v>5645000</v>
      </c>
      <c r="D21" s="3">
        <v>1038866</v>
      </c>
      <c r="E21" s="35">
        <f t="shared" si="0"/>
        <v>6683866</v>
      </c>
      <c r="F21" s="35">
        <v>336483</v>
      </c>
      <c r="G21" s="35">
        <v>179766</v>
      </c>
      <c r="I21" s="36">
        <f>'2016B Academic'!I21</f>
        <v>850825.6899999998</v>
      </c>
      <c r="J21" s="36">
        <f>'2016B Academic'!J21</f>
        <v>156579.96125199998</v>
      </c>
      <c r="K21" s="36">
        <f t="shared" si="61"/>
        <v>1007405.6512519998</v>
      </c>
      <c r="L21" s="36">
        <f>'2016B Academic'!L21</f>
        <v>50715.390726000005</v>
      </c>
      <c r="M21" s="36">
        <f>'2016B Academic'!M21</f>
        <v>27094.691052000002</v>
      </c>
      <c r="O21" s="36">
        <f t="shared" si="62"/>
        <v>4794174.31</v>
      </c>
      <c r="P21" s="35">
        <f t="shared" si="1"/>
        <v>882286.0387480002</v>
      </c>
      <c r="Q21" s="5">
        <f t="shared" si="2"/>
        <v>5676460.348747999</v>
      </c>
      <c r="R21" s="35">
        <f t="shared" si="3"/>
        <v>285767.609274</v>
      </c>
      <c r="S21" s="35">
        <f t="shared" si="3"/>
        <v>152671.308948</v>
      </c>
      <c r="U21" s="36">
        <f t="shared" si="63"/>
        <v>216373.41449999998</v>
      </c>
      <c r="V21" s="36">
        <f t="shared" si="4"/>
        <v>39819.8376666</v>
      </c>
      <c r="W21" s="5">
        <f t="shared" si="5"/>
        <v>256193.25216659997</v>
      </c>
      <c r="X21" s="36">
        <f t="shared" si="6"/>
        <v>12897.4270383</v>
      </c>
      <c r="Y21" s="36">
        <f t="shared" si="82"/>
        <v>6890.4487566</v>
      </c>
      <c r="AA21" s="5">
        <f t="shared" si="64"/>
        <v>392077.4265</v>
      </c>
      <c r="AB21" s="36">
        <f t="shared" si="7"/>
        <v>72155.1652362</v>
      </c>
      <c r="AC21" s="36">
        <f t="shared" si="8"/>
        <v>464232.59173620003</v>
      </c>
      <c r="AD21" s="36">
        <f t="shared" si="9"/>
        <v>23370.662303099998</v>
      </c>
      <c r="AE21" s="36">
        <f t="shared" si="83"/>
        <v>12485.7733662</v>
      </c>
      <c r="AG21" s="5">
        <f t="shared" si="65"/>
        <v>315922.98949999997</v>
      </c>
      <c r="AH21" s="5">
        <f t="shared" si="10"/>
        <v>58140.2395766</v>
      </c>
      <c r="AI21" s="5">
        <f t="shared" si="11"/>
        <v>374063.22907659994</v>
      </c>
      <c r="AJ21" s="36">
        <f t="shared" si="12"/>
        <v>18831.3047433</v>
      </c>
      <c r="AK21" s="36">
        <f t="shared" si="84"/>
        <v>10060.6221666</v>
      </c>
      <c r="AM21" s="5">
        <f t="shared" si="66"/>
        <v>375443.305</v>
      </c>
      <c r="AN21" s="5">
        <f t="shared" si="13"/>
        <v>69093.938794</v>
      </c>
      <c r="AO21" s="5">
        <f t="shared" si="14"/>
        <v>444537.243794</v>
      </c>
      <c r="AP21" s="36">
        <f t="shared" si="15"/>
        <v>22379.147847</v>
      </c>
      <c r="AQ21" s="36">
        <f t="shared" si="85"/>
        <v>11956.056894</v>
      </c>
      <c r="AS21" s="36">
        <f t="shared" si="67"/>
        <v>22425.326999999997</v>
      </c>
      <c r="AT21" s="36">
        <f t="shared" si="16"/>
        <v>4126.999071599999</v>
      </c>
      <c r="AU21" s="5">
        <f t="shared" si="17"/>
        <v>26552.326071599997</v>
      </c>
      <c r="AV21" s="36">
        <f t="shared" si="18"/>
        <v>1336.7123657999998</v>
      </c>
      <c r="AW21" s="36">
        <f t="shared" si="86"/>
        <v>714.1384115999999</v>
      </c>
      <c r="AY21" s="36">
        <f t="shared" si="68"/>
        <v>2018.652</v>
      </c>
      <c r="AZ21" s="36">
        <f t="shared" si="19"/>
        <v>371.4984816</v>
      </c>
      <c r="BA21" s="5">
        <f t="shared" si="20"/>
        <v>2390.1504816</v>
      </c>
      <c r="BB21" s="36">
        <f t="shared" si="21"/>
        <v>120.3263208</v>
      </c>
      <c r="BC21" s="36">
        <f t="shared" si="87"/>
        <v>64.2843216</v>
      </c>
      <c r="BD21" s="5"/>
      <c r="BE21" s="36">
        <f t="shared" si="69"/>
        <v>413019.812</v>
      </c>
      <c r="BF21" s="36">
        <f t="shared" si="22"/>
        <v>76009.2542096</v>
      </c>
      <c r="BG21" s="5">
        <f t="shared" si="23"/>
        <v>489029.06620959996</v>
      </c>
      <c r="BH21" s="36">
        <f t="shared" si="24"/>
        <v>24618.9805848</v>
      </c>
      <c r="BI21" s="36">
        <f t="shared" si="88"/>
        <v>13152.6872496</v>
      </c>
      <c r="BJ21" s="5"/>
      <c r="BK21" s="36">
        <f t="shared" si="70"/>
        <v>14.677000000000001</v>
      </c>
      <c r="BL21" s="36">
        <f t="shared" si="25"/>
        <v>2.7010516</v>
      </c>
      <c r="BM21" s="5">
        <f t="shared" si="26"/>
        <v>17.378051600000003</v>
      </c>
      <c r="BN21" s="36">
        <f t="shared" si="27"/>
        <v>0.8748558000000001</v>
      </c>
      <c r="BO21" s="36">
        <f t="shared" si="89"/>
        <v>0.4673916</v>
      </c>
      <c r="BP21" s="5"/>
      <c r="BQ21" s="36">
        <f t="shared" si="71"/>
        <v>527553.475</v>
      </c>
      <c r="BR21" s="36">
        <f t="shared" si="28"/>
        <v>97087.22202999999</v>
      </c>
      <c r="BS21" s="5">
        <f t="shared" si="29"/>
        <v>624640.6970299999</v>
      </c>
      <c r="BT21" s="36">
        <f t="shared" si="30"/>
        <v>31446.018764999997</v>
      </c>
      <c r="BU21" s="36">
        <f t="shared" si="90"/>
        <v>16800.03153</v>
      </c>
      <c r="BV21" s="5"/>
      <c r="BW21" s="36">
        <f t="shared" si="72"/>
        <v>1244.7224999999999</v>
      </c>
      <c r="BX21" s="36">
        <f t="shared" si="31"/>
        <v>229.069953</v>
      </c>
      <c r="BY21" s="5">
        <f t="shared" si="32"/>
        <v>1473.7924529999998</v>
      </c>
      <c r="BZ21" s="36">
        <f t="shared" si="33"/>
        <v>74.1945015</v>
      </c>
      <c r="CA21" s="36">
        <f t="shared" si="91"/>
        <v>39.638403</v>
      </c>
      <c r="CB21" s="5"/>
      <c r="CC21" s="36">
        <f t="shared" si="73"/>
        <v>221206.6635</v>
      </c>
      <c r="CD21" s="36">
        <f t="shared" si="34"/>
        <v>40709.3147358</v>
      </c>
      <c r="CE21" s="5">
        <f t="shared" si="35"/>
        <v>261915.9782358</v>
      </c>
      <c r="CF21" s="36">
        <f t="shared" si="36"/>
        <v>13185.5237829</v>
      </c>
      <c r="CG21" s="36">
        <f t="shared" si="92"/>
        <v>7044.3644058</v>
      </c>
      <c r="CH21" s="5"/>
      <c r="CI21" s="5">
        <f t="shared" si="74"/>
        <v>1116.5810000000001</v>
      </c>
      <c r="CJ21" s="5">
        <f t="shared" si="37"/>
        <v>205.4876948</v>
      </c>
      <c r="CK21" s="5">
        <f t="shared" si="38"/>
        <v>1322.0686948000002</v>
      </c>
      <c r="CL21" s="36">
        <f t="shared" si="39"/>
        <v>66.5563374</v>
      </c>
      <c r="CM21" s="36">
        <f t="shared" si="93"/>
        <v>35.5577148</v>
      </c>
      <c r="CN21" s="5"/>
      <c r="CO21" s="36">
        <f t="shared" si="75"/>
        <v>43413.437</v>
      </c>
      <c r="CP21" s="36">
        <f t="shared" si="40"/>
        <v>7989.502859599999</v>
      </c>
      <c r="CQ21" s="5">
        <f t="shared" si="41"/>
        <v>51402.939859599996</v>
      </c>
      <c r="CR21" s="36">
        <f t="shared" si="42"/>
        <v>2587.7561597999998</v>
      </c>
      <c r="CS21" s="36">
        <f t="shared" si="94"/>
        <v>1382.5083995999998</v>
      </c>
      <c r="CT21" s="5"/>
      <c r="CU21" s="36">
        <f t="shared" si="76"/>
        <v>23112.323500000002</v>
      </c>
      <c r="CV21" s="36">
        <f t="shared" si="43"/>
        <v>4253.4290638</v>
      </c>
      <c r="CW21" s="5">
        <f t="shared" si="44"/>
        <v>27365.7525638</v>
      </c>
      <c r="CX21" s="36">
        <f t="shared" si="45"/>
        <v>1377.6623469</v>
      </c>
      <c r="CY21" s="36">
        <f t="shared" si="95"/>
        <v>736.0159338000001</v>
      </c>
      <c r="CZ21" s="5"/>
      <c r="DA21" s="5">
        <f t="shared" si="77"/>
        <v>75312.203</v>
      </c>
      <c r="DB21" s="36">
        <f t="shared" si="46"/>
        <v>13859.9268524</v>
      </c>
      <c r="DC21" s="36">
        <f t="shared" si="47"/>
        <v>89172.12985239999</v>
      </c>
      <c r="DD21" s="36">
        <f t="shared" si="48"/>
        <v>4489.1542962</v>
      </c>
      <c r="DE21" s="36">
        <f t="shared" si="96"/>
        <v>2398.3301124</v>
      </c>
      <c r="DF21" s="5"/>
      <c r="DG21" s="5">
        <f t="shared" si="78"/>
        <v>662935.8165000001</v>
      </c>
      <c r="DH21" s="36">
        <f t="shared" si="49"/>
        <v>122002.03364820001</v>
      </c>
      <c r="DI21" s="36">
        <f t="shared" si="50"/>
        <v>784937.8501482</v>
      </c>
      <c r="DJ21" s="36">
        <f t="shared" si="51"/>
        <v>39515.7896091</v>
      </c>
      <c r="DK21" s="36">
        <f t="shared" si="97"/>
        <v>21111.3055782</v>
      </c>
      <c r="DL21" s="5"/>
      <c r="DM21" s="36">
        <f t="shared" si="79"/>
        <v>1372501.0265000002</v>
      </c>
      <c r="DN21" s="36">
        <f t="shared" si="52"/>
        <v>252585.41211620002</v>
      </c>
      <c r="DO21" s="5">
        <f t="shared" si="53"/>
        <v>1625086.4386162001</v>
      </c>
      <c r="DP21" s="36">
        <f t="shared" si="54"/>
        <v>81811.0297431</v>
      </c>
      <c r="DQ21" s="36">
        <f t="shared" si="98"/>
        <v>43707.532246200004</v>
      </c>
      <c r="DR21" s="5"/>
      <c r="DS21" s="5">
        <f t="shared" si="80"/>
        <v>60914.63050000001</v>
      </c>
      <c r="DT21" s="5">
        <f t="shared" si="55"/>
        <v>11210.2991194</v>
      </c>
      <c r="DU21" s="5">
        <f t="shared" si="56"/>
        <v>72124.9296194</v>
      </c>
      <c r="DV21" s="36">
        <f t="shared" si="57"/>
        <v>3630.9544047000004</v>
      </c>
      <c r="DW21" s="36">
        <f t="shared" si="99"/>
        <v>1939.8369294000001</v>
      </c>
      <c r="DX21" s="5"/>
      <c r="DY21" s="36">
        <f t="shared" si="81"/>
        <v>67567.8275</v>
      </c>
      <c r="DZ21" s="36">
        <f t="shared" si="58"/>
        <v>12434.706586999999</v>
      </c>
      <c r="EA21" s="5">
        <f t="shared" si="59"/>
        <v>80002.53408699999</v>
      </c>
      <c r="EB21" s="36">
        <f t="shared" si="60"/>
        <v>4027.5332685</v>
      </c>
      <c r="EC21" s="36">
        <f t="shared" si="100"/>
        <v>2151.709137</v>
      </c>
      <c r="ED21" s="5"/>
      <c r="EE21" s="36"/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ht="12.75">
      <c r="A22" s="37">
        <v>44835</v>
      </c>
      <c r="D22" s="3">
        <v>897741</v>
      </c>
      <c r="E22" s="35">
        <f t="shared" si="0"/>
        <v>897741</v>
      </c>
      <c r="F22" s="35">
        <v>336483</v>
      </c>
      <c r="G22" s="35">
        <v>179766</v>
      </c>
      <c r="I22" s="36"/>
      <c r="J22" s="36">
        <f>'2016B Academic'!J22</f>
        <v>135309.31900199997</v>
      </c>
      <c r="K22" s="36">
        <f t="shared" si="61"/>
        <v>135309.31900199997</v>
      </c>
      <c r="L22" s="36">
        <f>'2016B Academic'!L22</f>
        <v>50715.390726000005</v>
      </c>
      <c r="M22" s="36">
        <f>'2016B Academic'!M22</f>
        <v>27094.691052000002</v>
      </c>
      <c r="O22" s="36"/>
      <c r="P22" s="35">
        <f t="shared" si="1"/>
        <v>762431.680998</v>
      </c>
      <c r="Q22" s="5">
        <f t="shared" si="2"/>
        <v>762431.680998</v>
      </c>
      <c r="R22" s="35">
        <f t="shared" si="3"/>
        <v>285767.609274</v>
      </c>
      <c r="S22" s="35">
        <f t="shared" si="3"/>
        <v>152671.308948</v>
      </c>
      <c r="U22" s="36"/>
      <c r="V22" s="36">
        <f t="shared" si="4"/>
        <v>34410.5023041</v>
      </c>
      <c r="W22" s="5">
        <f t="shared" si="5"/>
        <v>34410.5023041</v>
      </c>
      <c r="X22" s="36">
        <f t="shared" si="6"/>
        <v>12897.4270383</v>
      </c>
      <c r="Y22" s="36">
        <f t="shared" si="82"/>
        <v>6890.4487566</v>
      </c>
      <c r="AB22" s="36">
        <f t="shared" si="7"/>
        <v>62353.229573699995</v>
      </c>
      <c r="AC22" s="36">
        <f t="shared" si="8"/>
        <v>62353.229573699995</v>
      </c>
      <c r="AD22" s="36">
        <f t="shared" si="9"/>
        <v>23370.662303099998</v>
      </c>
      <c r="AE22" s="36">
        <f t="shared" si="83"/>
        <v>12485.7733662</v>
      </c>
      <c r="AH22" s="5">
        <f t="shared" si="10"/>
        <v>50242.1648391</v>
      </c>
      <c r="AI22" s="5">
        <f t="shared" si="11"/>
        <v>50242.1648391</v>
      </c>
      <c r="AJ22" s="36">
        <f t="shared" si="12"/>
        <v>18831.3047433</v>
      </c>
      <c r="AK22" s="36">
        <f t="shared" si="84"/>
        <v>10060.6221666</v>
      </c>
      <c r="AN22" s="5">
        <f t="shared" si="13"/>
        <v>59707.856169</v>
      </c>
      <c r="AO22" s="5">
        <f t="shared" si="14"/>
        <v>59707.856169</v>
      </c>
      <c r="AP22" s="36">
        <f t="shared" si="15"/>
        <v>22379.147847</v>
      </c>
      <c r="AQ22" s="36">
        <f t="shared" si="85"/>
        <v>11956.056894</v>
      </c>
      <c r="AS22" s="36"/>
      <c r="AT22" s="36">
        <f t="shared" si="16"/>
        <v>3566.3658966</v>
      </c>
      <c r="AU22" s="5">
        <f t="shared" si="17"/>
        <v>3566.3658966</v>
      </c>
      <c r="AV22" s="36">
        <f t="shared" si="18"/>
        <v>1336.7123657999998</v>
      </c>
      <c r="AW22" s="36">
        <f t="shared" si="86"/>
        <v>714.1384115999999</v>
      </c>
      <c r="AY22" s="36"/>
      <c r="AZ22" s="36">
        <f t="shared" si="19"/>
        <v>321.0321816</v>
      </c>
      <c r="BA22" s="5">
        <f t="shared" si="20"/>
        <v>321.0321816</v>
      </c>
      <c r="BB22" s="36">
        <f t="shared" si="21"/>
        <v>120.3263208</v>
      </c>
      <c r="BC22" s="36">
        <f t="shared" si="87"/>
        <v>64.2843216</v>
      </c>
      <c r="BD22" s="5"/>
      <c r="BE22" s="36"/>
      <c r="BF22" s="36">
        <f t="shared" si="22"/>
        <v>65683.7589096</v>
      </c>
      <c r="BG22" s="5">
        <f t="shared" si="23"/>
        <v>65683.7589096</v>
      </c>
      <c r="BH22" s="36">
        <f t="shared" si="24"/>
        <v>24618.9805848</v>
      </c>
      <c r="BI22" s="36">
        <f t="shared" si="88"/>
        <v>13152.6872496</v>
      </c>
      <c r="BJ22" s="5"/>
      <c r="BK22" s="36"/>
      <c r="BL22" s="36">
        <f t="shared" si="25"/>
        <v>2.3341266000000003</v>
      </c>
      <c r="BM22" s="5">
        <f t="shared" si="26"/>
        <v>2.3341266000000003</v>
      </c>
      <c r="BN22" s="36">
        <f t="shared" si="27"/>
        <v>0.8748558000000001</v>
      </c>
      <c r="BO22" s="36">
        <f t="shared" si="89"/>
        <v>0.4673916</v>
      </c>
      <c r="BP22" s="5"/>
      <c r="BQ22" s="36"/>
      <c r="BR22" s="36">
        <f t="shared" si="28"/>
        <v>83898.385155</v>
      </c>
      <c r="BS22" s="5">
        <f t="shared" si="29"/>
        <v>83898.385155</v>
      </c>
      <c r="BT22" s="36">
        <f t="shared" si="30"/>
        <v>31446.018764999997</v>
      </c>
      <c r="BU22" s="36">
        <f t="shared" si="90"/>
        <v>16800.03153</v>
      </c>
      <c r="BV22" s="5"/>
      <c r="BW22" s="36"/>
      <c r="BX22" s="36">
        <f t="shared" si="31"/>
        <v>197.9518905</v>
      </c>
      <c r="BY22" s="5">
        <f t="shared" si="32"/>
        <v>197.9518905</v>
      </c>
      <c r="BZ22" s="36">
        <f t="shared" si="33"/>
        <v>74.1945015</v>
      </c>
      <c r="CA22" s="36">
        <f t="shared" si="91"/>
        <v>39.638403</v>
      </c>
      <c r="CB22" s="5"/>
      <c r="CC22" s="36"/>
      <c r="CD22" s="36">
        <f t="shared" si="34"/>
        <v>35179.1481483</v>
      </c>
      <c r="CE22" s="5">
        <f t="shared" si="35"/>
        <v>35179.1481483</v>
      </c>
      <c r="CF22" s="36">
        <f t="shared" si="36"/>
        <v>13185.5237829</v>
      </c>
      <c r="CG22" s="36">
        <f t="shared" si="92"/>
        <v>7044.3644058</v>
      </c>
      <c r="CH22" s="5"/>
      <c r="CI22" s="5"/>
      <c r="CJ22" s="5">
        <f t="shared" si="37"/>
        <v>177.57316980000002</v>
      </c>
      <c r="CK22" s="5">
        <f t="shared" si="38"/>
        <v>177.57316980000002</v>
      </c>
      <c r="CL22" s="36">
        <f t="shared" si="39"/>
        <v>66.5563374</v>
      </c>
      <c r="CM22" s="36">
        <f t="shared" si="93"/>
        <v>35.5577148</v>
      </c>
      <c r="CN22" s="5"/>
      <c r="CO22" s="36"/>
      <c r="CP22" s="36">
        <f t="shared" si="40"/>
        <v>6904.1669346</v>
      </c>
      <c r="CQ22" s="5">
        <f t="shared" si="41"/>
        <v>6904.1669346</v>
      </c>
      <c r="CR22" s="36">
        <f t="shared" si="42"/>
        <v>2587.7561597999998</v>
      </c>
      <c r="CS22" s="36">
        <f t="shared" si="94"/>
        <v>1382.5083995999998</v>
      </c>
      <c r="CT22" s="5"/>
      <c r="CU22" s="36"/>
      <c r="CV22" s="36">
        <f t="shared" si="43"/>
        <v>3675.6209763</v>
      </c>
      <c r="CW22" s="5">
        <f t="shared" si="44"/>
        <v>3675.6209763</v>
      </c>
      <c r="CX22" s="36">
        <f t="shared" si="45"/>
        <v>1377.6623469</v>
      </c>
      <c r="CY22" s="36">
        <f t="shared" si="95"/>
        <v>736.0159338000001</v>
      </c>
      <c r="CZ22" s="5"/>
      <c r="DA22" s="5"/>
      <c r="DB22" s="36">
        <f t="shared" si="46"/>
        <v>11977.1217774</v>
      </c>
      <c r="DC22" s="36">
        <f t="shared" si="47"/>
        <v>11977.1217774</v>
      </c>
      <c r="DD22" s="36">
        <f t="shared" si="48"/>
        <v>4489.1542962</v>
      </c>
      <c r="DE22" s="36">
        <f t="shared" si="96"/>
        <v>2398.3301124</v>
      </c>
      <c r="DF22" s="5"/>
      <c r="DG22" s="5"/>
      <c r="DH22" s="36">
        <f t="shared" si="49"/>
        <v>105428.63823570001</v>
      </c>
      <c r="DI22" s="36">
        <f t="shared" si="50"/>
        <v>105428.63823570001</v>
      </c>
      <c r="DJ22" s="36">
        <f t="shared" si="51"/>
        <v>39515.7896091</v>
      </c>
      <c r="DK22" s="36">
        <f t="shared" si="97"/>
        <v>21111.3055782</v>
      </c>
      <c r="DL22" s="5"/>
      <c r="DM22" s="36"/>
      <c r="DN22" s="36">
        <f t="shared" si="52"/>
        <v>218272.88645370002</v>
      </c>
      <c r="DO22" s="5">
        <f t="shared" si="53"/>
        <v>218272.88645370002</v>
      </c>
      <c r="DP22" s="36">
        <f t="shared" si="54"/>
        <v>81811.0297431</v>
      </c>
      <c r="DQ22" s="36">
        <f t="shared" si="98"/>
        <v>43707.532246200004</v>
      </c>
      <c r="DR22" s="5"/>
      <c r="DS22" s="5"/>
      <c r="DT22" s="5">
        <f t="shared" si="55"/>
        <v>9687.433356900001</v>
      </c>
      <c r="DU22" s="5">
        <f t="shared" si="56"/>
        <v>9687.433356900001</v>
      </c>
      <c r="DV22" s="36">
        <f t="shared" si="57"/>
        <v>3630.9544047000004</v>
      </c>
      <c r="DW22" s="36">
        <f t="shared" si="99"/>
        <v>1939.8369294000001</v>
      </c>
      <c r="DX22" s="5"/>
      <c r="DY22" s="36"/>
      <c r="DZ22" s="36">
        <f t="shared" si="58"/>
        <v>10745.5108995</v>
      </c>
      <c r="EA22" s="5">
        <f t="shared" si="59"/>
        <v>10745.5108995</v>
      </c>
      <c r="EB22" s="36">
        <f t="shared" si="60"/>
        <v>4027.5332685</v>
      </c>
      <c r="EC22" s="36">
        <f t="shared" si="100"/>
        <v>2151.709137</v>
      </c>
      <c r="ED22" s="5"/>
      <c r="EE22" s="36"/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ht="12.75">
      <c r="A23" s="37">
        <v>45017</v>
      </c>
      <c r="C23" s="3">
        <v>5930000</v>
      </c>
      <c r="D23" s="3">
        <v>897741</v>
      </c>
      <c r="E23" s="35">
        <f t="shared" si="0"/>
        <v>6827741</v>
      </c>
      <c r="F23" s="35">
        <v>336483</v>
      </c>
      <c r="G23" s="35">
        <v>179766</v>
      </c>
      <c r="I23" s="36">
        <f>'2016B Academic'!I23</f>
        <v>893781.46</v>
      </c>
      <c r="J23" s="36">
        <f>'2016B Academic'!J23</f>
        <v>135309.31900199997</v>
      </c>
      <c r="K23" s="36">
        <f t="shared" si="61"/>
        <v>1029090.7790019999</v>
      </c>
      <c r="L23" s="36">
        <f>'2016B Academic'!L23</f>
        <v>50715.390726000005</v>
      </c>
      <c r="M23" s="36">
        <f>'2016B Academic'!M23</f>
        <v>27094.691052000002</v>
      </c>
      <c r="O23" s="36">
        <f t="shared" si="62"/>
        <v>5036218.539999999</v>
      </c>
      <c r="P23" s="35">
        <f t="shared" si="1"/>
        <v>762431.680998</v>
      </c>
      <c r="Q23" s="5">
        <f t="shared" si="2"/>
        <v>5798650.220997999</v>
      </c>
      <c r="R23" s="35">
        <f t="shared" si="3"/>
        <v>285767.609274</v>
      </c>
      <c r="S23" s="35">
        <f t="shared" si="3"/>
        <v>152671.308948</v>
      </c>
      <c r="U23" s="36">
        <f t="shared" si="63"/>
        <v>227297.493</v>
      </c>
      <c r="V23" s="36">
        <f t="shared" si="4"/>
        <v>34410.5023041</v>
      </c>
      <c r="W23" s="5">
        <f t="shared" si="5"/>
        <v>261707.99530409998</v>
      </c>
      <c r="X23" s="36">
        <f t="shared" si="6"/>
        <v>12897.4270383</v>
      </c>
      <c r="Y23" s="36">
        <f t="shared" si="82"/>
        <v>6890.4487566</v>
      </c>
      <c r="AA23" s="5">
        <f t="shared" si="64"/>
        <v>411872.301</v>
      </c>
      <c r="AB23" s="36">
        <f t="shared" si="7"/>
        <v>62353.229573699995</v>
      </c>
      <c r="AC23" s="36">
        <f t="shared" si="8"/>
        <v>474225.5305737</v>
      </c>
      <c r="AD23" s="36">
        <f t="shared" si="9"/>
        <v>23370.662303099998</v>
      </c>
      <c r="AE23" s="36">
        <f t="shared" si="83"/>
        <v>12485.7733662</v>
      </c>
      <c r="AG23" s="5">
        <f t="shared" si="65"/>
        <v>331873.043</v>
      </c>
      <c r="AH23" s="5">
        <f t="shared" si="10"/>
        <v>50242.1648391</v>
      </c>
      <c r="AI23" s="5">
        <f t="shared" si="11"/>
        <v>382115.2078391</v>
      </c>
      <c r="AJ23" s="36">
        <f t="shared" si="12"/>
        <v>18831.3047433</v>
      </c>
      <c r="AK23" s="36">
        <f t="shared" si="84"/>
        <v>10060.6221666</v>
      </c>
      <c r="AM23" s="5">
        <f t="shared" si="66"/>
        <v>394398.37</v>
      </c>
      <c r="AN23" s="5">
        <f t="shared" si="13"/>
        <v>59707.856169</v>
      </c>
      <c r="AO23" s="5">
        <f t="shared" si="14"/>
        <v>454106.226169</v>
      </c>
      <c r="AP23" s="36">
        <f t="shared" si="15"/>
        <v>22379.147847</v>
      </c>
      <c r="AQ23" s="36">
        <f t="shared" si="85"/>
        <v>11956.056894</v>
      </c>
      <c r="AS23" s="36">
        <f t="shared" si="67"/>
        <v>23557.518</v>
      </c>
      <c r="AT23" s="36">
        <f t="shared" si="16"/>
        <v>3566.3658966</v>
      </c>
      <c r="AU23" s="5">
        <f t="shared" si="17"/>
        <v>27123.8838966</v>
      </c>
      <c r="AV23" s="36">
        <f t="shared" si="18"/>
        <v>1336.7123657999998</v>
      </c>
      <c r="AW23" s="36">
        <f t="shared" si="86"/>
        <v>714.1384115999999</v>
      </c>
      <c r="AY23" s="36">
        <f t="shared" si="68"/>
        <v>2120.568</v>
      </c>
      <c r="AZ23" s="36">
        <f t="shared" si="19"/>
        <v>321.0321816</v>
      </c>
      <c r="BA23" s="5">
        <f t="shared" si="20"/>
        <v>2441.6001816000003</v>
      </c>
      <c r="BB23" s="36">
        <f t="shared" si="21"/>
        <v>120.3263208</v>
      </c>
      <c r="BC23" s="36">
        <f t="shared" si="87"/>
        <v>64.2843216</v>
      </c>
      <c r="BD23" s="5"/>
      <c r="BE23" s="36">
        <f t="shared" si="69"/>
        <v>433872.008</v>
      </c>
      <c r="BF23" s="36">
        <f t="shared" si="22"/>
        <v>65683.7589096</v>
      </c>
      <c r="BG23" s="5">
        <f t="shared" si="23"/>
        <v>499555.7669096</v>
      </c>
      <c r="BH23" s="36">
        <f t="shared" si="24"/>
        <v>24618.9805848</v>
      </c>
      <c r="BI23" s="36">
        <f t="shared" si="88"/>
        <v>13152.6872496</v>
      </c>
      <c r="BJ23" s="5"/>
      <c r="BK23" s="36">
        <f t="shared" si="70"/>
        <v>15.418000000000001</v>
      </c>
      <c r="BL23" s="36">
        <f t="shared" si="25"/>
        <v>2.3341266000000003</v>
      </c>
      <c r="BM23" s="5">
        <f t="shared" si="26"/>
        <v>17.7521266</v>
      </c>
      <c r="BN23" s="36">
        <f t="shared" si="27"/>
        <v>0.8748558000000001</v>
      </c>
      <c r="BO23" s="36">
        <f t="shared" si="89"/>
        <v>0.4673916</v>
      </c>
      <c r="BP23" s="5"/>
      <c r="BQ23" s="36">
        <f t="shared" si="71"/>
        <v>554188.15</v>
      </c>
      <c r="BR23" s="36">
        <f t="shared" si="28"/>
        <v>83898.385155</v>
      </c>
      <c r="BS23" s="5">
        <f t="shared" si="29"/>
        <v>638086.535155</v>
      </c>
      <c r="BT23" s="36">
        <f t="shared" si="30"/>
        <v>31446.018764999997</v>
      </c>
      <c r="BU23" s="36">
        <f t="shared" si="90"/>
        <v>16800.03153</v>
      </c>
      <c r="BV23" s="5"/>
      <c r="BW23" s="36">
        <f t="shared" si="72"/>
        <v>1307.565</v>
      </c>
      <c r="BX23" s="36">
        <f t="shared" si="31"/>
        <v>197.9518905</v>
      </c>
      <c r="BY23" s="5">
        <f t="shared" si="32"/>
        <v>1505.5168905</v>
      </c>
      <c r="BZ23" s="36">
        <f t="shared" si="33"/>
        <v>74.1945015</v>
      </c>
      <c r="CA23" s="36">
        <f t="shared" si="91"/>
        <v>39.638403</v>
      </c>
      <c r="CB23" s="5"/>
      <c r="CC23" s="36">
        <f t="shared" si="73"/>
        <v>232374.759</v>
      </c>
      <c r="CD23" s="36">
        <f t="shared" si="34"/>
        <v>35179.1481483</v>
      </c>
      <c r="CE23" s="5">
        <f t="shared" si="35"/>
        <v>267553.9071483</v>
      </c>
      <c r="CF23" s="36">
        <f t="shared" si="36"/>
        <v>13185.5237829</v>
      </c>
      <c r="CG23" s="36">
        <f t="shared" si="92"/>
        <v>7044.3644058</v>
      </c>
      <c r="CH23" s="5"/>
      <c r="CI23" s="5">
        <f t="shared" si="74"/>
        <v>1172.954</v>
      </c>
      <c r="CJ23" s="5">
        <f t="shared" si="37"/>
        <v>177.57316980000002</v>
      </c>
      <c r="CK23" s="5">
        <f t="shared" si="38"/>
        <v>1350.5271698</v>
      </c>
      <c r="CL23" s="36">
        <f t="shared" si="39"/>
        <v>66.5563374</v>
      </c>
      <c r="CM23" s="36">
        <f t="shared" si="93"/>
        <v>35.5577148</v>
      </c>
      <c r="CN23" s="5"/>
      <c r="CO23" s="36">
        <f t="shared" si="75"/>
        <v>45605.258</v>
      </c>
      <c r="CP23" s="36">
        <f t="shared" si="40"/>
        <v>6904.1669346</v>
      </c>
      <c r="CQ23" s="5">
        <f t="shared" si="41"/>
        <v>52509.4249346</v>
      </c>
      <c r="CR23" s="36">
        <f t="shared" si="42"/>
        <v>2587.7561597999998</v>
      </c>
      <c r="CS23" s="36">
        <f t="shared" si="94"/>
        <v>1382.5083995999998</v>
      </c>
      <c r="CT23" s="5"/>
      <c r="CU23" s="36">
        <f t="shared" si="76"/>
        <v>24279.199</v>
      </c>
      <c r="CV23" s="36">
        <f t="shared" si="43"/>
        <v>3675.6209763</v>
      </c>
      <c r="CW23" s="5">
        <f t="shared" si="44"/>
        <v>27954.8199763</v>
      </c>
      <c r="CX23" s="36">
        <f t="shared" si="45"/>
        <v>1377.6623469</v>
      </c>
      <c r="CY23" s="36">
        <f t="shared" si="95"/>
        <v>736.0159338000001</v>
      </c>
      <c r="CZ23" s="5"/>
      <c r="DA23" s="5">
        <f t="shared" si="77"/>
        <v>79114.502</v>
      </c>
      <c r="DB23" s="36">
        <f t="shared" si="46"/>
        <v>11977.1217774</v>
      </c>
      <c r="DC23" s="36">
        <f t="shared" si="47"/>
        <v>91091.62377739999</v>
      </c>
      <c r="DD23" s="36">
        <f t="shared" si="48"/>
        <v>4489.1542962</v>
      </c>
      <c r="DE23" s="36">
        <f t="shared" si="96"/>
        <v>2398.3301124</v>
      </c>
      <c r="DF23" s="5"/>
      <c r="DG23" s="5">
        <f t="shared" si="78"/>
        <v>696405.561</v>
      </c>
      <c r="DH23" s="36">
        <f t="shared" si="49"/>
        <v>105428.63823570001</v>
      </c>
      <c r="DI23" s="36">
        <f t="shared" si="50"/>
        <v>801834.1992357</v>
      </c>
      <c r="DJ23" s="36">
        <f t="shared" si="51"/>
        <v>39515.7896091</v>
      </c>
      <c r="DK23" s="36">
        <f t="shared" si="97"/>
        <v>21111.3055782</v>
      </c>
      <c r="DL23" s="5"/>
      <c r="DM23" s="36">
        <f t="shared" si="79"/>
        <v>1441794.7010000001</v>
      </c>
      <c r="DN23" s="36">
        <f t="shared" si="52"/>
        <v>218272.88645370002</v>
      </c>
      <c r="DO23" s="5">
        <f t="shared" si="53"/>
        <v>1660067.5874537001</v>
      </c>
      <c r="DP23" s="36">
        <f t="shared" si="54"/>
        <v>81811.0297431</v>
      </c>
      <c r="DQ23" s="36">
        <f t="shared" si="98"/>
        <v>43707.532246200004</v>
      </c>
      <c r="DR23" s="5"/>
      <c r="DS23" s="5">
        <f t="shared" si="80"/>
        <v>63990.037000000004</v>
      </c>
      <c r="DT23" s="5">
        <f t="shared" si="55"/>
        <v>9687.433356900001</v>
      </c>
      <c r="DU23" s="5">
        <f t="shared" si="56"/>
        <v>73677.47035690001</v>
      </c>
      <c r="DV23" s="36">
        <f t="shared" si="57"/>
        <v>3630.9544047000004</v>
      </c>
      <c r="DW23" s="36">
        <f t="shared" si="99"/>
        <v>1939.8369294000001</v>
      </c>
      <c r="DX23" s="5"/>
      <c r="DY23" s="36">
        <f t="shared" si="81"/>
        <v>70979.135</v>
      </c>
      <c r="DZ23" s="36">
        <f t="shared" si="58"/>
        <v>10745.5108995</v>
      </c>
      <c r="EA23" s="5">
        <f t="shared" si="59"/>
        <v>81724.6458995</v>
      </c>
      <c r="EB23" s="36">
        <f t="shared" si="60"/>
        <v>4027.5332685</v>
      </c>
      <c r="EC23" s="36">
        <f t="shared" si="100"/>
        <v>2151.709137</v>
      </c>
      <c r="ED23" s="5"/>
      <c r="EE23" s="36"/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ht="12.75">
      <c r="A24" s="37">
        <v>45200</v>
      </c>
      <c r="D24" s="3">
        <v>749491</v>
      </c>
      <c r="E24" s="35">
        <f t="shared" si="0"/>
        <v>749491</v>
      </c>
      <c r="F24" s="35">
        <v>336483</v>
      </c>
      <c r="G24" s="35">
        <v>179766</v>
      </c>
      <c r="I24" s="36"/>
      <c r="J24" s="36">
        <f>'2016B Academic'!J24</f>
        <v>112964.78250200002</v>
      </c>
      <c r="K24" s="36">
        <f t="shared" si="61"/>
        <v>112964.78250200002</v>
      </c>
      <c r="L24" s="36">
        <f>'2016B Academic'!L24</f>
        <v>50715.390726000005</v>
      </c>
      <c r="M24" s="36">
        <f>'2016B Academic'!M24</f>
        <v>27094.691052000002</v>
      </c>
      <c r="O24" s="36"/>
      <c r="P24" s="35">
        <f t="shared" si="1"/>
        <v>636526.217498</v>
      </c>
      <c r="Q24" s="5">
        <f t="shared" si="2"/>
        <v>636526.217498</v>
      </c>
      <c r="R24" s="35">
        <f t="shared" si="3"/>
        <v>285767.609274</v>
      </c>
      <c r="S24" s="35">
        <f t="shared" si="3"/>
        <v>152671.308948</v>
      </c>
      <c r="U24" s="36"/>
      <c r="V24" s="36">
        <f t="shared" si="4"/>
        <v>28728.0649791</v>
      </c>
      <c r="W24" s="5">
        <f t="shared" si="5"/>
        <v>28728.0649791</v>
      </c>
      <c r="X24" s="36">
        <f t="shared" si="6"/>
        <v>12897.4270383</v>
      </c>
      <c r="Y24" s="36">
        <f t="shared" si="82"/>
        <v>6890.4487566</v>
      </c>
      <c r="AB24" s="36">
        <f t="shared" si="7"/>
        <v>52056.4220487</v>
      </c>
      <c r="AC24" s="36">
        <f t="shared" si="8"/>
        <v>52056.4220487</v>
      </c>
      <c r="AD24" s="36">
        <f t="shared" si="9"/>
        <v>23370.662303099998</v>
      </c>
      <c r="AE24" s="36">
        <f t="shared" si="83"/>
        <v>12485.7733662</v>
      </c>
      <c r="AH24" s="5">
        <f t="shared" si="10"/>
        <v>41945.3387641</v>
      </c>
      <c r="AI24" s="5">
        <f t="shared" si="11"/>
        <v>41945.3387641</v>
      </c>
      <c r="AJ24" s="36">
        <f t="shared" si="12"/>
        <v>18831.3047433</v>
      </c>
      <c r="AK24" s="36">
        <f t="shared" si="84"/>
        <v>10060.6221666</v>
      </c>
      <c r="AN24" s="5">
        <f t="shared" si="13"/>
        <v>49847.896919</v>
      </c>
      <c r="AO24" s="5">
        <f t="shared" si="14"/>
        <v>49847.896919</v>
      </c>
      <c r="AP24" s="36">
        <f t="shared" si="15"/>
        <v>22379.147847</v>
      </c>
      <c r="AQ24" s="36">
        <f t="shared" si="85"/>
        <v>11956.056894</v>
      </c>
      <c r="AS24" s="36"/>
      <c r="AT24" s="36">
        <f t="shared" si="16"/>
        <v>2977.4279466</v>
      </c>
      <c r="AU24" s="5">
        <f t="shared" si="17"/>
        <v>2977.4279466</v>
      </c>
      <c r="AV24" s="36">
        <f t="shared" si="18"/>
        <v>1336.7123657999998</v>
      </c>
      <c r="AW24" s="36">
        <f t="shared" si="86"/>
        <v>714.1384115999999</v>
      </c>
      <c r="AY24" s="36"/>
      <c r="AZ24" s="36">
        <f t="shared" si="19"/>
        <v>268.01798160000004</v>
      </c>
      <c r="BA24" s="5">
        <f t="shared" si="20"/>
        <v>268.01798160000004</v>
      </c>
      <c r="BB24" s="36">
        <f t="shared" si="21"/>
        <v>120.3263208</v>
      </c>
      <c r="BC24" s="36">
        <f t="shared" si="87"/>
        <v>64.2843216</v>
      </c>
      <c r="BD24" s="5"/>
      <c r="BE24" s="36"/>
      <c r="BF24" s="36">
        <f t="shared" si="22"/>
        <v>54836.958709599996</v>
      </c>
      <c r="BG24" s="5">
        <f t="shared" si="23"/>
        <v>54836.958709599996</v>
      </c>
      <c r="BH24" s="36">
        <f t="shared" si="24"/>
        <v>24618.9805848</v>
      </c>
      <c r="BI24" s="36">
        <f t="shared" si="88"/>
        <v>13152.6872496</v>
      </c>
      <c r="BJ24" s="5"/>
      <c r="BK24" s="36"/>
      <c r="BL24" s="36">
        <f t="shared" si="25"/>
        <v>1.9486766</v>
      </c>
      <c r="BM24" s="5">
        <f t="shared" si="26"/>
        <v>1.9486766</v>
      </c>
      <c r="BN24" s="36">
        <f t="shared" si="27"/>
        <v>0.8748558000000001</v>
      </c>
      <c r="BO24" s="36">
        <f t="shared" si="89"/>
        <v>0.4673916</v>
      </c>
      <c r="BP24" s="5"/>
      <c r="BQ24" s="36"/>
      <c r="BR24" s="36">
        <f t="shared" si="28"/>
        <v>70043.681405</v>
      </c>
      <c r="BS24" s="5">
        <f t="shared" si="29"/>
        <v>70043.681405</v>
      </c>
      <c r="BT24" s="36">
        <f t="shared" si="30"/>
        <v>31446.018764999997</v>
      </c>
      <c r="BU24" s="36">
        <f t="shared" si="90"/>
        <v>16800.03153</v>
      </c>
      <c r="BV24" s="5"/>
      <c r="BW24" s="36"/>
      <c r="BX24" s="36">
        <f t="shared" si="31"/>
        <v>165.2627655</v>
      </c>
      <c r="BY24" s="5">
        <f t="shared" si="32"/>
        <v>165.2627655</v>
      </c>
      <c r="BZ24" s="36">
        <f t="shared" si="33"/>
        <v>74.1945015</v>
      </c>
      <c r="CA24" s="36">
        <f t="shared" si="91"/>
        <v>39.638403</v>
      </c>
      <c r="CB24" s="5"/>
      <c r="CC24" s="36"/>
      <c r="CD24" s="36">
        <f t="shared" si="34"/>
        <v>29369.7791733</v>
      </c>
      <c r="CE24" s="5">
        <f t="shared" si="35"/>
        <v>29369.7791733</v>
      </c>
      <c r="CF24" s="36">
        <f t="shared" si="36"/>
        <v>13185.5237829</v>
      </c>
      <c r="CG24" s="36">
        <f t="shared" si="92"/>
        <v>7044.3644058</v>
      </c>
      <c r="CH24" s="5"/>
      <c r="CI24" s="5"/>
      <c r="CJ24" s="5">
        <f t="shared" si="37"/>
        <v>148.2493198</v>
      </c>
      <c r="CK24" s="5">
        <f t="shared" si="38"/>
        <v>148.2493198</v>
      </c>
      <c r="CL24" s="36">
        <f t="shared" si="39"/>
        <v>66.5563374</v>
      </c>
      <c r="CM24" s="36">
        <f t="shared" si="93"/>
        <v>35.5577148</v>
      </c>
      <c r="CN24" s="5"/>
      <c r="CO24" s="36"/>
      <c r="CP24" s="36">
        <f t="shared" si="40"/>
        <v>5764.0354846</v>
      </c>
      <c r="CQ24" s="5">
        <f t="shared" si="41"/>
        <v>5764.0354846</v>
      </c>
      <c r="CR24" s="36">
        <f t="shared" si="42"/>
        <v>2587.7561597999998</v>
      </c>
      <c r="CS24" s="36">
        <f t="shared" si="94"/>
        <v>1382.5083995999998</v>
      </c>
      <c r="CT24" s="5"/>
      <c r="CU24" s="36"/>
      <c r="CV24" s="36">
        <f t="shared" si="43"/>
        <v>3068.6410013000004</v>
      </c>
      <c r="CW24" s="5">
        <f t="shared" si="44"/>
        <v>3068.6410013000004</v>
      </c>
      <c r="CX24" s="36">
        <f t="shared" si="45"/>
        <v>1377.6623469</v>
      </c>
      <c r="CY24" s="36">
        <f t="shared" si="95"/>
        <v>736.0159338000001</v>
      </c>
      <c r="CZ24" s="5"/>
      <c r="DA24" s="5"/>
      <c r="DB24" s="36">
        <f t="shared" si="46"/>
        <v>9999.2592274</v>
      </c>
      <c r="DC24" s="36">
        <f t="shared" si="47"/>
        <v>9999.2592274</v>
      </c>
      <c r="DD24" s="36">
        <f t="shared" si="48"/>
        <v>4489.1542962</v>
      </c>
      <c r="DE24" s="36">
        <f t="shared" si="96"/>
        <v>2398.3301124</v>
      </c>
      <c r="DF24" s="5"/>
      <c r="DG24" s="5"/>
      <c r="DH24" s="36">
        <f t="shared" si="49"/>
        <v>88018.4992107</v>
      </c>
      <c r="DI24" s="36">
        <f t="shared" si="50"/>
        <v>88018.4992107</v>
      </c>
      <c r="DJ24" s="36">
        <f t="shared" si="51"/>
        <v>39515.7896091</v>
      </c>
      <c r="DK24" s="36">
        <f t="shared" si="97"/>
        <v>21111.3055782</v>
      </c>
      <c r="DL24" s="5"/>
      <c r="DM24" s="36"/>
      <c r="DN24" s="36">
        <f t="shared" si="52"/>
        <v>182228.0189287</v>
      </c>
      <c r="DO24" s="5">
        <f t="shared" si="53"/>
        <v>182228.0189287</v>
      </c>
      <c r="DP24" s="36">
        <f t="shared" si="54"/>
        <v>81811.0297431</v>
      </c>
      <c r="DQ24" s="36">
        <f t="shared" si="98"/>
        <v>43707.532246200004</v>
      </c>
      <c r="DR24" s="5"/>
      <c r="DS24" s="5"/>
      <c r="DT24" s="5">
        <f t="shared" si="55"/>
        <v>8087.682431900001</v>
      </c>
      <c r="DU24" s="5">
        <f t="shared" si="56"/>
        <v>8087.682431900001</v>
      </c>
      <c r="DV24" s="36">
        <f t="shared" si="57"/>
        <v>3630.9544047000004</v>
      </c>
      <c r="DW24" s="36">
        <f t="shared" si="99"/>
        <v>1939.8369294000001</v>
      </c>
      <c r="DX24" s="5"/>
      <c r="DY24" s="36"/>
      <c r="DZ24" s="36">
        <f t="shared" si="58"/>
        <v>8971.032524499999</v>
      </c>
      <c r="EA24" s="5">
        <f t="shared" si="59"/>
        <v>8971.032524499999</v>
      </c>
      <c r="EB24" s="36">
        <f t="shared" si="60"/>
        <v>4027.5332685</v>
      </c>
      <c r="EC24" s="36">
        <f t="shared" si="100"/>
        <v>2151.709137</v>
      </c>
      <c r="ED24" s="5"/>
      <c r="EE24" s="36"/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</row>
    <row r="25" spans="1:153" ht="12.75">
      <c r="A25" s="37">
        <v>45383</v>
      </c>
      <c r="C25" s="3">
        <v>10000</v>
      </c>
      <c r="D25" s="3">
        <v>749491</v>
      </c>
      <c r="E25" s="35">
        <f t="shared" si="0"/>
        <v>759491</v>
      </c>
      <c r="F25" s="35">
        <v>336483</v>
      </c>
      <c r="G25" s="35">
        <v>179766</v>
      </c>
      <c r="I25" s="36">
        <f>'2016B Academic'!I25</f>
        <v>1507.2199999999998</v>
      </c>
      <c r="J25" s="36">
        <f>'2016B Academic'!J25</f>
        <v>112964.78250200002</v>
      </c>
      <c r="K25" s="36">
        <f t="shared" si="61"/>
        <v>114472.00250200002</v>
      </c>
      <c r="L25" s="36">
        <f>'2016B Academic'!L25</f>
        <v>50715.390726000005</v>
      </c>
      <c r="M25" s="36">
        <f>'2016B Academic'!M25</f>
        <v>27094.691052000002</v>
      </c>
      <c r="O25" s="36">
        <f t="shared" si="62"/>
        <v>8492.779999999999</v>
      </c>
      <c r="P25" s="35">
        <f t="shared" si="1"/>
        <v>636526.217498</v>
      </c>
      <c r="Q25" s="5">
        <f t="shared" si="2"/>
        <v>645018.997498</v>
      </c>
      <c r="R25" s="35">
        <f t="shared" si="3"/>
        <v>285767.609274</v>
      </c>
      <c r="S25" s="35">
        <f t="shared" si="3"/>
        <v>152671.308948</v>
      </c>
      <c r="U25" s="36">
        <f t="shared" si="63"/>
        <v>383.301</v>
      </c>
      <c r="V25" s="36">
        <f t="shared" si="4"/>
        <v>28728.0649791</v>
      </c>
      <c r="W25" s="5">
        <f t="shared" si="5"/>
        <v>29111.3659791</v>
      </c>
      <c r="X25" s="36">
        <f t="shared" si="6"/>
        <v>12897.4270383</v>
      </c>
      <c r="Y25" s="36">
        <f t="shared" si="82"/>
        <v>6890.4487566</v>
      </c>
      <c r="AA25" s="5">
        <f t="shared" si="64"/>
        <v>694.5569999999999</v>
      </c>
      <c r="AB25" s="36">
        <f t="shared" si="7"/>
        <v>52056.4220487</v>
      </c>
      <c r="AC25" s="36">
        <f t="shared" si="8"/>
        <v>52750.9790487</v>
      </c>
      <c r="AD25" s="36">
        <f t="shared" si="9"/>
        <v>23370.662303099998</v>
      </c>
      <c r="AE25" s="36">
        <f t="shared" si="83"/>
        <v>12485.7733662</v>
      </c>
      <c r="AG25" s="5">
        <f t="shared" si="65"/>
        <v>559.651</v>
      </c>
      <c r="AH25" s="5">
        <f t="shared" si="10"/>
        <v>41945.3387641</v>
      </c>
      <c r="AI25" s="5">
        <f t="shared" si="11"/>
        <v>42504.9897641</v>
      </c>
      <c r="AJ25" s="36">
        <f t="shared" si="12"/>
        <v>18831.3047433</v>
      </c>
      <c r="AK25" s="36">
        <f t="shared" si="84"/>
        <v>10060.6221666</v>
      </c>
      <c r="AM25" s="5">
        <f t="shared" si="66"/>
        <v>665.09</v>
      </c>
      <c r="AN25" s="5">
        <f t="shared" si="13"/>
        <v>49847.896919</v>
      </c>
      <c r="AO25" s="5">
        <f t="shared" si="14"/>
        <v>50512.986918999995</v>
      </c>
      <c r="AP25" s="36">
        <f t="shared" si="15"/>
        <v>22379.147847</v>
      </c>
      <c r="AQ25" s="36">
        <f t="shared" si="85"/>
        <v>11956.056894</v>
      </c>
      <c r="AS25" s="36">
        <f t="shared" si="67"/>
        <v>39.726</v>
      </c>
      <c r="AT25" s="36">
        <f t="shared" si="16"/>
        <v>2977.4279466</v>
      </c>
      <c r="AU25" s="5">
        <f t="shared" si="17"/>
        <v>3017.1539466</v>
      </c>
      <c r="AV25" s="36">
        <f t="shared" si="18"/>
        <v>1336.7123657999998</v>
      </c>
      <c r="AW25" s="36">
        <f t="shared" si="86"/>
        <v>714.1384115999999</v>
      </c>
      <c r="AY25" s="36">
        <f t="shared" si="68"/>
        <v>3.576</v>
      </c>
      <c r="AZ25" s="36">
        <f t="shared" si="19"/>
        <v>268.01798160000004</v>
      </c>
      <c r="BA25" s="5">
        <f t="shared" si="20"/>
        <v>271.59398160000006</v>
      </c>
      <c r="BB25" s="36">
        <f t="shared" si="21"/>
        <v>120.3263208</v>
      </c>
      <c r="BC25" s="36">
        <f t="shared" si="87"/>
        <v>64.2843216</v>
      </c>
      <c r="BD25" s="5"/>
      <c r="BE25" s="36">
        <f t="shared" si="69"/>
        <v>731.656</v>
      </c>
      <c r="BF25" s="36">
        <f t="shared" si="22"/>
        <v>54836.958709599996</v>
      </c>
      <c r="BG25" s="5">
        <f t="shared" si="23"/>
        <v>55568.6147096</v>
      </c>
      <c r="BH25" s="36">
        <f t="shared" si="24"/>
        <v>24618.9805848</v>
      </c>
      <c r="BI25" s="36">
        <f t="shared" si="88"/>
        <v>13152.6872496</v>
      </c>
      <c r="BJ25" s="5"/>
      <c r="BK25" s="36">
        <f t="shared" si="70"/>
        <v>0.026000000000000002</v>
      </c>
      <c r="BL25" s="36">
        <f t="shared" si="25"/>
        <v>1.9486766</v>
      </c>
      <c r="BM25" s="5">
        <f t="shared" si="26"/>
        <v>1.9746766</v>
      </c>
      <c r="BN25" s="36">
        <f t="shared" si="27"/>
        <v>0.8748558000000001</v>
      </c>
      <c r="BO25" s="36">
        <f t="shared" si="89"/>
        <v>0.4673916</v>
      </c>
      <c r="BP25" s="5"/>
      <c r="BQ25" s="36">
        <f t="shared" si="71"/>
        <v>934.55</v>
      </c>
      <c r="BR25" s="36">
        <f t="shared" si="28"/>
        <v>70043.681405</v>
      </c>
      <c r="BS25" s="5">
        <f t="shared" si="29"/>
        <v>70978.231405</v>
      </c>
      <c r="BT25" s="36">
        <f t="shared" si="30"/>
        <v>31446.018764999997</v>
      </c>
      <c r="BU25" s="36">
        <f t="shared" si="90"/>
        <v>16800.03153</v>
      </c>
      <c r="BV25" s="5"/>
      <c r="BW25" s="36">
        <f t="shared" si="72"/>
        <v>2.205</v>
      </c>
      <c r="BX25" s="36">
        <f t="shared" si="31"/>
        <v>165.2627655</v>
      </c>
      <c r="BY25" s="5">
        <f t="shared" si="32"/>
        <v>167.4677655</v>
      </c>
      <c r="BZ25" s="36">
        <f t="shared" si="33"/>
        <v>74.1945015</v>
      </c>
      <c r="CA25" s="36">
        <f t="shared" si="91"/>
        <v>39.638403</v>
      </c>
      <c r="CB25" s="5"/>
      <c r="CC25" s="36">
        <f t="shared" si="73"/>
        <v>391.863</v>
      </c>
      <c r="CD25" s="36">
        <f t="shared" si="34"/>
        <v>29369.7791733</v>
      </c>
      <c r="CE25" s="5">
        <f t="shared" si="35"/>
        <v>29761.642173300002</v>
      </c>
      <c r="CF25" s="36">
        <f t="shared" si="36"/>
        <v>13185.5237829</v>
      </c>
      <c r="CG25" s="36">
        <f t="shared" si="92"/>
        <v>7044.3644058</v>
      </c>
      <c r="CH25" s="5"/>
      <c r="CI25" s="5">
        <f t="shared" si="74"/>
        <v>1.9780000000000002</v>
      </c>
      <c r="CJ25" s="5">
        <f t="shared" si="37"/>
        <v>148.2493198</v>
      </c>
      <c r="CK25" s="5">
        <f t="shared" si="38"/>
        <v>150.2273198</v>
      </c>
      <c r="CL25" s="36">
        <f t="shared" si="39"/>
        <v>66.5563374</v>
      </c>
      <c r="CM25" s="36">
        <f t="shared" si="93"/>
        <v>35.5577148</v>
      </c>
      <c r="CN25" s="5"/>
      <c r="CO25" s="36">
        <f t="shared" si="75"/>
        <v>76.90599999999999</v>
      </c>
      <c r="CP25" s="36">
        <f t="shared" si="40"/>
        <v>5764.0354846</v>
      </c>
      <c r="CQ25" s="5">
        <f t="shared" si="41"/>
        <v>5840.9414846</v>
      </c>
      <c r="CR25" s="36">
        <f t="shared" si="42"/>
        <v>2587.7561597999998</v>
      </c>
      <c r="CS25" s="36">
        <f t="shared" si="94"/>
        <v>1382.5083995999998</v>
      </c>
      <c r="CT25" s="5"/>
      <c r="CU25" s="36">
        <f t="shared" si="76"/>
        <v>40.943000000000005</v>
      </c>
      <c r="CV25" s="36">
        <f t="shared" si="43"/>
        <v>3068.6410013000004</v>
      </c>
      <c r="CW25" s="5">
        <f t="shared" si="44"/>
        <v>3109.5840013000006</v>
      </c>
      <c r="CX25" s="36">
        <f t="shared" si="45"/>
        <v>1377.6623469</v>
      </c>
      <c r="CY25" s="36">
        <f t="shared" si="95"/>
        <v>736.0159338000001</v>
      </c>
      <c r="CZ25" s="5"/>
      <c r="DA25" s="5">
        <f t="shared" si="77"/>
        <v>133.414</v>
      </c>
      <c r="DB25" s="36">
        <f t="shared" si="46"/>
        <v>9999.2592274</v>
      </c>
      <c r="DC25" s="36">
        <f t="shared" si="47"/>
        <v>10132.6732274</v>
      </c>
      <c r="DD25" s="36">
        <f t="shared" si="48"/>
        <v>4489.1542962</v>
      </c>
      <c r="DE25" s="36">
        <f t="shared" si="96"/>
        <v>2398.3301124</v>
      </c>
      <c r="DF25" s="5"/>
      <c r="DG25" s="5">
        <f t="shared" si="78"/>
        <v>1174.377</v>
      </c>
      <c r="DH25" s="36">
        <f t="shared" si="49"/>
        <v>88018.4992107</v>
      </c>
      <c r="DI25" s="36">
        <f t="shared" si="50"/>
        <v>89192.8762107</v>
      </c>
      <c r="DJ25" s="36">
        <f t="shared" si="51"/>
        <v>39515.7896091</v>
      </c>
      <c r="DK25" s="36">
        <f t="shared" si="97"/>
        <v>21111.3055782</v>
      </c>
      <c r="DL25" s="5"/>
      <c r="DM25" s="36">
        <f t="shared" si="79"/>
        <v>2431.357</v>
      </c>
      <c r="DN25" s="36">
        <f t="shared" si="52"/>
        <v>182228.0189287</v>
      </c>
      <c r="DO25" s="5">
        <f t="shared" si="53"/>
        <v>184659.3759287</v>
      </c>
      <c r="DP25" s="36">
        <f t="shared" si="54"/>
        <v>81811.0297431</v>
      </c>
      <c r="DQ25" s="36">
        <f t="shared" si="98"/>
        <v>43707.532246200004</v>
      </c>
      <c r="DR25" s="5"/>
      <c r="DS25" s="5">
        <f t="shared" si="80"/>
        <v>107.909</v>
      </c>
      <c r="DT25" s="5">
        <f t="shared" si="55"/>
        <v>8087.682431900001</v>
      </c>
      <c r="DU25" s="5">
        <f t="shared" si="56"/>
        <v>8195.5914319</v>
      </c>
      <c r="DV25" s="36">
        <f t="shared" si="57"/>
        <v>3630.9544047000004</v>
      </c>
      <c r="DW25" s="36">
        <f t="shared" si="99"/>
        <v>1939.8369294000001</v>
      </c>
      <c r="DX25" s="5"/>
      <c r="DY25" s="36">
        <f t="shared" si="81"/>
        <v>119.695</v>
      </c>
      <c r="DZ25" s="36">
        <f t="shared" si="58"/>
        <v>8971.032524499999</v>
      </c>
      <c r="EA25" s="5">
        <f t="shared" si="59"/>
        <v>9090.727524499998</v>
      </c>
      <c r="EB25" s="36">
        <f t="shared" si="60"/>
        <v>4027.5332685</v>
      </c>
      <c r="EC25" s="36">
        <f t="shared" si="100"/>
        <v>2151.709137</v>
      </c>
      <c r="ED25" s="5"/>
      <c r="EE25" s="36"/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</row>
    <row r="26" spans="1:153" ht="12.75">
      <c r="A26" s="37">
        <v>45566</v>
      </c>
      <c r="D26" s="3">
        <v>749341</v>
      </c>
      <c r="E26" s="35">
        <f t="shared" si="0"/>
        <v>749341</v>
      </c>
      <c r="F26" s="35">
        <v>336483</v>
      </c>
      <c r="G26" s="35">
        <v>179766</v>
      </c>
      <c r="I26" s="36"/>
      <c r="J26" s="36">
        <f>'2016B Academic'!J26</f>
        <v>112942.17420199998</v>
      </c>
      <c r="K26" s="36">
        <f t="shared" si="61"/>
        <v>112942.17420199998</v>
      </c>
      <c r="L26" s="36">
        <f>'2016B Academic'!L26</f>
        <v>50715.390726000005</v>
      </c>
      <c r="M26" s="36">
        <f>'2016B Academic'!M26</f>
        <v>27094.691052000002</v>
      </c>
      <c r="O26" s="36"/>
      <c r="P26" s="35">
        <f t="shared" si="1"/>
        <v>636398.825798</v>
      </c>
      <c r="Q26" s="5">
        <f t="shared" si="2"/>
        <v>636398.825798</v>
      </c>
      <c r="R26" s="35">
        <f t="shared" si="3"/>
        <v>285767.609274</v>
      </c>
      <c r="S26" s="35">
        <f t="shared" si="3"/>
        <v>152671.308948</v>
      </c>
      <c r="U26" s="36"/>
      <c r="V26" s="36">
        <f t="shared" si="4"/>
        <v>28722.3154641</v>
      </c>
      <c r="W26" s="5">
        <f t="shared" si="5"/>
        <v>28722.3154641</v>
      </c>
      <c r="X26" s="36">
        <f t="shared" si="6"/>
        <v>12897.4270383</v>
      </c>
      <c r="Y26" s="36">
        <f t="shared" si="82"/>
        <v>6890.4487566</v>
      </c>
      <c r="AB26" s="36">
        <f t="shared" si="7"/>
        <v>52046.0036937</v>
      </c>
      <c r="AC26" s="36">
        <f t="shared" si="8"/>
        <v>52046.0036937</v>
      </c>
      <c r="AD26" s="36">
        <f t="shared" si="9"/>
        <v>23370.662303099998</v>
      </c>
      <c r="AE26" s="36">
        <f t="shared" si="83"/>
        <v>12485.7733662</v>
      </c>
      <c r="AH26" s="5">
        <f t="shared" si="10"/>
        <v>41936.943999099996</v>
      </c>
      <c r="AI26" s="5">
        <f t="shared" si="11"/>
        <v>41936.943999099996</v>
      </c>
      <c r="AJ26" s="36">
        <f t="shared" si="12"/>
        <v>18831.3047433</v>
      </c>
      <c r="AK26" s="36">
        <f t="shared" si="84"/>
        <v>10060.6221666</v>
      </c>
      <c r="AN26" s="5">
        <f t="shared" si="13"/>
        <v>49837.920569</v>
      </c>
      <c r="AO26" s="5">
        <f t="shared" si="14"/>
        <v>49837.920569</v>
      </c>
      <c r="AP26" s="36">
        <f t="shared" si="15"/>
        <v>22379.147847</v>
      </c>
      <c r="AQ26" s="36">
        <f t="shared" si="85"/>
        <v>11956.056894</v>
      </c>
      <c r="AS26" s="36"/>
      <c r="AT26" s="36">
        <f t="shared" si="16"/>
        <v>2976.8320565999998</v>
      </c>
      <c r="AU26" s="5">
        <f t="shared" si="17"/>
        <v>2976.8320565999998</v>
      </c>
      <c r="AV26" s="36">
        <f t="shared" si="18"/>
        <v>1336.7123657999998</v>
      </c>
      <c r="AW26" s="36">
        <f t="shared" si="86"/>
        <v>714.1384115999999</v>
      </c>
      <c r="AY26" s="36"/>
      <c r="AZ26" s="36">
        <f t="shared" si="19"/>
        <v>267.9643416</v>
      </c>
      <c r="BA26" s="5">
        <f t="shared" si="20"/>
        <v>267.9643416</v>
      </c>
      <c r="BB26" s="36">
        <f t="shared" si="21"/>
        <v>120.3263208</v>
      </c>
      <c r="BC26" s="36">
        <f t="shared" si="87"/>
        <v>64.2843216</v>
      </c>
      <c r="BD26" s="5"/>
      <c r="BE26" s="36"/>
      <c r="BF26" s="36">
        <f t="shared" si="22"/>
        <v>54825.9838696</v>
      </c>
      <c r="BG26" s="5">
        <f t="shared" si="23"/>
        <v>54825.9838696</v>
      </c>
      <c r="BH26" s="36">
        <f t="shared" si="24"/>
        <v>24618.9805848</v>
      </c>
      <c r="BI26" s="36">
        <f t="shared" si="88"/>
        <v>13152.6872496</v>
      </c>
      <c r="BJ26" s="5"/>
      <c r="BK26" s="36"/>
      <c r="BL26" s="36">
        <f t="shared" si="25"/>
        <v>1.9482866</v>
      </c>
      <c r="BM26" s="5">
        <f t="shared" si="26"/>
        <v>1.9482866</v>
      </c>
      <c r="BN26" s="36">
        <f t="shared" si="27"/>
        <v>0.8748558000000001</v>
      </c>
      <c r="BO26" s="36">
        <f t="shared" si="89"/>
        <v>0.4673916</v>
      </c>
      <c r="BP26" s="5"/>
      <c r="BQ26" s="36"/>
      <c r="BR26" s="36">
        <f t="shared" si="28"/>
        <v>70029.663155</v>
      </c>
      <c r="BS26" s="5">
        <f t="shared" si="29"/>
        <v>70029.663155</v>
      </c>
      <c r="BT26" s="36">
        <f t="shared" si="30"/>
        <v>31446.018764999997</v>
      </c>
      <c r="BU26" s="36">
        <f t="shared" si="90"/>
        <v>16800.03153</v>
      </c>
      <c r="BV26" s="5"/>
      <c r="BW26" s="36"/>
      <c r="BX26" s="36">
        <f t="shared" si="31"/>
        <v>165.2296905</v>
      </c>
      <c r="BY26" s="5">
        <f t="shared" si="32"/>
        <v>165.2296905</v>
      </c>
      <c r="BZ26" s="36">
        <f t="shared" si="33"/>
        <v>74.1945015</v>
      </c>
      <c r="CA26" s="36">
        <f t="shared" si="91"/>
        <v>39.638403</v>
      </c>
      <c r="CB26" s="5"/>
      <c r="CC26" s="36"/>
      <c r="CD26" s="36">
        <f t="shared" si="34"/>
        <v>29363.9012283</v>
      </c>
      <c r="CE26" s="5">
        <f t="shared" si="35"/>
        <v>29363.9012283</v>
      </c>
      <c r="CF26" s="36">
        <f t="shared" si="36"/>
        <v>13185.5237829</v>
      </c>
      <c r="CG26" s="36">
        <f t="shared" si="92"/>
        <v>7044.3644058</v>
      </c>
      <c r="CH26" s="5"/>
      <c r="CI26" s="5"/>
      <c r="CJ26" s="5">
        <f t="shared" si="37"/>
        <v>148.2196498</v>
      </c>
      <c r="CK26" s="5">
        <f t="shared" si="38"/>
        <v>148.2196498</v>
      </c>
      <c r="CL26" s="36">
        <f t="shared" si="39"/>
        <v>66.5563374</v>
      </c>
      <c r="CM26" s="36">
        <f t="shared" si="93"/>
        <v>35.5577148</v>
      </c>
      <c r="CN26" s="5"/>
      <c r="CO26" s="36"/>
      <c r="CP26" s="36">
        <f t="shared" si="40"/>
        <v>5762.8818946</v>
      </c>
      <c r="CQ26" s="5">
        <f t="shared" si="41"/>
        <v>5762.8818946</v>
      </c>
      <c r="CR26" s="36">
        <f t="shared" si="42"/>
        <v>2587.7561597999998</v>
      </c>
      <c r="CS26" s="36">
        <f t="shared" si="94"/>
        <v>1382.5083995999998</v>
      </c>
      <c r="CT26" s="5"/>
      <c r="CU26" s="36"/>
      <c r="CV26" s="36">
        <f t="shared" si="43"/>
        <v>3068.0268563000004</v>
      </c>
      <c r="CW26" s="5">
        <f t="shared" si="44"/>
        <v>3068.0268563000004</v>
      </c>
      <c r="CX26" s="36">
        <f t="shared" si="45"/>
        <v>1377.6623469</v>
      </c>
      <c r="CY26" s="36">
        <f t="shared" si="95"/>
        <v>736.0159338000001</v>
      </c>
      <c r="CZ26" s="5"/>
      <c r="DA26" s="5"/>
      <c r="DB26" s="36">
        <f t="shared" si="46"/>
        <v>9997.2580174</v>
      </c>
      <c r="DC26" s="36">
        <f t="shared" si="47"/>
        <v>9997.2580174</v>
      </c>
      <c r="DD26" s="36">
        <f t="shared" si="48"/>
        <v>4489.1542962</v>
      </c>
      <c r="DE26" s="36">
        <f t="shared" si="96"/>
        <v>2398.3301124</v>
      </c>
      <c r="DF26" s="5"/>
      <c r="DG26" s="5"/>
      <c r="DH26" s="36">
        <f t="shared" si="49"/>
        <v>88000.8835557</v>
      </c>
      <c r="DI26" s="36">
        <f t="shared" si="50"/>
        <v>88000.8835557</v>
      </c>
      <c r="DJ26" s="36">
        <f t="shared" si="51"/>
        <v>39515.7896091</v>
      </c>
      <c r="DK26" s="36">
        <f t="shared" si="97"/>
        <v>21111.3055782</v>
      </c>
      <c r="DL26" s="5"/>
      <c r="DM26" s="36"/>
      <c r="DN26" s="36">
        <f t="shared" si="52"/>
        <v>182191.5485737</v>
      </c>
      <c r="DO26" s="5">
        <f t="shared" si="53"/>
        <v>182191.5485737</v>
      </c>
      <c r="DP26" s="36">
        <f t="shared" si="54"/>
        <v>81811.0297431</v>
      </c>
      <c r="DQ26" s="36">
        <f t="shared" si="98"/>
        <v>43707.532246200004</v>
      </c>
      <c r="DR26" s="5"/>
      <c r="DS26" s="5"/>
      <c r="DT26" s="5">
        <f t="shared" si="55"/>
        <v>8086.063796900001</v>
      </c>
      <c r="DU26" s="5">
        <f t="shared" si="56"/>
        <v>8086.063796900001</v>
      </c>
      <c r="DV26" s="36">
        <f t="shared" si="57"/>
        <v>3630.9544047000004</v>
      </c>
      <c r="DW26" s="36">
        <f t="shared" si="99"/>
        <v>1939.8369294000001</v>
      </c>
      <c r="DX26" s="5"/>
      <c r="DY26" s="36"/>
      <c r="DZ26" s="36">
        <f t="shared" si="58"/>
        <v>8969.2370995</v>
      </c>
      <c r="EA26" s="5">
        <f t="shared" si="59"/>
        <v>8969.2370995</v>
      </c>
      <c r="EB26" s="36">
        <f t="shared" si="60"/>
        <v>4027.5332685</v>
      </c>
      <c r="EC26" s="36">
        <f t="shared" si="100"/>
        <v>2151.709137</v>
      </c>
      <c r="ED26" s="5"/>
      <c r="EE26" s="36"/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ht="12.75">
      <c r="A27" s="37">
        <v>45748</v>
      </c>
      <c r="C27" s="3">
        <v>6410000</v>
      </c>
      <c r="D27" s="3">
        <v>749341</v>
      </c>
      <c r="E27" s="35">
        <f t="shared" si="0"/>
        <v>7159341</v>
      </c>
      <c r="F27" s="35">
        <v>336483</v>
      </c>
      <c r="G27" s="35">
        <v>179766</v>
      </c>
      <c r="I27" s="36">
        <f>'2016B Academic'!I27</f>
        <v>966128.0200000001</v>
      </c>
      <c r="J27" s="36">
        <f>'2016B Academic'!J27</f>
        <v>112942.17420199998</v>
      </c>
      <c r="K27" s="36">
        <f t="shared" si="61"/>
        <v>1079070.194202</v>
      </c>
      <c r="L27" s="36">
        <f>'2016B Academic'!L27</f>
        <v>50715.390726000005</v>
      </c>
      <c r="M27" s="36">
        <f>'2016B Academic'!M27</f>
        <v>27094.691052000002</v>
      </c>
      <c r="O27" s="36">
        <f t="shared" si="62"/>
        <v>5443871.9799999995</v>
      </c>
      <c r="P27" s="35">
        <f t="shared" si="1"/>
        <v>636398.825798</v>
      </c>
      <c r="Q27" s="5">
        <f t="shared" si="2"/>
        <v>6080270.805798</v>
      </c>
      <c r="R27" s="35">
        <f t="shared" si="3"/>
        <v>285767.609274</v>
      </c>
      <c r="S27" s="35">
        <f t="shared" si="3"/>
        <v>152671.308948</v>
      </c>
      <c r="U27" s="36">
        <f t="shared" si="63"/>
        <v>245695.941</v>
      </c>
      <c r="V27" s="36">
        <f t="shared" si="4"/>
        <v>28722.3154641</v>
      </c>
      <c r="W27" s="5">
        <f t="shared" si="5"/>
        <v>274418.2564641</v>
      </c>
      <c r="X27" s="36">
        <f t="shared" si="6"/>
        <v>12897.4270383</v>
      </c>
      <c r="Y27" s="36">
        <f t="shared" si="82"/>
        <v>6890.4487566</v>
      </c>
      <c r="AA27" s="5">
        <f t="shared" si="64"/>
        <v>445211.03699999995</v>
      </c>
      <c r="AB27" s="36">
        <f t="shared" si="7"/>
        <v>52046.0036937</v>
      </c>
      <c r="AC27" s="36">
        <f t="shared" si="8"/>
        <v>497257.04069369996</v>
      </c>
      <c r="AD27" s="36">
        <f t="shared" si="9"/>
        <v>23370.662303099998</v>
      </c>
      <c r="AE27" s="36">
        <f t="shared" si="83"/>
        <v>12485.7733662</v>
      </c>
      <c r="AG27" s="5">
        <f t="shared" si="65"/>
        <v>358736.29099999997</v>
      </c>
      <c r="AH27" s="5">
        <f t="shared" si="10"/>
        <v>41936.943999099996</v>
      </c>
      <c r="AI27" s="5">
        <f t="shared" si="11"/>
        <v>400673.2349991</v>
      </c>
      <c r="AJ27" s="36">
        <f t="shared" si="12"/>
        <v>18831.3047433</v>
      </c>
      <c r="AK27" s="36">
        <f t="shared" si="84"/>
        <v>10060.6221666</v>
      </c>
      <c r="AM27" s="5">
        <f t="shared" si="66"/>
        <v>426322.69</v>
      </c>
      <c r="AN27" s="5">
        <f t="shared" si="13"/>
        <v>49837.920569</v>
      </c>
      <c r="AO27" s="5">
        <f t="shared" si="14"/>
        <v>476160.610569</v>
      </c>
      <c r="AP27" s="36">
        <f t="shared" si="15"/>
        <v>22379.147847</v>
      </c>
      <c r="AQ27" s="36">
        <f t="shared" si="85"/>
        <v>11956.056894</v>
      </c>
      <c r="AS27" s="36">
        <f t="shared" si="67"/>
        <v>25464.365999999998</v>
      </c>
      <c r="AT27" s="36">
        <f t="shared" si="16"/>
        <v>2976.8320565999998</v>
      </c>
      <c r="AU27" s="5">
        <f t="shared" si="17"/>
        <v>28441.1980566</v>
      </c>
      <c r="AV27" s="36">
        <f t="shared" si="18"/>
        <v>1336.7123657999998</v>
      </c>
      <c r="AW27" s="36">
        <f t="shared" si="86"/>
        <v>714.1384115999999</v>
      </c>
      <c r="AY27" s="36">
        <f t="shared" si="68"/>
        <v>2292.216</v>
      </c>
      <c r="AZ27" s="36">
        <f t="shared" si="19"/>
        <v>267.9643416</v>
      </c>
      <c r="BA27" s="5">
        <f t="shared" si="20"/>
        <v>2560.1803416</v>
      </c>
      <c r="BB27" s="36">
        <f t="shared" si="21"/>
        <v>120.3263208</v>
      </c>
      <c r="BC27" s="36">
        <f t="shared" si="87"/>
        <v>64.2843216</v>
      </c>
      <c r="BD27" s="5"/>
      <c r="BE27" s="36">
        <f t="shared" si="69"/>
        <v>468991.496</v>
      </c>
      <c r="BF27" s="36">
        <f t="shared" si="22"/>
        <v>54825.9838696</v>
      </c>
      <c r="BG27" s="5">
        <f t="shared" si="23"/>
        <v>523817.4798696</v>
      </c>
      <c r="BH27" s="36">
        <f t="shared" si="24"/>
        <v>24618.9805848</v>
      </c>
      <c r="BI27" s="36">
        <f t="shared" si="88"/>
        <v>13152.6872496</v>
      </c>
      <c r="BJ27" s="5"/>
      <c r="BK27" s="36">
        <f t="shared" si="70"/>
        <v>16.666</v>
      </c>
      <c r="BL27" s="36">
        <f t="shared" si="25"/>
        <v>1.9482866</v>
      </c>
      <c r="BM27" s="5">
        <f t="shared" si="26"/>
        <v>18.6142866</v>
      </c>
      <c r="BN27" s="36">
        <f t="shared" si="27"/>
        <v>0.8748558000000001</v>
      </c>
      <c r="BO27" s="36">
        <f t="shared" si="89"/>
        <v>0.4673916</v>
      </c>
      <c r="BP27" s="5"/>
      <c r="BQ27" s="36">
        <f t="shared" si="71"/>
        <v>599046.5499999999</v>
      </c>
      <c r="BR27" s="36">
        <f t="shared" si="28"/>
        <v>70029.663155</v>
      </c>
      <c r="BS27" s="5">
        <f t="shared" si="29"/>
        <v>669076.2131549999</v>
      </c>
      <c r="BT27" s="36">
        <f t="shared" si="30"/>
        <v>31446.018764999997</v>
      </c>
      <c r="BU27" s="36">
        <f t="shared" si="90"/>
        <v>16800.03153</v>
      </c>
      <c r="BV27" s="5"/>
      <c r="BW27" s="36">
        <f t="shared" si="72"/>
        <v>1413.405</v>
      </c>
      <c r="BX27" s="36">
        <f t="shared" si="31"/>
        <v>165.2296905</v>
      </c>
      <c r="BY27" s="5">
        <f t="shared" si="32"/>
        <v>1578.6346905</v>
      </c>
      <c r="BZ27" s="36">
        <f t="shared" si="33"/>
        <v>74.1945015</v>
      </c>
      <c r="CA27" s="36">
        <f t="shared" si="91"/>
        <v>39.638403</v>
      </c>
      <c r="CB27" s="5"/>
      <c r="CC27" s="36">
        <f t="shared" si="73"/>
        <v>251184.183</v>
      </c>
      <c r="CD27" s="36">
        <f t="shared" si="34"/>
        <v>29363.9012283</v>
      </c>
      <c r="CE27" s="5">
        <f t="shared" si="35"/>
        <v>280548.08422829997</v>
      </c>
      <c r="CF27" s="36">
        <f t="shared" si="36"/>
        <v>13185.5237829</v>
      </c>
      <c r="CG27" s="36">
        <f t="shared" si="92"/>
        <v>7044.3644058</v>
      </c>
      <c r="CH27" s="5"/>
      <c r="CI27" s="5">
        <f t="shared" si="74"/>
        <v>1267.8980000000001</v>
      </c>
      <c r="CJ27" s="5">
        <f t="shared" si="37"/>
        <v>148.2196498</v>
      </c>
      <c r="CK27" s="5">
        <f t="shared" si="38"/>
        <v>1416.1176498000002</v>
      </c>
      <c r="CL27" s="36">
        <f t="shared" si="39"/>
        <v>66.5563374</v>
      </c>
      <c r="CM27" s="36">
        <f t="shared" si="93"/>
        <v>35.5577148</v>
      </c>
      <c r="CN27" s="5"/>
      <c r="CO27" s="36">
        <f t="shared" si="75"/>
        <v>49296.746</v>
      </c>
      <c r="CP27" s="36">
        <f t="shared" si="40"/>
        <v>5762.8818946</v>
      </c>
      <c r="CQ27" s="5">
        <f t="shared" si="41"/>
        <v>55059.6278946</v>
      </c>
      <c r="CR27" s="36">
        <f t="shared" si="42"/>
        <v>2587.7561597999998</v>
      </c>
      <c r="CS27" s="36">
        <f t="shared" si="94"/>
        <v>1382.5083995999998</v>
      </c>
      <c r="CT27" s="5"/>
      <c r="CU27" s="36">
        <f t="shared" si="76"/>
        <v>26244.463000000003</v>
      </c>
      <c r="CV27" s="36">
        <f t="shared" si="43"/>
        <v>3068.0268563000004</v>
      </c>
      <c r="CW27" s="5">
        <f t="shared" si="44"/>
        <v>29312.489856300002</v>
      </c>
      <c r="CX27" s="36">
        <f t="shared" si="45"/>
        <v>1377.6623469</v>
      </c>
      <c r="CY27" s="36">
        <f t="shared" si="95"/>
        <v>736.0159338000001</v>
      </c>
      <c r="CZ27" s="5"/>
      <c r="DA27" s="5">
        <f t="shared" si="77"/>
        <v>85518.374</v>
      </c>
      <c r="DB27" s="36">
        <f t="shared" si="46"/>
        <v>9997.2580174</v>
      </c>
      <c r="DC27" s="36">
        <f t="shared" si="47"/>
        <v>95515.6320174</v>
      </c>
      <c r="DD27" s="36">
        <f t="shared" si="48"/>
        <v>4489.1542962</v>
      </c>
      <c r="DE27" s="36">
        <f t="shared" si="96"/>
        <v>2398.3301124</v>
      </c>
      <c r="DF27" s="5"/>
      <c r="DG27" s="5">
        <f t="shared" si="78"/>
        <v>752775.657</v>
      </c>
      <c r="DH27" s="36">
        <f t="shared" si="49"/>
        <v>88000.8835557</v>
      </c>
      <c r="DI27" s="36">
        <f t="shared" si="50"/>
        <v>840776.5405557</v>
      </c>
      <c r="DJ27" s="36">
        <f t="shared" si="51"/>
        <v>39515.7896091</v>
      </c>
      <c r="DK27" s="36">
        <f t="shared" si="97"/>
        <v>21111.3055782</v>
      </c>
      <c r="DL27" s="5"/>
      <c r="DM27" s="36">
        <f t="shared" si="79"/>
        <v>1558499.837</v>
      </c>
      <c r="DN27" s="36">
        <f t="shared" si="52"/>
        <v>182191.5485737</v>
      </c>
      <c r="DO27" s="5">
        <f t="shared" si="53"/>
        <v>1740691.3855737</v>
      </c>
      <c r="DP27" s="36">
        <f t="shared" si="54"/>
        <v>81811.0297431</v>
      </c>
      <c r="DQ27" s="36">
        <f t="shared" si="98"/>
        <v>43707.532246200004</v>
      </c>
      <c r="DR27" s="5"/>
      <c r="DS27" s="5">
        <f t="shared" si="80"/>
        <v>69169.66900000001</v>
      </c>
      <c r="DT27" s="5">
        <f t="shared" si="55"/>
        <v>8086.063796900001</v>
      </c>
      <c r="DU27" s="5">
        <f t="shared" si="56"/>
        <v>77255.7327969</v>
      </c>
      <c r="DV27" s="36">
        <f t="shared" si="57"/>
        <v>3630.9544047000004</v>
      </c>
      <c r="DW27" s="36">
        <f t="shared" si="99"/>
        <v>1939.8369294000001</v>
      </c>
      <c r="DX27" s="5"/>
      <c r="DY27" s="36">
        <f t="shared" si="81"/>
        <v>76724.495</v>
      </c>
      <c r="DZ27" s="36">
        <f t="shared" si="58"/>
        <v>8969.2370995</v>
      </c>
      <c r="EA27" s="5">
        <f t="shared" si="59"/>
        <v>85693.73209949999</v>
      </c>
      <c r="EB27" s="36">
        <f t="shared" si="60"/>
        <v>4027.5332685</v>
      </c>
      <c r="EC27" s="36">
        <f t="shared" si="100"/>
        <v>2151.709137</v>
      </c>
      <c r="ED27" s="5"/>
      <c r="EE27" s="36"/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</row>
    <row r="28" spans="1:153" ht="12.75">
      <c r="A28" s="37">
        <v>45931</v>
      </c>
      <c r="D28" s="3">
        <v>589091</v>
      </c>
      <c r="E28" s="35">
        <f t="shared" si="0"/>
        <v>589091</v>
      </c>
      <c r="F28" s="35">
        <v>336483</v>
      </c>
      <c r="G28" s="35">
        <v>179766</v>
      </c>
      <c r="I28" s="36"/>
      <c r="J28" s="36">
        <f>'2016B Academic'!J28</f>
        <v>88788.973702</v>
      </c>
      <c r="K28" s="36">
        <f t="shared" si="61"/>
        <v>88788.973702</v>
      </c>
      <c r="L28" s="36">
        <f>'2016B Academic'!L28</f>
        <v>50715.390726000005</v>
      </c>
      <c r="M28" s="36">
        <f>'2016B Academic'!M28</f>
        <v>27094.691052000002</v>
      </c>
      <c r="O28" s="36"/>
      <c r="P28" s="35">
        <f t="shared" si="1"/>
        <v>500302.02629800007</v>
      </c>
      <c r="Q28" s="5">
        <f t="shared" si="2"/>
        <v>500302.02629800007</v>
      </c>
      <c r="R28" s="35">
        <f t="shared" si="3"/>
        <v>285767.609274</v>
      </c>
      <c r="S28" s="35">
        <f t="shared" si="3"/>
        <v>152671.308948</v>
      </c>
      <c r="U28" s="36"/>
      <c r="V28" s="36">
        <f t="shared" si="4"/>
        <v>22579.9169391</v>
      </c>
      <c r="W28" s="5">
        <f t="shared" si="5"/>
        <v>22579.9169391</v>
      </c>
      <c r="X28" s="36">
        <f t="shared" si="6"/>
        <v>12897.4270383</v>
      </c>
      <c r="Y28" s="36">
        <f t="shared" si="82"/>
        <v>6890.4487566</v>
      </c>
      <c r="AB28" s="36">
        <f t="shared" si="7"/>
        <v>40915.727768699995</v>
      </c>
      <c r="AC28" s="36">
        <f t="shared" si="8"/>
        <v>40915.727768699995</v>
      </c>
      <c r="AD28" s="36">
        <f t="shared" si="9"/>
        <v>23370.662303099998</v>
      </c>
      <c r="AE28" s="36">
        <f t="shared" si="83"/>
        <v>12485.7733662</v>
      </c>
      <c r="AH28" s="5">
        <f t="shared" si="10"/>
        <v>32968.5367241</v>
      </c>
      <c r="AI28" s="5">
        <f t="shared" si="11"/>
        <v>32968.5367241</v>
      </c>
      <c r="AJ28" s="36">
        <f t="shared" si="12"/>
        <v>18831.3047433</v>
      </c>
      <c r="AK28" s="36">
        <f t="shared" si="84"/>
        <v>10060.6221666</v>
      </c>
      <c r="AN28" s="5">
        <f t="shared" si="13"/>
        <v>39179.853319</v>
      </c>
      <c r="AO28" s="5">
        <f t="shared" si="14"/>
        <v>39179.853319</v>
      </c>
      <c r="AP28" s="36">
        <f t="shared" si="15"/>
        <v>22379.147847</v>
      </c>
      <c r="AQ28" s="36">
        <f t="shared" si="85"/>
        <v>11956.056894</v>
      </c>
      <c r="AS28" s="36"/>
      <c r="AT28" s="36">
        <f t="shared" si="16"/>
        <v>2340.2229066</v>
      </c>
      <c r="AU28" s="5">
        <f t="shared" si="17"/>
        <v>2340.2229066</v>
      </c>
      <c r="AV28" s="36">
        <f t="shared" si="18"/>
        <v>1336.7123657999998</v>
      </c>
      <c r="AW28" s="36">
        <f t="shared" si="86"/>
        <v>714.1384115999999</v>
      </c>
      <c r="AY28" s="36"/>
      <c r="AZ28" s="36">
        <f t="shared" si="19"/>
        <v>210.65894160000002</v>
      </c>
      <c r="BA28" s="5">
        <f t="shared" si="20"/>
        <v>210.65894160000002</v>
      </c>
      <c r="BB28" s="36">
        <f t="shared" si="21"/>
        <v>120.3263208</v>
      </c>
      <c r="BC28" s="36">
        <f t="shared" si="87"/>
        <v>64.2843216</v>
      </c>
      <c r="BD28" s="5"/>
      <c r="BE28" s="36"/>
      <c r="BF28" s="36">
        <f t="shared" si="22"/>
        <v>43101.1964696</v>
      </c>
      <c r="BG28" s="5">
        <f t="shared" si="23"/>
        <v>43101.1964696</v>
      </c>
      <c r="BH28" s="36">
        <f t="shared" si="24"/>
        <v>24618.9805848</v>
      </c>
      <c r="BI28" s="36">
        <f t="shared" si="88"/>
        <v>13152.6872496</v>
      </c>
      <c r="BJ28" s="5"/>
      <c r="BK28" s="36"/>
      <c r="BL28" s="36">
        <f t="shared" si="25"/>
        <v>1.5316366000000001</v>
      </c>
      <c r="BM28" s="5">
        <f t="shared" si="26"/>
        <v>1.5316366000000001</v>
      </c>
      <c r="BN28" s="36">
        <f t="shared" si="27"/>
        <v>0.8748558000000001</v>
      </c>
      <c r="BO28" s="36">
        <f t="shared" si="89"/>
        <v>0.4673916</v>
      </c>
      <c r="BP28" s="5"/>
      <c r="BQ28" s="36"/>
      <c r="BR28" s="36">
        <f t="shared" si="28"/>
        <v>55053.499404999995</v>
      </c>
      <c r="BS28" s="5">
        <f t="shared" si="29"/>
        <v>55053.499404999995</v>
      </c>
      <c r="BT28" s="36">
        <f t="shared" si="30"/>
        <v>31446.018764999997</v>
      </c>
      <c r="BU28" s="36">
        <f t="shared" si="90"/>
        <v>16800.03153</v>
      </c>
      <c r="BV28" s="5"/>
      <c r="BW28" s="36"/>
      <c r="BX28" s="36">
        <f t="shared" si="31"/>
        <v>129.8945655</v>
      </c>
      <c r="BY28" s="5">
        <f t="shared" si="32"/>
        <v>129.8945655</v>
      </c>
      <c r="BZ28" s="36">
        <f t="shared" si="33"/>
        <v>74.1945015</v>
      </c>
      <c r="CA28" s="36">
        <f t="shared" si="91"/>
        <v>39.638403</v>
      </c>
      <c r="CB28" s="5"/>
      <c r="CC28" s="36"/>
      <c r="CD28" s="36">
        <f t="shared" si="34"/>
        <v>23084.2966533</v>
      </c>
      <c r="CE28" s="5">
        <f t="shared" si="35"/>
        <v>23084.2966533</v>
      </c>
      <c r="CF28" s="36">
        <f t="shared" si="36"/>
        <v>13185.5237829</v>
      </c>
      <c r="CG28" s="36">
        <f t="shared" si="92"/>
        <v>7044.3644058</v>
      </c>
      <c r="CH28" s="5"/>
      <c r="CI28" s="5"/>
      <c r="CJ28" s="5">
        <f t="shared" si="37"/>
        <v>116.52219980000001</v>
      </c>
      <c r="CK28" s="5">
        <f t="shared" si="38"/>
        <v>116.52219980000001</v>
      </c>
      <c r="CL28" s="36">
        <f t="shared" si="39"/>
        <v>66.5563374</v>
      </c>
      <c r="CM28" s="36">
        <f t="shared" si="93"/>
        <v>35.5577148</v>
      </c>
      <c r="CN28" s="5"/>
      <c r="CO28" s="36"/>
      <c r="CP28" s="36">
        <f t="shared" si="40"/>
        <v>4530.4632446</v>
      </c>
      <c r="CQ28" s="5">
        <f t="shared" si="41"/>
        <v>4530.4632446</v>
      </c>
      <c r="CR28" s="36">
        <f t="shared" si="42"/>
        <v>2587.7561597999998</v>
      </c>
      <c r="CS28" s="36">
        <f t="shared" si="94"/>
        <v>1382.5083995999998</v>
      </c>
      <c r="CT28" s="5"/>
      <c r="CU28" s="36"/>
      <c r="CV28" s="36">
        <f t="shared" si="43"/>
        <v>2411.9152813</v>
      </c>
      <c r="CW28" s="5">
        <f t="shared" si="44"/>
        <v>2411.9152813</v>
      </c>
      <c r="CX28" s="36">
        <f t="shared" si="45"/>
        <v>1377.6623469</v>
      </c>
      <c r="CY28" s="36">
        <f t="shared" si="95"/>
        <v>736.0159338000001</v>
      </c>
      <c r="CZ28" s="5"/>
      <c r="DA28" s="5"/>
      <c r="DB28" s="36">
        <f t="shared" si="46"/>
        <v>7859.298667399999</v>
      </c>
      <c r="DC28" s="36">
        <f t="shared" si="47"/>
        <v>7859.298667399999</v>
      </c>
      <c r="DD28" s="36">
        <f t="shared" si="48"/>
        <v>4489.1542962</v>
      </c>
      <c r="DE28" s="36">
        <f t="shared" si="96"/>
        <v>2398.3301124</v>
      </c>
      <c r="DF28" s="5"/>
      <c r="DG28" s="5"/>
      <c r="DH28" s="36">
        <f t="shared" si="49"/>
        <v>69181.4921307</v>
      </c>
      <c r="DI28" s="36">
        <f t="shared" si="50"/>
        <v>69181.4921307</v>
      </c>
      <c r="DJ28" s="36">
        <f t="shared" si="51"/>
        <v>39515.7896091</v>
      </c>
      <c r="DK28" s="36">
        <f t="shared" si="97"/>
        <v>21111.3055782</v>
      </c>
      <c r="DL28" s="5"/>
      <c r="DM28" s="36"/>
      <c r="DN28" s="36">
        <f t="shared" si="52"/>
        <v>143229.05264870002</v>
      </c>
      <c r="DO28" s="5">
        <f t="shared" si="53"/>
        <v>143229.05264870002</v>
      </c>
      <c r="DP28" s="36">
        <f t="shared" si="54"/>
        <v>81811.0297431</v>
      </c>
      <c r="DQ28" s="36">
        <f t="shared" si="98"/>
        <v>43707.532246200004</v>
      </c>
      <c r="DR28" s="5"/>
      <c r="DS28" s="5"/>
      <c r="DT28" s="5">
        <f t="shared" si="55"/>
        <v>6356.8220719</v>
      </c>
      <c r="DU28" s="5">
        <f t="shared" si="56"/>
        <v>6356.8220719</v>
      </c>
      <c r="DV28" s="36">
        <f t="shared" si="57"/>
        <v>3630.9544047000004</v>
      </c>
      <c r="DW28" s="36">
        <f t="shared" si="99"/>
        <v>1939.8369294000001</v>
      </c>
      <c r="DX28" s="5"/>
      <c r="DY28" s="36"/>
      <c r="DZ28" s="36">
        <f t="shared" si="58"/>
        <v>7051.1247244999995</v>
      </c>
      <c r="EA28" s="5">
        <f t="shared" si="59"/>
        <v>7051.1247244999995</v>
      </c>
      <c r="EB28" s="36">
        <f t="shared" si="60"/>
        <v>4027.5332685</v>
      </c>
      <c r="EC28" s="36">
        <f t="shared" si="100"/>
        <v>2151.709137</v>
      </c>
      <c r="ED28" s="5"/>
      <c r="EE28" s="36"/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</row>
    <row r="29" spans="1:153" ht="12.75">
      <c r="A29" s="37">
        <v>46113</v>
      </c>
      <c r="C29" s="3">
        <v>6735000</v>
      </c>
      <c r="D29" s="3">
        <v>589091</v>
      </c>
      <c r="E29" s="35">
        <f t="shared" si="0"/>
        <v>7324091</v>
      </c>
      <c r="F29" s="35">
        <v>336483</v>
      </c>
      <c r="G29" s="35">
        <v>179766</v>
      </c>
      <c r="I29" s="36">
        <f>'2016B Academic'!I29</f>
        <v>1015112.67</v>
      </c>
      <c r="J29" s="36">
        <f>'2016B Academic'!J29</f>
        <v>88788.973702</v>
      </c>
      <c r="K29" s="36">
        <f t="shared" si="61"/>
        <v>1103901.6437020001</v>
      </c>
      <c r="L29" s="36">
        <f>'2016B Academic'!L29</f>
        <v>50715.390726000005</v>
      </c>
      <c r="M29" s="36">
        <f>'2016B Academic'!M29</f>
        <v>27094.691052000002</v>
      </c>
      <c r="O29" s="36">
        <f t="shared" si="62"/>
        <v>5719887.33</v>
      </c>
      <c r="P29" s="35">
        <f t="shared" si="1"/>
        <v>500302.02629800007</v>
      </c>
      <c r="Q29" s="5">
        <f t="shared" si="2"/>
        <v>6220189.356298001</v>
      </c>
      <c r="R29" s="35">
        <f t="shared" si="3"/>
        <v>285767.609274</v>
      </c>
      <c r="S29" s="35">
        <f t="shared" si="3"/>
        <v>152671.308948</v>
      </c>
      <c r="U29" s="36">
        <f t="shared" si="63"/>
        <v>258153.2235</v>
      </c>
      <c r="V29" s="36">
        <f t="shared" si="4"/>
        <v>22579.9169391</v>
      </c>
      <c r="W29" s="5">
        <f t="shared" si="5"/>
        <v>280733.1404391</v>
      </c>
      <c r="X29" s="36">
        <f t="shared" si="6"/>
        <v>12897.4270383</v>
      </c>
      <c r="Y29" s="36">
        <f t="shared" si="82"/>
        <v>6890.4487566</v>
      </c>
      <c r="AA29" s="5">
        <f t="shared" si="64"/>
        <v>467784.1395</v>
      </c>
      <c r="AB29" s="36">
        <f t="shared" si="7"/>
        <v>40915.727768699995</v>
      </c>
      <c r="AC29" s="36">
        <f t="shared" si="8"/>
        <v>508699.8672687</v>
      </c>
      <c r="AD29" s="36">
        <f t="shared" si="9"/>
        <v>23370.662303099998</v>
      </c>
      <c r="AE29" s="36">
        <f t="shared" si="83"/>
        <v>12485.7733662</v>
      </c>
      <c r="AG29" s="5">
        <f t="shared" si="65"/>
        <v>376924.9485</v>
      </c>
      <c r="AH29" s="5">
        <f t="shared" si="10"/>
        <v>32968.5367241</v>
      </c>
      <c r="AI29" s="5">
        <f t="shared" si="11"/>
        <v>409893.4852241</v>
      </c>
      <c r="AJ29" s="36">
        <f t="shared" si="12"/>
        <v>18831.3047433</v>
      </c>
      <c r="AK29" s="36">
        <f t="shared" si="84"/>
        <v>10060.6221666</v>
      </c>
      <c r="AM29" s="5">
        <f t="shared" si="66"/>
        <v>447938.115</v>
      </c>
      <c r="AN29" s="5">
        <f t="shared" si="13"/>
        <v>39179.853319</v>
      </c>
      <c r="AO29" s="5">
        <f t="shared" si="14"/>
        <v>487117.968319</v>
      </c>
      <c r="AP29" s="36">
        <f t="shared" si="15"/>
        <v>22379.147847</v>
      </c>
      <c r="AQ29" s="36">
        <f t="shared" si="85"/>
        <v>11956.056894</v>
      </c>
      <c r="AS29" s="36">
        <f t="shared" si="67"/>
        <v>26755.461</v>
      </c>
      <c r="AT29" s="36">
        <f t="shared" si="16"/>
        <v>2340.2229066</v>
      </c>
      <c r="AU29" s="5">
        <f t="shared" si="17"/>
        <v>29095.6839066</v>
      </c>
      <c r="AV29" s="36">
        <f t="shared" si="18"/>
        <v>1336.7123657999998</v>
      </c>
      <c r="AW29" s="36">
        <f t="shared" si="86"/>
        <v>714.1384115999999</v>
      </c>
      <c r="AY29" s="36">
        <f t="shared" si="68"/>
        <v>2408.436</v>
      </c>
      <c r="AZ29" s="36">
        <f t="shared" si="19"/>
        <v>210.65894160000002</v>
      </c>
      <c r="BA29" s="5">
        <f t="shared" si="20"/>
        <v>2619.0949416000003</v>
      </c>
      <c r="BB29" s="36">
        <f t="shared" si="21"/>
        <v>120.3263208</v>
      </c>
      <c r="BC29" s="36">
        <f t="shared" si="87"/>
        <v>64.2843216</v>
      </c>
      <c r="BD29" s="5"/>
      <c r="BE29" s="36">
        <f t="shared" si="69"/>
        <v>492770.316</v>
      </c>
      <c r="BF29" s="36">
        <f t="shared" si="22"/>
        <v>43101.1964696</v>
      </c>
      <c r="BG29" s="5">
        <f t="shared" si="23"/>
        <v>535871.5124696</v>
      </c>
      <c r="BH29" s="36">
        <f t="shared" si="24"/>
        <v>24618.9805848</v>
      </c>
      <c r="BI29" s="36">
        <f t="shared" si="88"/>
        <v>13152.6872496</v>
      </c>
      <c r="BJ29" s="5"/>
      <c r="BK29" s="36">
        <f t="shared" si="70"/>
        <v>17.511</v>
      </c>
      <c r="BL29" s="36">
        <f t="shared" si="25"/>
        <v>1.5316366000000001</v>
      </c>
      <c r="BM29" s="5">
        <f t="shared" si="26"/>
        <v>19.042636599999998</v>
      </c>
      <c r="BN29" s="36">
        <f t="shared" si="27"/>
        <v>0.8748558000000001</v>
      </c>
      <c r="BO29" s="36">
        <f t="shared" si="89"/>
        <v>0.4673916</v>
      </c>
      <c r="BP29" s="5"/>
      <c r="BQ29" s="36">
        <f t="shared" si="71"/>
        <v>629419.4249999999</v>
      </c>
      <c r="BR29" s="36">
        <f t="shared" si="28"/>
        <v>55053.499404999995</v>
      </c>
      <c r="BS29" s="5">
        <f t="shared" si="29"/>
        <v>684472.9244049999</v>
      </c>
      <c r="BT29" s="36">
        <f t="shared" si="30"/>
        <v>31446.018764999997</v>
      </c>
      <c r="BU29" s="36">
        <f t="shared" si="90"/>
        <v>16800.03153</v>
      </c>
      <c r="BV29" s="5"/>
      <c r="BW29" s="36">
        <f t="shared" si="72"/>
        <v>1485.0674999999999</v>
      </c>
      <c r="BX29" s="36">
        <f t="shared" si="31"/>
        <v>129.8945655</v>
      </c>
      <c r="BY29" s="5">
        <f t="shared" si="32"/>
        <v>1614.9620654999999</v>
      </c>
      <c r="BZ29" s="36">
        <f t="shared" si="33"/>
        <v>74.1945015</v>
      </c>
      <c r="CA29" s="36">
        <f t="shared" si="91"/>
        <v>39.638403</v>
      </c>
      <c r="CB29" s="5"/>
      <c r="CC29" s="36">
        <f t="shared" si="73"/>
        <v>263919.7305</v>
      </c>
      <c r="CD29" s="36">
        <f t="shared" si="34"/>
        <v>23084.2966533</v>
      </c>
      <c r="CE29" s="5">
        <f t="shared" si="35"/>
        <v>287004.0271533</v>
      </c>
      <c r="CF29" s="36">
        <f t="shared" si="36"/>
        <v>13185.5237829</v>
      </c>
      <c r="CG29" s="36">
        <f t="shared" si="92"/>
        <v>7044.3644058</v>
      </c>
      <c r="CH29" s="5"/>
      <c r="CI29" s="5">
        <f t="shared" si="74"/>
        <v>1332.183</v>
      </c>
      <c r="CJ29" s="5">
        <f t="shared" si="37"/>
        <v>116.52219980000001</v>
      </c>
      <c r="CK29" s="5">
        <f t="shared" si="38"/>
        <v>1448.7051998</v>
      </c>
      <c r="CL29" s="36">
        <f t="shared" si="39"/>
        <v>66.5563374</v>
      </c>
      <c r="CM29" s="36">
        <f t="shared" si="93"/>
        <v>35.5577148</v>
      </c>
      <c r="CN29" s="5"/>
      <c r="CO29" s="36">
        <f t="shared" si="75"/>
        <v>51796.191</v>
      </c>
      <c r="CP29" s="36">
        <f t="shared" si="40"/>
        <v>4530.4632446</v>
      </c>
      <c r="CQ29" s="5">
        <f t="shared" si="41"/>
        <v>56326.654244599995</v>
      </c>
      <c r="CR29" s="36">
        <f t="shared" si="42"/>
        <v>2587.7561597999998</v>
      </c>
      <c r="CS29" s="36">
        <f t="shared" si="94"/>
        <v>1382.5083995999998</v>
      </c>
      <c r="CT29" s="5"/>
      <c r="CU29" s="36">
        <f t="shared" si="76"/>
        <v>27575.110500000003</v>
      </c>
      <c r="CV29" s="36">
        <f t="shared" si="43"/>
        <v>2411.9152813</v>
      </c>
      <c r="CW29" s="5">
        <f t="shared" si="44"/>
        <v>29987.025781300003</v>
      </c>
      <c r="CX29" s="36">
        <f t="shared" si="45"/>
        <v>1377.6623469</v>
      </c>
      <c r="CY29" s="36">
        <f t="shared" si="95"/>
        <v>736.0159338000001</v>
      </c>
      <c r="CZ29" s="5"/>
      <c r="DA29" s="5">
        <f t="shared" si="77"/>
        <v>89854.329</v>
      </c>
      <c r="DB29" s="36">
        <f t="shared" si="46"/>
        <v>7859.298667399999</v>
      </c>
      <c r="DC29" s="36">
        <f t="shared" si="47"/>
        <v>97713.6276674</v>
      </c>
      <c r="DD29" s="36">
        <f t="shared" si="48"/>
        <v>4489.1542962</v>
      </c>
      <c r="DE29" s="36">
        <f t="shared" si="96"/>
        <v>2398.3301124</v>
      </c>
      <c r="DF29" s="5"/>
      <c r="DG29" s="5">
        <f t="shared" si="78"/>
        <v>790942.9095000001</v>
      </c>
      <c r="DH29" s="36">
        <f t="shared" si="49"/>
        <v>69181.4921307</v>
      </c>
      <c r="DI29" s="36">
        <f t="shared" si="50"/>
        <v>860124.4016307001</v>
      </c>
      <c r="DJ29" s="36">
        <f t="shared" si="51"/>
        <v>39515.7896091</v>
      </c>
      <c r="DK29" s="36">
        <f t="shared" si="97"/>
        <v>21111.3055782</v>
      </c>
      <c r="DL29" s="5"/>
      <c r="DM29" s="36">
        <f t="shared" si="79"/>
        <v>1637518.9395</v>
      </c>
      <c r="DN29" s="36">
        <f t="shared" si="52"/>
        <v>143229.05264870002</v>
      </c>
      <c r="DO29" s="5">
        <f t="shared" si="53"/>
        <v>1780747.9921487002</v>
      </c>
      <c r="DP29" s="36">
        <f t="shared" si="54"/>
        <v>81811.0297431</v>
      </c>
      <c r="DQ29" s="36">
        <f t="shared" si="98"/>
        <v>43707.532246200004</v>
      </c>
      <c r="DR29" s="5"/>
      <c r="DS29" s="5">
        <f t="shared" si="80"/>
        <v>72676.7115</v>
      </c>
      <c r="DT29" s="5">
        <f t="shared" si="55"/>
        <v>6356.8220719</v>
      </c>
      <c r="DU29" s="5">
        <f t="shared" si="56"/>
        <v>79033.5335719</v>
      </c>
      <c r="DV29" s="36">
        <f t="shared" si="57"/>
        <v>3630.9544047000004</v>
      </c>
      <c r="DW29" s="36">
        <f t="shared" si="99"/>
        <v>1939.8369294000001</v>
      </c>
      <c r="DX29" s="5"/>
      <c r="DY29" s="36">
        <f t="shared" si="81"/>
        <v>80614.58249999999</v>
      </c>
      <c r="DZ29" s="36">
        <f t="shared" si="58"/>
        <v>7051.1247244999995</v>
      </c>
      <c r="EA29" s="5">
        <f t="shared" si="59"/>
        <v>87665.70722449999</v>
      </c>
      <c r="EB29" s="36">
        <f t="shared" si="60"/>
        <v>4027.5332685</v>
      </c>
      <c r="EC29" s="36">
        <f t="shared" si="100"/>
        <v>2151.709137</v>
      </c>
      <c r="ED29" s="5"/>
      <c r="EE29" s="36"/>
      <c r="EF29" s="36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1:153" ht="12.75">
      <c r="A30" s="37">
        <v>46296</v>
      </c>
      <c r="D30" s="3">
        <v>420716</v>
      </c>
      <c r="E30" s="35">
        <f t="shared" si="0"/>
        <v>420716</v>
      </c>
      <c r="F30" s="35">
        <v>336483</v>
      </c>
      <c r="G30" s="35">
        <v>179766</v>
      </c>
      <c r="I30" s="36"/>
      <c r="J30" s="36">
        <f>'2016B Academic'!J30</f>
        <v>63411.15695200001</v>
      </c>
      <c r="K30" s="36">
        <f t="shared" si="61"/>
        <v>63411.15695200001</v>
      </c>
      <c r="L30" s="36">
        <f>'2016B Academic'!L30</f>
        <v>50715.390726000005</v>
      </c>
      <c r="M30" s="36">
        <f>'2016B Academic'!M30</f>
        <v>27094.691052000002</v>
      </c>
      <c r="O30" s="36"/>
      <c r="P30" s="35">
        <f t="shared" si="1"/>
        <v>357304.843048</v>
      </c>
      <c r="Q30" s="5">
        <f t="shared" si="2"/>
        <v>357304.843048</v>
      </c>
      <c r="R30" s="35">
        <f t="shared" si="3"/>
        <v>285767.609274</v>
      </c>
      <c r="S30" s="35">
        <f t="shared" si="3"/>
        <v>152671.308948</v>
      </c>
      <c r="U30" s="36"/>
      <c r="V30" s="36">
        <f t="shared" si="4"/>
        <v>16126.086351599999</v>
      </c>
      <c r="W30" s="5">
        <f t="shared" si="5"/>
        <v>16126.086351599999</v>
      </c>
      <c r="X30" s="36">
        <f t="shared" si="6"/>
        <v>12897.4270383</v>
      </c>
      <c r="Y30" s="36">
        <f t="shared" si="82"/>
        <v>6890.4487566</v>
      </c>
      <c r="AB30" s="36">
        <f t="shared" si="7"/>
        <v>29221.1242812</v>
      </c>
      <c r="AC30" s="36">
        <f t="shared" si="8"/>
        <v>29221.1242812</v>
      </c>
      <c r="AD30" s="36">
        <f t="shared" si="9"/>
        <v>23370.662303099998</v>
      </c>
      <c r="AE30" s="36">
        <f t="shared" si="83"/>
        <v>12485.7733662</v>
      </c>
      <c r="AH30" s="5">
        <f t="shared" si="10"/>
        <v>23545.413011599998</v>
      </c>
      <c r="AI30" s="5">
        <f t="shared" si="11"/>
        <v>23545.413011599998</v>
      </c>
      <c r="AJ30" s="36">
        <f t="shared" si="12"/>
        <v>18831.3047433</v>
      </c>
      <c r="AK30" s="36">
        <f t="shared" si="84"/>
        <v>10060.6221666</v>
      </c>
      <c r="AN30" s="5">
        <f t="shared" si="13"/>
        <v>27981.400444</v>
      </c>
      <c r="AO30" s="5">
        <f t="shared" si="14"/>
        <v>27981.400444</v>
      </c>
      <c r="AP30" s="36">
        <f t="shared" si="15"/>
        <v>22379.147847</v>
      </c>
      <c r="AQ30" s="36">
        <f t="shared" si="85"/>
        <v>11956.056894</v>
      </c>
      <c r="AS30" s="36"/>
      <c r="AT30" s="36">
        <f t="shared" si="16"/>
        <v>1671.3363815999999</v>
      </c>
      <c r="AU30" s="5">
        <f t="shared" si="17"/>
        <v>1671.3363815999999</v>
      </c>
      <c r="AV30" s="36">
        <f t="shared" si="18"/>
        <v>1336.7123657999998</v>
      </c>
      <c r="AW30" s="36">
        <f t="shared" si="86"/>
        <v>714.1384115999999</v>
      </c>
      <c r="AY30" s="36"/>
      <c r="AZ30" s="36">
        <f t="shared" si="19"/>
        <v>150.4480416</v>
      </c>
      <c r="BA30" s="5">
        <f t="shared" si="20"/>
        <v>150.4480416</v>
      </c>
      <c r="BB30" s="36">
        <f t="shared" si="21"/>
        <v>120.3263208</v>
      </c>
      <c r="BC30" s="36">
        <f t="shared" si="87"/>
        <v>64.2843216</v>
      </c>
      <c r="BD30" s="5"/>
      <c r="BE30" s="36"/>
      <c r="BF30" s="36">
        <f t="shared" si="22"/>
        <v>30781.9385696</v>
      </c>
      <c r="BG30" s="5">
        <f t="shared" si="23"/>
        <v>30781.9385696</v>
      </c>
      <c r="BH30" s="36">
        <f t="shared" si="24"/>
        <v>24618.9805848</v>
      </c>
      <c r="BI30" s="36">
        <f t="shared" si="88"/>
        <v>13152.6872496</v>
      </c>
      <c r="BJ30" s="5"/>
      <c r="BK30" s="36"/>
      <c r="BL30" s="36">
        <f t="shared" si="25"/>
        <v>1.0938616</v>
      </c>
      <c r="BM30" s="5">
        <f t="shared" si="26"/>
        <v>1.0938616</v>
      </c>
      <c r="BN30" s="36">
        <f t="shared" si="27"/>
        <v>0.8748558000000001</v>
      </c>
      <c r="BO30" s="36">
        <f t="shared" si="89"/>
        <v>0.4673916</v>
      </c>
      <c r="BP30" s="5"/>
      <c r="BQ30" s="36"/>
      <c r="BR30" s="36">
        <f t="shared" si="28"/>
        <v>39318.01378</v>
      </c>
      <c r="BS30" s="5">
        <f t="shared" si="29"/>
        <v>39318.01378</v>
      </c>
      <c r="BT30" s="36">
        <f t="shared" si="30"/>
        <v>31446.018764999997</v>
      </c>
      <c r="BU30" s="36">
        <f t="shared" si="90"/>
        <v>16800.03153</v>
      </c>
      <c r="BV30" s="5"/>
      <c r="BW30" s="36"/>
      <c r="BX30" s="36">
        <f t="shared" si="31"/>
        <v>92.767878</v>
      </c>
      <c r="BY30" s="5">
        <f t="shared" si="32"/>
        <v>92.767878</v>
      </c>
      <c r="BZ30" s="36">
        <f t="shared" si="33"/>
        <v>74.1945015</v>
      </c>
      <c r="CA30" s="36">
        <f t="shared" si="91"/>
        <v>39.638403</v>
      </c>
      <c r="CB30" s="5"/>
      <c r="CC30" s="36"/>
      <c r="CD30" s="36">
        <f t="shared" si="34"/>
        <v>16486.3033908</v>
      </c>
      <c r="CE30" s="5">
        <f t="shared" si="35"/>
        <v>16486.3033908</v>
      </c>
      <c r="CF30" s="36">
        <f t="shared" si="36"/>
        <v>13185.5237829</v>
      </c>
      <c r="CG30" s="36">
        <f t="shared" si="92"/>
        <v>7044.3644058</v>
      </c>
      <c r="CH30" s="5"/>
      <c r="CI30" s="5"/>
      <c r="CJ30" s="5">
        <f t="shared" si="37"/>
        <v>83.21762480000001</v>
      </c>
      <c r="CK30" s="5">
        <f t="shared" si="38"/>
        <v>83.21762480000001</v>
      </c>
      <c r="CL30" s="36">
        <f t="shared" si="39"/>
        <v>66.5563374</v>
      </c>
      <c r="CM30" s="36">
        <f t="shared" si="93"/>
        <v>35.5577148</v>
      </c>
      <c r="CN30" s="5"/>
      <c r="CO30" s="36"/>
      <c r="CP30" s="36">
        <f t="shared" si="40"/>
        <v>3235.5584696</v>
      </c>
      <c r="CQ30" s="5">
        <f t="shared" si="41"/>
        <v>3235.5584696</v>
      </c>
      <c r="CR30" s="36">
        <f t="shared" si="42"/>
        <v>2587.7561597999998</v>
      </c>
      <c r="CS30" s="36">
        <f t="shared" si="94"/>
        <v>1382.5083995999998</v>
      </c>
      <c r="CT30" s="5"/>
      <c r="CU30" s="36"/>
      <c r="CV30" s="36">
        <f t="shared" si="43"/>
        <v>1722.5375188</v>
      </c>
      <c r="CW30" s="5">
        <f t="shared" si="44"/>
        <v>1722.5375188</v>
      </c>
      <c r="CX30" s="36">
        <f t="shared" si="45"/>
        <v>1377.6623469</v>
      </c>
      <c r="CY30" s="36">
        <f t="shared" si="95"/>
        <v>736.0159338000001</v>
      </c>
      <c r="CZ30" s="5"/>
      <c r="DA30" s="5"/>
      <c r="DB30" s="36">
        <f t="shared" si="46"/>
        <v>5612.9404423999995</v>
      </c>
      <c r="DC30" s="36">
        <f t="shared" si="47"/>
        <v>5612.9404423999995</v>
      </c>
      <c r="DD30" s="36">
        <f t="shared" si="48"/>
        <v>4489.1542962</v>
      </c>
      <c r="DE30" s="36">
        <f t="shared" si="96"/>
        <v>2398.3301124</v>
      </c>
      <c r="DF30" s="5"/>
      <c r="DG30" s="5"/>
      <c r="DH30" s="36">
        <f t="shared" si="49"/>
        <v>49407.919393200005</v>
      </c>
      <c r="DI30" s="36">
        <f t="shared" si="50"/>
        <v>49407.919393200005</v>
      </c>
      <c r="DJ30" s="36">
        <f t="shared" si="51"/>
        <v>39515.7896091</v>
      </c>
      <c r="DK30" s="36">
        <f t="shared" si="97"/>
        <v>21111.3055782</v>
      </c>
      <c r="DL30" s="5"/>
      <c r="DM30" s="36"/>
      <c r="DN30" s="36">
        <f t="shared" si="52"/>
        <v>102291.0791612</v>
      </c>
      <c r="DO30" s="5">
        <f t="shared" si="53"/>
        <v>102291.0791612</v>
      </c>
      <c r="DP30" s="36">
        <f t="shared" si="54"/>
        <v>81811.0297431</v>
      </c>
      <c r="DQ30" s="36">
        <f t="shared" si="98"/>
        <v>43707.532246200004</v>
      </c>
      <c r="DR30" s="5"/>
      <c r="DS30" s="5"/>
      <c r="DT30" s="5">
        <f t="shared" si="55"/>
        <v>4539.9042844000005</v>
      </c>
      <c r="DU30" s="5">
        <f t="shared" si="56"/>
        <v>4539.9042844000005</v>
      </c>
      <c r="DV30" s="36">
        <f t="shared" si="57"/>
        <v>3630.9544047000004</v>
      </c>
      <c r="DW30" s="36">
        <f t="shared" si="99"/>
        <v>1939.8369294000001</v>
      </c>
      <c r="DX30" s="5"/>
      <c r="DY30" s="36"/>
      <c r="DZ30" s="36">
        <f t="shared" si="58"/>
        <v>5035.760162</v>
      </c>
      <c r="EA30" s="5">
        <f t="shared" si="59"/>
        <v>5035.760162</v>
      </c>
      <c r="EB30" s="36">
        <f t="shared" si="60"/>
        <v>4027.5332685</v>
      </c>
      <c r="EC30" s="36">
        <f t="shared" si="100"/>
        <v>2151.709137</v>
      </c>
      <c r="ED30" s="5"/>
      <c r="EE30" s="36"/>
      <c r="EF30" s="36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</row>
    <row r="31" spans="1:153" ht="12.75">
      <c r="A31" s="37">
        <v>46478</v>
      </c>
      <c r="C31" s="3">
        <v>7070000</v>
      </c>
      <c r="D31" s="3">
        <v>420716</v>
      </c>
      <c r="E31" s="35">
        <f t="shared" si="0"/>
        <v>7490716</v>
      </c>
      <c r="F31" s="35">
        <v>336483</v>
      </c>
      <c r="G31" s="35">
        <v>179766</v>
      </c>
      <c r="I31" s="36">
        <f>'2016B Academic'!I31</f>
        <v>1065604.54</v>
      </c>
      <c r="J31" s="36">
        <f>'2016B Academic'!J31</f>
        <v>63411.15695200001</v>
      </c>
      <c r="K31" s="36">
        <f t="shared" si="61"/>
        <v>1129015.696952</v>
      </c>
      <c r="L31" s="36">
        <f>'2016B Academic'!L31</f>
        <v>50715.390726000005</v>
      </c>
      <c r="M31" s="36">
        <f>'2016B Academic'!M31</f>
        <v>27094.691052000002</v>
      </c>
      <c r="O31" s="36">
        <f t="shared" si="62"/>
        <v>6004395.459999999</v>
      </c>
      <c r="P31" s="35">
        <f t="shared" si="1"/>
        <v>357304.843048</v>
      </c>
      <c r="Q31" s="5">
        <f t="shared" si="2"/>
        <v>6361700.303047999</v>
      </c>
      <c r="R31" s="35">
        <f t="shared" si="3"/>
        <v>285767.609274</v>
      </c>
      <c r="S31" s="35">
        <f t="shared" si="3"/>
        <v>152671.308948</v>
      </c>
      <c r="U31" s="36">
        <f t="shared" si="63"/>
        <v>270993.807</v>
      </c>
      <c r="V31" s="36">
        <f t="shared" si="4"/>
        <v>16126.086351599999</v>
      </c>
      <c r="W31" s="5">
        <f t="shared" si="5"/>
        <v>287119.8933516</v>
      </c>
      <c r="X31" s="36">
        <f t="shared" si="6"/>
        <v>12897.4270383</v>
      </c>
      <c r="Y31" s="36">
        <f t="shared" si="82"/>
        <v>6890.4487566</v>
      </c>
      <c r="AA31" s="5">
        <f t="shared" si="64"/>
        <v>491051.79899999994</v>
      </c>
      <c r="AB31" s="36">
        <f t="shared" si="7"/>
        <v>29221.1242812</v>
      </c>
      <c r="AC31" s="36">
        <f t="shared" si="8"/>
        <v>520272.92328119994</v>
      </c>
      <c r="AD31" s="36">
        <f t="shared" si="9"/>
        <v>23370.662303099998</v>
      </c>
      <c r="AE31" s="36">
        <f t="shared" si="83"/>
        <v>12485.7733662</v>
      </c>
      <c r="AG31" s="5">
        <f t="shared" si="65"/>
        <v>395673.257</v>
      </c>
      <c r="AH31" s="5">
        <f t="shared" si="10"/>
        <v>23545.413011599998</v>
      </c>
      <c r="AI31" s="5">
        <f t="shared" si="11"/>
        <v>419218.67001159996</v>
      </c>
      <c r="AJ31" s="36">
        <f t="shared" si="12"/>
        <v>18831.3047433</v>
      </c>
      <c r="AK31" s="36">
        <f t="shared" si="84"/>
        <v>10060.6221666</v>
      </c>
      <c r="AM31" s="5">
        <f t="shared" si="66"/>
        <v>470218.63</v>
      </c>
      <c r="AN31" s="5">
        <f t="shared" si="13"/>
        <v>27981.400444</v>
      </c>
      <c r="AO31" s="5">
        <f t="shared" si="14"/>
        <v>498200.03044400003</v>
      </c>
      <c r="AP31" s="36">
        <f t="shared" si="15"/>
        <v>22379.147847</v>
      </c>
      <c r="AQ31" s="36">
        <f t="shared" si="85"/>
        <v>11956.056894</v>
      </c>
      <c r="AS31" s="36">
        <f t="shared" si="67"/>
        <v>28086.282</v>
      </c>
      <c r="AT31" s="36">
        <f t="shared" si="16"/>
        <v>1671.3363815999999</v>
      </c>
      <c r="AU31" s="5">
        <f t="shared" si="17"/>
        <v>29757.618381599998</v>
      </c>
      <c r="AV31" s="36">
        <f t="shared" si="18"/>
        <v>1336.7123657999998</v>
      </c>
      <c r="AW31" s="36">
        <f t="shared" si="86"/>
        <v>714.1384115999999</v>
      </c>
      <c r="AY31" s="36">
        <f t="shared" si="68"/>
        <v>2528.232</v>
      </c>
      <c r="AZ31" s="36">
        <f t="shared" si="19"/>
        <v>150.4480416</v>
      </c>
      <c r="BA31" s="5">
        <f t="shared" si="20"/>
        <v>2678.6800416</v>
      </c>
      <c r="BB31" s="36">
        <f t="shared" si="21"/>
        <v>120.3263208</v>
      </c>
      <c r="BC31" s="36">
        <f t="shared" si="87"/>
        <v>64.2843216</v>
      </c>
      <c r="BD31" s="5"/>
      <c r="BE31" s="36">
        <f t="shared" si="69"/>
        <v>517280.79199999996</v>
      </c>
      <c r="BF31" s="36">
        <f t="shared" si="22"/>
        <v>30781.9385696</v>
      </c>
      <c r="BG31" s="5">
        <f t="shared" si="23"/>
        <v>548062.7305696</v>
      </c>
      <c r="BH31" s="36">
        <f t="shared" si="24"/>
        <v>24618.9805848</v>
      </c>
      <c r="BI31" s="36">
        <f t="shared" si="88"/>
        <v>13152.6872496</v>
      </c>
      <c r="BJ31" s="5"/>
      <c r="BK31" s="36">
        <f t="shared" si="70"/>
        <v>18.382</v>
      </c>
      <c r="BL31" s="36">
        <f t="shared" si="25"/>
        <v>1.0938616</v>
      </c>
      <c r="BM31" s="5">
        <f t="shared" si="26"/>
        <v>19.4758616</v>
      </c>
      <c r="BN31" s="36">
        <f t="shared" si="27"/>
        <v>0.8748558000000001</v>
      </c>
      <c r="BO31" s="36">
        <f t="shared" si="89"/>
        <v>0.4673916</v>
      </c>
      <c r="BP31" s="5"/>
      <c r="BQ31" s="36">
        <f t="shared" si="71"/>
        <v>660726.85</v>
      </c>
      <c r="BR31" s="36">
        <f t="shared" si="28"/>
        <v>39318.01378</v>
      </c>
      <c r="BS31" s="5">
        <f t="shared" si="29"/>
        <v>700044.86378</v>
      </c>
      <c r="BT31" s="36">
        <f t="shared" si="30"/>
        <v>31446.018764999997</v>
      </c>
      <c r="BU31" s="36">
        <f t="shared" si="90"/>
        <v>16800.03153</v>
      </c>
      <c r="BV31" s="5"/>
      <c r="BW31" s="36">
        <f t="shared" si="72"/>
        <v>1558.935</v>
      </c>
      <c r="BX31" s="36">
        <f t="shared" si="31"/>
        <v>92.767878</v>
      </c>
      <c r="BY31" s="5">
        <f t="shared" si="32"/>
        <v>1651.702878</v>
      </c>
      <c r="BZ31" s="36">
        <f t="shared" si="33"/>
        <v>74.1945015</v>
      </c>
      <c r="CA31" s="36">
        <f t="shared" si="91"/>
        <v>39.638403</v>
      </c>
      <c r="CB31" s="5"/>
      <c r="CC31" s="36">
        <f t="shared" si="73"/>
        <v>277047.141</v>
      </c>
      <c r="CD31" s="36">
        <f t="shared" si="34"/>
        <v>16486.3033908</v>
      </c>
      <c r="CE31" s="5">
        <f t="shared" si="35"/>
        <v>293533.4443908</v>
      </c>
      <c r="CF31" s="36">
        <f t="shared" si="36"/>
        <v>13185.5237829</v>
      </c>
      <c r="CG31" s="36">
        <f t="shared" si="92"/>
        <v>7044.3644058</v>
      </c>
      <c r="CH31" s="5"/>
      <c r="CI31" s="5">
        <f t="shared" si="74"/>
        <v>1398.4460000000001</v>
      </c>
      <c r="CJ31" s="5">
        <f t="shared" si="37"/>
        <v>83.21762480000001</v>
      </c>
      <c r="CK31" s="5">
        <f t="shared" si="38"/>
        <v>1481.6636248000002</v>
      </c>
      <c r="CL31" s="36">
        <f t="shared" si="39"/>
        <v>66.5563374</v>
      </c>
      <c r="CM31" s="36">
        <f t="shared" si="93"/>
        <v>35.5577148</v>
      </c>
      <c r="CN31" s="5"/>
      <c r="CO31" s="36">
        <f t="shared" si="75"/>
        <v>54372.542</v>
      </c>
      <c r="CP31" s="36">
        <f t="shared" si="40"/>
        <v>3235.5584696</v>
      </c>
      <c r="CQ31" s="5">
        <f t="shared" si="41"/>
        <v>57608.1004696</v>
      </c>
      <c r="CR31" s="36">
        <f t="shared" si="42"/>
        <v>2587.7561597999998</v>
      </c>
      <c r="CS31" s="36">
        <f t="shared" si="94"/>
        <v>1382.5083995999998</v>
      </c>
      <c r="CT31" s="5"/>
      <c r="CU31" s="36">
        <f t="shared" si="76"/>
        <v>28946.701</v>
      </c>
      <c r="CV31" s="36">
        <f t="shared" si="43"/>
        <v>1722.5375188</v>
      </c>
      <c r="CW31" s="5">
        <f t="shared" si="44"/>
        <v>30669.2385188</v>
      </c>
      <c r="CX31" s="36">
        <f t="shared" si="45"/>
        <v>1377.6623469</v>
      </c>
      <c r="CY31" s="36">
        <f t="shared" si="95"/>
        <v>736.0159338000001</v>
      </c>
      <c r="CZ31" s="5"/>
      <c r="DA31" s="5">
        <f t="shared" si="77"/>
        <v>94323.698</v>
      </c>
      <c r="DB31" s="36">
        <f t="shared" si="46"/>
        <v>5612.9404423999995</v>
      </c>
      <c r="DC31" s="36">
        <f t="shared" si="47"/>
        <v>99936.6384424</v>
      </c>
      <c r="DD31" s="36">
        <f t="shared" si="48"/>
        <v>4489.1542962</v>
      </c>
      <c r="DE31" s="36">
        <f t="shared" si="96"/>
        <v>2398.3301124</v>
      </c>
      <c r="DF31" s="5"/>
      <c r="DG31" s="5">
        <f t="shared" si="78"/>
        <v>830284.539</v>
      </c>
      <c r="DH31" s="36">
        <f t="shared" si="49"/>
        <v>49407.919393200005</v>
      </c>
      <c r="DI31" s="36">
        <f t="shared" si="50"/>
        <v>879692.4583932</v>
      </c>
      <c r="DJ31" s="36">
        <f t="shared" si="51"/>
        <v>39515.7896091</v>
      </c>
      <c r="DK31" s="36">
        <f t="shared" si="97"/>
        <v>21111.3055782</v>
      </c>
      <c r="DL31" s="5"/>
      <c r="DM31" s="36">
        <f t="shared" si="79"/>
        <v>1718969.399</v>
      </c>
      <c r="DN31" s="36">
        <f t="shared" si="52"/>
        <v>102291.0791612</v>
      </c>
      <c r="DO31" s="5">
        <f t="shared" si="53"/>
        <v>1821260.4781612</v>
      </c>
      <c r="DP31" s="36">
        <f t="shared" si="54"/>
        <v>81811.0297431</v>
      </c>
      <c r="DQ31" s="36">
        <f t="shared" si="98"/>
        <v>43707.532246200004</v>
      </c>
      <c r="DR31" s="5"/>
      <c r="DS31" s="5">
        <f t="shared" si="80"/>
        <v>76291.663</v>
      </c>
      <c r="DT31" s="5">
        <f t="shared" si="55"/>
        <v>4539.9042844000005</v>
      </c>
      <c r="DU31" s="5">
        <f t="shared" si="56"/>
        <v>80831.56728440001</v>
      </c>
      <c r="DV31" s="36">
        <f t="shared" si="57"/>
        <v>3630.9544047000004</v>
      </c>
      <c r="DW31" s="36">
        <f t="shared" si="99"/>
        <v>1939.8369294000001</v>
      </c>
      <c r="DX31" s="5"/>
      <c r="DY31" s="36">
        <f t="shared" si="81"/>
        <v>84624.36499999999</v>
      </c>
      <c r="DZ31" s="36">
        <f t="shared" si="58"/>
        <v>5035.760162</v>
      </c>
      <c r="EA31" s="5">
        <f t="shared" si="59"/>
        <v>89660.125162</v>
      </c>
      <c r="EB31" s="36">
        <f t="shared" si="60"/>
        <v>4027.5332685</v>
      </c>
      <c r="EC31" s="36">
        <f t="shared" si="100"/>
        <v>2151.709137</v>
      </c>
      <c r="ED31" s="5"/>
      <c r="EE31" s="36"/>
      <c r="EF31" s="36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</row>
    <row r="32" spans="1:153" ht="12.75">
      <c r="A32" s="37">
        <v>46661</v>
      </c>
      <c r="D32" s="3">
        <v>243966</v>
      </c>
      <c r="E32" s="35">
        <f t="shared" si="0"/>
        <v>243966</v>
      </c>
      <c r="F32" s="35">
        <v>336483</v>
      </c>
      <c r="G32" s="35">
        <v>179766</v>
      </c>
      <c r="I32" s="36"/>
      <c r="J32" s="36">
        <f>'2016B Academic'!J32</f>
        <v>36771.043452000005</v>
      </c>
      <c r="K32" s="36">
        <f t="shared" si="61"/>
        <v>36771.043452000005</v>
      </c>
      <c r="L32" s="36">
        <f>'2016B Academic'!L32</f>
        <v>50715.390726000005</v>
      </c>
      <c r="M32" s="36">
        <f>'2016B Academic'!M32</f>
        <v>27094.691052000002</v>
      </c>
      <c r="O32" s="36"/>
      <c r="P32" s="35">
        <f t="shared" si="1"/>
        <v>207194.956548</v>
      </c>
      <c r="Q32" s="5">
        <f t="shared" si="2"/>
        <v>207194.956548</v>
      </c>
      <c r="R32" s="35">
        <f t="shared" si="3"/>
        <v>285767.609274</v>
      </c>
      <c r="S32" s="35">
        <f t="shared" si="3"/>
        <v>152671.308948</v>
      </c>
      <c r="U32" s="36"/>
      <c r="V32" s="36">
        <f t="shared" si="4"/>
        <v>9351.2411766</v>
      </c>
      <c r="W32" s="5">
        <f t="shared" si="5"/>
        <v>9351.2411766</v>
      </c>
      <c r="X32" s="36">
        <f t="shared" si="6"/>
        <v>12897.4270383</v>
      </c>
      <c r="Y32" s="36">
        <f t="shared" si="82"/>
        <v>6890.4487566</v>
      </c>
      <c r="AB32" s="36">
        <f t="shared" si="7"/>
        <v>16944.829306199998</v>
      </c>
      <c r="AC32" s="36">
        <f t="shared" si="8"/>
        <v>16944.829306199998</v>
      </c>
      <c r="AD32" s="36">
        <f t="shared" si="9"/>
        <v>23370.662303099998</v>
      </c>
      <c r="AE32" s="36">
        <f t="shared" si="83"/>
        <v>12485.7733662</v>
      </c>
      <c r="AH32" s="5">
        <f t="shared" si="10"/>
        <v>13653.5815866</v>
      </c>
      <c r="AI32" s="5">
        <f t="shared" si="11"/>
        <v>13653.5815866</v>
      </c>
      <c r="AJ32" s="36">
        <f t="shared" si="12"/>
        <v>18831.3047433</v>
      </c>
      <c r="AK32" s="36">
        <f t="shared" si="84"/>
        <v>10060.6221666</v>
      </c>
      <c r="AN32" s="5">
        <f t="shared" si="13"/>
        <v>16225.934694</v>
      </c>
      <c r="AO32" s="5">
        <f t="shared" si="14"/>
        <v>16225.934694</v>
      </c>
      <c r="AP32" s="36">
        <f t="shared" si="15"/>
        <v>22379.147847</v>
      </c>
      <c r="AQ32" s="36">
        <f t="shared" si="85"/>
        <v>11956.056894</v>
      </c>
      <c r="AS32" s="36"/>
      <c r="AT32" s="36">
        <f t="shared" si="16"/>
        <v>969.1793316</v>
      </c>
      <c r="AU32" s="5">
        <f t="shared" si="17"/>
        <v>969.1793316</v>
      </c>
      <c r="AV32" s="36">
        <f t="shared" si="18"/>
        <v>1336.7123657999998</v>
      </c>
      <c r="AW32" s="36">
        <f t="shared" si="86"/>
        <v>714.1384115999999</v>
      </c>
      <c r="AY32" s="36"/>
      <c r="AZ32" s="36">
        <f t="shared" si="19"/>
        <v>87.2422416</v>
      </c>
      <c r="BA32" s="5">
        <f t="shared" si="20"/>
        <v>87.2422416</v>
      </c>
      <c r="BB32" s="36">
        <f t="shared" si="21"/>
        <v>120.3263208</v>
      </c>
      <c r="BC32" s="36">
        <f t="shared" si="87"/>
        <v>64.2843216</v>
      </c>
      <c r="BD32" s="5"/>
      <c r="BE32" s="36"/>
      <c r="BF32" s="36">
        <f t="shared" si="22"/>
        <v>17849.9187696</v>
      </c>
      <c r="BG32" s="5">
        <f t="shared" si="23"/>
        <v>17849.9187696</v>
      </c>
      <c r="BH32" s="36">
        <f t="shared" si="24"/>
        <v>24618.9805848</v>
      </c>
      <c r="BI32" s="36">
        <f t="shared" si="88"/>
        <v>13152.6872496</v>
      </c>
      <c r="BJ32" s="5"/>
      <c r="BK32" s="36"/>
      <c r="BL32" s="36">
        <f t="shared" si="25"/>
        <v>0.6343116</v>
      </c>
      <c r="BM32" s="5">
        <f t="shared" si="26"/>
        <v>0.6343116</v>
      </c>
      <c r="BN32" s="36">
        <f t="shared" si="27"/>
        <v>0.8748558000000001</v>
      </c>
      <c r="BO32" s="36">
        <f t="shared" si="89"/>
        <v>0.4673916</v>
      </c>
      <c r="BP32" s="5"/>
      <c r="BQ32" s="36"/>
      <c r="BR32" s="36">
        <f t="shared" si="28"/>
        <v>22799.842529999998</v>
      </c>
      <c r="BS32" s="5">
        <f t="shared" si="29"/>
        <v>22799.842529999998</v>
      </c>
      <c r="BT32" s="36">
        <f t="shared" si="30"/>
        <v>31446.018764999997</v>
      </c>
      <c r="BU32" s="36">
        <f t="shared" si="90"/>
        <v>16800.03153</v>
      </c>
      <c r="BV32" s="5"/>
      <c r="BW32" s="36"/>
      <c r="BX32" s="36">
        <f t="shared" si="31"/>
        <v>53.794503</v>
      </c>
      <c r="BY32" s="5">
        <f t="shared" si="32"/>
        <v>53.794503</v>
      </c>
      <c r="BZ32" s="36">
        <f t="shared" si="33"/>
        <v>74.1945015</v>
      </c>
      <c r="CA32" s="36">
        <f t="shared" si="91"/>
        <v>39.638403</v>
      </c>
      <c r="CB32" s="5"/>
      <c r="CC32" s="36"/>
      <c r="CD32" s="36">
        <f t="shared" si="34"/>
        <v>9560.1248658</v>
      </c>
      <c r="CE32" s="5">
        <f t="shared" si="35"/>
        <v>9560.1248658</v>
      </c>
      <c r="CF32" s="36">
        <f t="shared" si="36"/>
        <v>13185.5237829</v>
      </c>
      <c r="CG32" s="36">
        <f t="shared" si="92"/>
        <v>7044.3644058</v>
      </c>
      <c r="CH32" s="5"/>
      <c r="CI32" s="5"/>
      <c r="CJ32" s="5">
        <f t="shared" si="37"/>
        <v>48.2564748</v>
      </c>
      <c r="CK32" s="5">
        <f t="shared" si="38"/>
        <v>48.2564748</v>
      </c>
      <c r="CL32" s="36">
        <f t="shared" si="39"/>
        <v>66.5563374</v>
      </c>
      <c r="CM32" s="36">
        <f t="shared" si="93"/>
        <v>35.5577148</v>
      </c>
      <c r="CN32" s="5"/>
      <c r="CO32" s="36"/>
      <c r="CP32" s="36">
        <f t="shared" si="40"/>
        <v>1876.2449196</v>
      </c>
      <c r="CQ32" s="5">
        <f t="shared" si="41"/>
        <v>1876.2449196</v>
      </c>
      <c r="CR32" s="36">
        <f t="shared" si="42"/>
        <v>2587.7561597999998</v>
      </c>
      <c r="CS32" s="36">
        <f t="shared" si="94"/>
        <v>1382.5083995999998</v>
      </c>
      <c r="CT32" s="5"/>
      <c r="CU32" s="36"/>
      <c r="CV32" s="36">
        <f t="shared" si="43"/>
        <v>998.8699938000001</v>
      </c>
      <c r="CW32" s="5">
        <f t="shared" si="44"/>
        <v>998.8699938000001</v>
      </c>
      <c r="CX32" s="36">
        <f t="shared" si="45"/>
        <v>1377.6623469</v>
      </c>
      <c r="CY32" s="36">
        <f t="shared" si="95"/>
        <v>736.0159338000001</v>
      </c>
      <c r="CZ32" s="5"/>
      <c r="DA32" s="5"/>
      <c r="DB32" s="36">
        <f t="shared" si="46"/>
        <v>3254.8479924</v>
      </c>
      <c r="DC32" s="36">
        <f t="shared" si="47"/>
        <v>3254.8479924</v>
      </c>
      <c r="DD32" s="36">
        <f t="shared" si="48"/>
        <v>4489.1542962</v>
      </c>
      <c r="DE32" s="36">
        <f t="shared" si="96"/>
        <v>2398.3301124</v>
      </c>
      <c r="DF32" s="5"/>
      <c r="DG32" s="5"/>
      <c r="DH32" s="36">
        <f t="shared" si="49"/>
        <v>28650.8059182</v>
      </c>
      <c r="DI32" s="36">
        <f t="shared" si="50"/>
        <v>28650.8059182</v>
      </c>
      <c r="DJ32" s="36">
        <f t="shared" si="51"/>
        <v>39515.7896091</v>
      </c>
      <c r="DK32" s="36">
        <f t="shared" si="97"/>
        <v>21111.3055782</v>
      </c>
      <c r="DL32" s="5"/>
      <c r="DM32" s="36"/>
      <c r="DN32" s="36">
        <f t="shared" si="52"/>
        <v>59316.8441862</v>
      </c>
      <c r="DO32" s="5">
        <f t="shared" si="53"/>
        <v>59316.8441862</v>
      </c>
      <c r="DP32" s="36">
        <f t="shared" si="54"/>
        <v>81811.0297431</v>
      </c>
      <c r="DQ32" s="36">
        <f t="shared" si="98"/>
        <v>43707.532246200004</v>
      </c>
      <c r="DR32" s="5"/>
      <c r="DS32" s="5"/>
      <c r="DT32" s="5">
        <f t="shared" si="55"/>
        <v>2632.6127094000003</v>
      </c>
      <c r="DU32" s="5">
        <f t="shared" si="56"/>
        <v>2632.6127094000003</v>
      </c>
      <c r="DV32" s="36">
        <f t="shared" si="57"/>
        <v>3630.9544047000004</v>
      </c>
      <c r="DW32" s="36">
        <f t="shared" si="99"/>
        <v>1939.8369294000001</v>
      </c>
      <c r="DX32" s="5"/>
      <c r="DY32" s="36"/>
      <c r="DZ32" s="36">
        <f t="shared" si="58"/>
        <v>2920.1510369999996</v>
      </c>
      <c r="EA32" s="5">
        <f t="shared" si="59"/>
        <v>2920.1510369999996</v>
      </c>
      <c r="EB32" s="36">
        <f t="shared" si="60"/>
        <v>4027.5332685</v>
      </c>
      <c r="EC32" s="36">
        <f t="shared" si="100"/>
        <v>2151.709137</v>
      </c>
      <c r="ED32" s="5"/>
      <c r="EE32" s="36"/>
      <c r="EF32" s="36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</row>
    <row r="33" spans="1:153" ht="12.75">
      <c r="A33" s="37">
        <v>46844</v>
      </c>
      <c r="C33" s="3">
        <v>7420000</v>
      </c>
      <c r="D33" s="3">
        <v>243966</v>
      </c>
      <c r="E33" s="35">
        <f t="shared" si="0"/>
        <v>7663966</v>
      </c>
      <c r="F33" s="35">
        <v>336483</v>
      </c>
      <c r="G33" s="35">
        <v>179766</v>
      </c>
      <c r="I33" s="36">
        <f>'2016B Academic'!I33</f>
        <v>1118357.2400000002</v>
      </c>
      <c r="J33" s="36">
        <f>'2016B Academic'!J33</f>
        <v>36771.043452000005</v>
      </c>
      <c r="K33" s="36">
        <f t="shared" si="61"/>
        <v>1155128.2834520002</v>
      </c>
      <c r="L33" s="36">
        <f>'2016B Academic'!L33</f>
        <v>50715.390726000005</v>
      </c>
      <c r="M33" s="36">
        <f>'2016B Academic'!M33</f>
        <v>27094.691052000002</v>
      </c>
      <c r="O33" s="36">
        <f t="shared" si="62"/>
        <v>6301642.76</v>
      </c>
      <c r="P33" s="35">
        <f t="shared" si="1"/>
        <v>207194.956548</v>
      </c>
      <c r="Q33" s="5">
        <f t="shared" si="2"/>
        <v>6508837.7165479995</v>
      </c>
      <c r="R33" s="35">
        <f t="shared" si="3"/>
        <v>285767.609274</v>
      </c>
      <c r="S33" s="35">
        <f t="shared" si="3"/>
        <v>152671.308948</v>
      </c>
      <c r="U33" s="36">
        <f t="shared" si="63"/>
        <v>284409.342</v>
      </c>
      <c r="V33" s="36">
        <f t="shared" si="4"/>
        <v>9351.2411766</v>
      </c>
      <c r="W33" s="5">
        <f t="shared" si="5"/>
        <v>293760.5831766</v>
      </c>
      <c r="X33" s="36">
        <f t="shared" si="6"/>
        <v>12897.4270383</v>
      </c>
      <c r="Y33" s="36">
        <f t="shared" si="82"/>
        <v>6890.4487566</v>
      </c>
      <c r="AA33" s="5">
        <f t="shared" si="64"/>
        <v>515361.29399999994</v>
      </c>
      <c r="AB33" s="36">
        <f t="shared" si="7"/>
        <v>16944.829306199998</v>
      </c>
      <c r="AC33" s="36">
        <f t="shared" si="8"/>
        <v>532306.1233061999</v>
      </c>
      <c r="AD33" s="36">
        <f t="shared" si="9"/>
        <v>23370.662303099998</v>
      </c>
      <c r="AE33" s="36">
        <f t="shared" si="83"/>
        <v>12485.7733662</v>
      </c>
      <c r="AG33" s="5">
        <f t="shared" si="65"/>
        <v>415261.04199999996</v>
      </c>
      <c r="AH33" s="5">
        <f t="shared" si="10"/>
        <v>13653.5815866</v>
      </c>
      <c r="AI33" s="5">
        <f t="shared" si="11"/>
        <v>428914.62358659995</v>
      </c>
      <c r="AJ33" s="36">
        <f t="shared" si="12"/>
        <v>18831.3047433</v>
      </c>
      <c r="AK33" s="36">
        <f t="shared" si="84"/>
        <v>10060.6221666</v>
      </c>
      <c r="AM33" s="5">
        <f t="shared" si="66"/>
        <v>493496.77999999997</v>
      </c>
      <c r="AN33" s="5">
        <f t="shared" si="13"/>
        <v>16225.934694</v>
      </c>
      <c r="AO33" s="5">
        <f t="shared" si="14"/>
        <v>509722.71469399997</v>
      </c>
      <c r="AP33" s="36">
        <f t="shared" si="15"/>
        <v>22379.147847</v>
      </c>
      <c r="AQ33" s="36">
        <f t="shared" si="85"/>
        <v>11956.056894</v>
      </c>
      <c r="AS33" s="36">
        <f t="shared" si="67"/>
        <v>29476.692</v>
      </c>
      <c r="AT33" s="36">
        <f t="shared" si="16"/>
        <v>969.1793316</v>
      </c>
      <c r="AU33" s="5">
        <f t="shared" si="17"/>
        <v>30445.8713316</v>
      </c>
      <c r="AV33" s="36">
        <f t="shared" si="18"/>
        <v>1336.7123657999998</v>
      </c>
      <c r="AW33" s="36">
        <f t="shared" si="86"/>
        <v>714.1384115999999</v>
      </c>
      <c r="AY33" s="36">
        <f t="shared" si="68"/>
        <v>2653.3920000000003</v>
      </c>
      <c r="AZ33" s="36">
        <f t="shared" si="19"/>
        <v>87.2422416</v>
      </c>
      <c r="BA33" s="5">
        <f t="shared" si="20"/>
        <v>2740.6342416</v>
      </c>
      <c r="BB33" s="36">
        <f t="shared" si="21"/>
        <v>120.3263208</v>
      </c>
      <c r="BC33" s="36">
        <f t="shared" si="87"/>
        <v>64.2843216</v>
      </c>
      <c r="BD33" s="5"/>
      <c r="BE33" s="36">
        <f t="shared" si="69"/>
        <v>542888.752</v>
      </c>
      <c r="BF33" s="36">
        <f t="shared" si="22"/>
        <v>17849.9187696</v>
      </c>
      <c r="BG33" s="5">
        <f t="shared" si="23"/>
        <v>560738.6707696</v>
      </c>
      <c r="BH33" s="36">
        <f t="shared" si="24"/>
        <v>24618.9805848</v>
      </c>
      <c r="BI33" s="36">
        <f t="shared" si="88"/>
        <v>13152.6872496</v>
      </c>
      <c r="BJ33" s="5"/>
      <c r="BK33" s="36">
        <f t="shared" si="70"/>
        <v>19.292</v>
      </c>
      <c r="BL33" s="36">
        <f t="shared" si="25"/>
        <v>0.6343116</v>
      </c>
      <c r="BM33" s="5">
        <f t="shared" si="26"/>
        <v>19.926311600000002</v>
      </c>
      <c r="BN33" s="36">
        <f t="shared" si="27"/>
        <v>0.8748558000000001</v>
      </c>
      <c r="BO33" s="36">
        <f t="shared" si="89"/>
        <v>0.4673916</v>
      </c>
      <c r="BP33" s="5"/>
      <c r="BQ33" s="36">
        <f t="shared" si="71"/>
        <v>693436.1</v>
      </c>
      <c r="BR33" s="36">
        <f t="shared" si="28"/>
        <v>22799.842529999998</v>
      </c>
      <c r="BS33" s="5">
        <f t="shared" si="29"/>
        <v>716235.94253</v>
      </c>
      <c r="BT33" s="36">
        <f t="shared" si="30"/>
        <v>31446.018764999997</v>
      </c>
      <c r="BU33" s="36">
        <f t="shared" si="90"/>
        <v>16800.03153</v>
      </c>
      <c r="BV33" s="5"/>
      <c r="BW33" s="36">
        <f t="shared" si="72"/>
        <v>1636.11</v>
      </c>
      <c r="BX33" s="36">
        <f t="shared" si="31"/>
        <v>53.794503</v>
      </c>
      <c r="BY33" s="5">
        <f t="shared" si="32"/>
        <v>1689.904503</v>
      </c>
      <c r="BZ33" s="36">
        <f t="shared" si="33"/>
        <v>74.1945015</v>
      </c>
      <c r="CA33" s="36">
        <f t="shared" si="91"/>
        <v>39.638403</v>
      </c>
      <c r="CB33" s="5"/>
      <c r="CC33" s="36">
        <f t="shared" si="73"/>
        <v>290762.346</v>
      </c>
      <c r="CD33" s="36">
        <f t="shared" si="34"/>
        <v>9560.1248658</v>
      </c>
      <c r="CE33" s="5">
        <f t="shared" si="35"/>
        <v>300322.47086580005</v>
      </c>
      <c r="CF33" s="36">
        <f t="shared" si="36"/>
        <v>13185.5237829</v>
      </c>
      <c r="CG33" s="36">
        <f t="shared" si="92"/>
        <v>7044.3644058</v>
      </c>
      <c r="CH33" s="5"/>
      <c r="CI33" s="5">
        <f t="shared" si="74"/>
        <v>1467.6760000000002</v>
      </c>
      <c r="CJ33" s="5">
        <f t="shared" si="37"/>
        <v>48.2564748</v>
      </c>
      <c r="CK33" s="5">
        <f t="shared" si="38"/>
        <v>1515.9324748000001</v>
      </c>
      <c r="CL33" s="36">
        <f t="shared" si="39"/>
        <v>66.5563374</v>
      </c>
      <c r="CM33" s="36">
        <f t="shared" si="93"/>
        <v>35.5577148</v>
      </c>
      <c r="CN33" s="5"/>
      <c r="CO33" s="36">
        <f t="shared" si="75"/>
        <v>57064.252</v>
      </c>
      <c r="CP33" s="36">
        <f t="shared" si="40"/>
        <v>1876.2449196</v>
      </c>
      <c r="CQ33" s="5">
        <f t="shared" si="41"/>
        <v>58940.4969196</v>
      </c>
      <c r="CR33" s="36">
        <f t="shared" si="42"/>
        <v>2587.7561597999998</v>
      </c>
      <c r="CS33" s="36">
        <f t="shared" si="94"/>
        <v>1382.5083995999998</v>
      </c>
      <c r="CT33" s="5"/>
      <c r="CU33" s="36">
        <f t="shared" si="76"/>
        <v>30379.706000000002</v>
      </c>
      <c r="CV33" s="36">
        <f t="shared" si="43"/>
        <v>998.8699938000001</v>
      </c>
      <c r="CW33" s="5">
        <f t="shared" si="44"/>
        <v>31378.5759938</v>
      </c>
      <c r="CX33" s="36">
        <f t="shared" si="45"/>
        <v>1377.6623469</v>
      </c>
      <c r="CY33" s="36">
        <f t="shared" si="95"/>
        <v>736.0159338000001</v>
      </c>
      <c r="CZ33" s="5"/>
      <c r="DA33" s="5">
        <f t="shared" si="77"/>
        <v>98993.188</v>
      </c>
      <c r="DB33" s="36">
        <f t="shared" si="46"/>
        <v>3254.8479924</v>
      </c>
      <c r="DC33" s="36">
        <f t="shared" si="47"/>
        <v>102248.0359924</v>
      </c>
      <c r="DD33" s="36">
        <f t="shared" si="48"/>
        <v>4489.1542962</v>
      </c>
      <c r="DE33" s="36">
        <f t="shared" si="96"/>
        <v>2398.3301124</v>
      </c>
      <c r="DF33" s="5"/>
      <c r="DG33" s="5">
        <f t="shared" si="78"/>
        <v>871387.734</v>
      </c>
      <c r="DH33" s="36">
        <f t="shared" si="49"/>
        <v>28650.8059182</v>
      </c>
      <c r="DI33" s="36">
        <f t="shared" si="50"/>
        <v>900038.5399182001</v>
      </c>
      <c r="DJ33" s="36">
        <f t="shared" si="51"/>
        <v>39515.7896091</v>
      </c>
      <c r="DK33" s="36">
        <f t="shared" si="97"/>
        <v>21111.3055782</v>
      </c>
      <c r="DL33" s="5"/>
      <c r="DM33" s="36">
        <f t="shared" si="79"/>
        <v>1804066.894</v>
      </c>
      <c r="DN33" s="36">
        <f t="shared" si="52"/>
        <v>59316.8441862</v>
      </c>
      <c r="DO33" s="5">
        <f t="shared" si="53"/>
        <v>1863383.7381862001</v>
      </c>
      <c r="DP33" s="36">
        <f t="shared" si="54"/>
        <v>81811.0297431</v>
      </c>
      <c r="DQ33" s="36">
        <f t="shared" si="98"/>
        <v>43707.532246200004</v>
      </c>
      <c r="DR33" s="5"/>
      <c r="DS33" s="5">
        <f t="shared" si="80"/>
        <v>80068.478</v>
      </c>
      <c r="DT33" s="5">
        <f t="shared" si="55"/>
        <v>2632.6127094000003</v>
      </c>
      <c r="DU33" s="5">
        <f t="shared" si="56"/>
        <v>82701.0907094</v>
      </c>
      <c r="DV33" s="36">
        <f t="shared" si="57"/>
        <v>3630.9544047000004</v>
      </c>
      <c r="DW33" s="36">
        <f t="shared" si="99"/>
        <v>1939.8369294000001</v>
      </c>
      <c r="DX33" s="5"/>
      <c r="DY33" s="36">
        <f t="shared" si="81"/>
        <v>88813.68999999999</v>
      </c>
      <c r="DZ33" s="36">
        <f t="shared" si="58"/>
        <v>2920.1510369999996</v>
      </c>
      <c r="EA33" s="5">
        <f t="shared" si="59"/>
        <v>91733.84103699999</v>
      </c>
      <c r="EB33" s="36">
        <f t="shared" si="60"/>
        <v>4027.5332685</v>
      </c>
      <c r="EC33" s="36">
        <f t="shared" si="100"/>
        <v>2151.709137</v>
      </c>
      <c r="ED33" s="5"/>
      <c r="EE33" s="36"/>
      <c r="EF33" s="36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1:153" ht="12.75">
      <c r="A34" s="37">
        <v>47027</v>
      </c>
      <c r="D34" s="3">
        <v>95566</v>
      </c>
      <c r="E34" s="35">
        <f t="shared" si="0"/>
        <v>95566</v>
      </c>
      <c r="F34" s="35">
        <v>336483</v>
      </c>
      <c r="G34" s="35">
        <v>179766</v>
      </c>
      <c r="I34" s="36"/>
      <c r="J34" s="36">
        <f>'2016B Academic'!J34</f>
        <v>14403.898651999998</v>
      </c>
      <c r="K34" s="36">
        <f t="shared" si="61"/>
        <v>14403.898651999998</v>
      </c>
      <c r="L34" s="36">
        <f>'2016B Academic'!L34</f>
        <v>50715.390726000005</v>
      </c>
      <c r="M34" s="36">
        <f>'2016B Academic'!M34</f>
        <v>27094.691052000002</v>
      </c>
      <c r="O34" s="36"/>
      <c r="P34" s="35">
        <f t="shared" si="1"/>
        <v>81162.101348</v>
      </c>
      <c r="Q34" s="5">
        <f t="shared" si="2"/>
        <v>81162.101348</v>
      </c>
      <c r="R34" s="35">
        <f t="shared" si="3"/>
        <v>285767.609274</v>
      </c>
      <c r="S34" s="35">
        <f t="shared" si="3"/>
        <v>152671.308948</v>
      </c>
      <c r="U34" s="36"/>
      <c r="V34" s="36">
        <f t="shared" si="4"/>
        <v>3663.0543365999997</v>
      </c>
      <c r="W34" s="5">
        <f t="shared" si="5"/>
        <v>3663.0543365999997</v>
      </c>
      <c r="X34" s="36">
        <f t="shared" si="6"/>
        <v>12897.4270383</v>
      </c>
      <c r="Y34" s="36">
        <f t="shared" si="82"/>
        <v>6890.4487566</v>
      </c>
      <c r="AB34" s="36">
        <f t="shared" si="7"/>
        <v>6637.603426199999</v>
      </c>
      <c r="AC34" s="36">
        <f t="shared" si="8"/>
        <v>6637.603426199999</v>
      </c>
      <c r="AD34" s="36">
        <f t="shared" si="9"/>
        <v>23370.662303099998</v>
      </c>
      <c r="AE34" s="36">
        <f t="shared" si="83"/>
        <v>12485.7733662</v>
      </c>
      <c r="AH34" s="5">
        <f t="shared" si="10"/>
        <v>5348.360746599999</v>
      </c>
      <c r="AI34" s="5">
        <f t="shared" si="11"/>
        <v>5348.360746599999</v>
      </c>
      <c r="AJ34" s="36">
        <f t="shared" si="12"/>
        <v>18831.3047433</v>
      </c>
      <c r="AK34" s="36">
        <f t="shared" si="84"/>
        <v>10060.6221666</v>
      </c>
      <c r="AN34" s="5">
        <f t="shared" si="13"/>
        <v>6355.999094</v>
      </c>
      <c r="AO34" s="5">
        <f t="shared" si="14"/>
        <v>6355.999094</v>
      </c>
      <c r="AP34" s="36">
        <f t="shared" si="15"/>
        <v>22379.147847</v>
      </c>
      <c r="AQ34" s="36">
        <f t="shared" si="85"/>
        <v>11956.056894</v>
      </c>
      <c r="AS34" s="36"/>
      <c r="AT34" s="36">
        <f t="shared" si="16"/>
        <v>379.64549159999996</v>
      </c>
      <c r="AU34" s="5">
        <f t="shared" si="17"/>
        <v>379.64549159999996</v>
      </c>
      <c r="AV34" s="36">
        <f t="shared" si="18"/>
        <v>1336.7123657999998</v>
      </c>
      <c r="AW34" s="36">
        <f t="shared" si="86"/>
        <v>714.1384115999999</v>
      </c>
      <c r="AY34" s="36"/>
      <c r="AZ34" s="36">
        <f t="shared" si="19"/>
        <v>34.1744016</v>
      </c>
      <c r="BA34" s="5">
        <f t="shared" si="20"/>
        <v>34.1744016</v>
      </c>
      <c r="BB34" s="36">
        <f t="shared" si="21"/>
        <v>120.3263208</v>
      </c>
      <c r="BC34" s="36">
        <f t="shared" si="87"/>
        <v>64.2843216</v>
      </c>
      <c r="BD34" s="5"/>
      <c r="BE34" s="36"/>
      <c r="BF34" s="36">
        <f t="shared" si="22"/>
        <v>6992.1437295999995</v>
      </c>
      <c r="BG34" s="5">
        <f t="shared" si="23"/>
        <v>6992.1437295999995</v>
      </c>
      <c r="BH34" s="36">
        <f t="shared" si="24"/>
        <v>24618.9805848</v>
      </c>
      <c r="BI34" s="36">
        <f t="shared" si="88"/>
        <v>13152.6872496</v>
      </c>
      <c r="BJ34" s="5"/>
      <c r="BK34" s="36"/>
      <c r="BL34" s="36">
        <f t="shared" si="25"/>
        <v>0.24847160000000001</v>
      </c>
      <c r="BM34" s="5">
        <f t="shared" si="26"/>
        <v>0.24847160000000001</v>
      </c>
      <c r="BN34" s="36">
        <f t="shared" si="27"/>
        <v>0.8748558000000001</v>
      </c>
      <c r="BO34" s="36">
        <f t="shared" si="89"/>
        <v>0.4673916</v>
      </c>
      <c r="BP34" s="5"/>
      <c r="BQ34" s="36"/>
      <c r="BR34" s="36">
        <f t="shared" si="28"/>
        <v>8931.12053</v>
      </c>
      <c r="BS34" s="5">
        <f t="shared" si="29"/>
        <v>8931.12053</v>
      </c>
      <c r="BT34" s="36">
        <f t="shared" si="30"/>
        <v>31446.018764999997</v>
      </c>
      <c r="BU34" s="36">
        <f t="shared" si="90"/>
        <v>16800.03153</v>
      </c>
      <c r="BV34" s="5"/>
      <c r="BW34" s="36"/>
      <c r="BX34" s="36">
        <f t="shared" si="31"/>
        <v>21.072302999999998</v>
      </c>
      <c r="BY34" s="5">
        <f t="shared" si="32"/>
        <v>21.072302999999998</v>
      </c>
      <c r="BZ34" s="36">
        <f t="shared" si="33"/>
        <v>74.1945015</v>
      </c>
      <c r="CA34" s="36">
        <f t="shared" si="91"/>
        <v>39.638403</v>
      </c>
      <c r="CB34" s="5"/>
      <c r="CC34" s="36"/>
      <c r="CD34" s="36">
        <f t="shared" si="34"/>
        <v>3744.8779458</v>
      </c>
      <c r="CE34" s="5">
        <f t="shared" si="35"/>
        <v>3744.8779458</v>
      </c>
      <c r="CF34" s="36">
        <f t="shared" si="36"/>
        <v>13185.5237829</v>
      </c>
      <c r="CG34" s="36">
        <f t="shared" si="92"/>
        <v>7044.3644058</v>
      </c>
      <c r="CH34" s="5"/>
      <c r="CI34" s="5"/>
      <c r="CJ34" s="5">
        <f t="shared" si="37"/>
        <v>18.9029548</v>
      </c>
      <c r="CK34" s="5">
        <f t="shared" si="38"/>
        <v>18.9029548</v>
      </c>
      <c r="CL34" s="36">
        <f t="shared" si="39"/>
        <v>66.5563374</v>
      </c>
      <c r="CM34" s="36">
        <f t="shared" si="93"/>
        <v>35.5577148</v>
      </c>
      <c r="CN34" s="5"/>
      <c r="CO34" s="36"/>
      <c r="CP34" s="36">
        <f t="shared" si="40"/>
        <v>734.9598796</v>
      </c>
      <c r="CQ34" s="5">
        <f t="shared" si="41"/>
        <v>734.9598796</v>
      </c>
      <c r="CR34" s="36">
        <f t="shared" si="42"/>
        <v>2587.7561597999998</v>
      </c>
      <c r="CS34" s="36">
        <f t="shared" si="94"/>
        <v>1382.5083995999998</v>
      </c>
      <c r="CT34" s="5"/>
      <c r="CU34" s="36"/>
      <c r="CV34" s="36">
        <f t="shared" si="43"/>
        <v>391.27587380000006</v>
      </c>
      <c r="CW34" s="5">
        <f t="shared" si="44"/>
        <v>391.27587380000006</v>
      </c>
      <c r="CX34" s="36">
        <f t="shared" si="45"/>
        <v>1377.6623469</v>
      </c>
      <c r="CY34" s="36">
        <f t="shared" si="95"/>
        <v>736.0159338000001</v>
      </c>
      <c r="CZ34" s="5"/>
      <c r="DA34" s="5"/>
      <c r="DB34" s="36">
        <f t="shared" si="46"/>
        <v>1274.9842323999999</v>
      </c>
      <c r="DC34" s="36">
        <f t="shared" si="47"/>
        <v>1274.9842323999999</v>
      </c>
      <c r="DD34" s="36">
        <f t="shared" si="48"/>
        <v>4489.1542962</v>
      </c>
      <c r="DE34" s="36">
        <f t="shared" si="96"/>
        <v>2398.3301124</v>
      </c>
      <c r="DF34" s="5"/>
      <c r="DG34" s="5"/>
      <c r="DH34" s="36">
        <f t="shared" si="49"/>
        <v>11223.0512382</v>
      </c>
      <c r="DI34" s="36">
        <f t="shared" si="50"/>
        <v>11223.0512382</v>
      </c>
      <c r="DJ34" s="36">
        <f t="shared" si="51"/>
        <v>39515.7896091</v>
      </c>
      <c r="DK34" s="36">
        <f t="shared" si="97"/>
        <v>21111.3055782</v>
      </c>
      <c r="DL34" s="5"/>
      <c r="DM34" s="36"/>
      <c r="DN34" s="36">
        <f t="shared" si="52"/>
        <v>23235.5063062</v>
      </c>
      <c r="DO34" s="5">
        <f t="shared" si="53"/>
        <v>23235.5063062</v>
      </c>
      <c r="DP34" s="36">
        <f t="shared" si="54"/>
        <v>81811.0297431</v>
      </c>
      <c r="DQ34" s="36">
        <f t="shared" si="98"/>
        <v>43707.532246200004</v>
      </c>
      <c r="DR34" s="5"/>
      <c r="DS34" s="5"/>
      <c r="DT34" s="5">
        <f t="shared" si="55"/>
        <v>1031.2431494</v>
      </c>
      <c r="DU34" s="5">
        <f t="shared" si="56"/>
        <v>1031.2431494</v>
      </c>
      <c r="DV34" s="36">
        <f t="shared" si="57"/>
        <v>3630.9544047000004</v>
      </c>
      <c r="DW34" s="36">
        <f t="shared" si="99"/>
        <v>1939.8369294000001</v>
      </c>
      <c r="DX34" s="5"/>
      <c r="DY34" s="36"/>
      <c r="DZ34" s="36">
        <f t="shared" si="58"/>
        <v>1143.877237</v>
      </c>
      <c r="EA34" s="5">
        <f t="shared" si="59"/>
        <v>1143.877237</v>
      </c>
      <c r="EB34" s="36">
        <f t="shared" si="60"/>
        <v>4027.5332685</v>
      </c>
      <c r="EC34" s="36">
        <f t="shared" si="100"/>
        <v>2151.709137</v>
      </c>
      <c r="ED34" s="5"/>
      <c r="EE34" s="36"/>
      <c r="EF34" s="36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</row>
    <row r="35" spans="1:153" ht="12.75">
      <c r="A35" s="37">
        <v>47209</v>
      </c>
      <c r="C35" s="3">
        <v>10000</v>
      </c>
      <c r="D35" s="3">
        <v>95566</v>
      </c>
      <c r="E35" s="35">
        <f t="shared" si="0"/>
        <v>105566</v>
      </c>
      <c r="F35" s="35">
        <v>336483</v>
      </c>
      <c r="G35" s="35">
        <v>179766</v>
      </c>
      <c r="I35" s="36">
        <f>'2016B Academic'!I35</f>
        <v>1507.2199999999998</v>
      </c>
      <c r="J35" s="36">
        <f>'2016B Academic'!J35</f>
        <v>14403.898651999998</v>
      </c>
      <c r="K35" s="36">
        <f t="shared" si="61"/>
        <v>15911.118651999997</v>
      </c>
      <c r="L35" s="36">
        <f>'2016B Academic'!L35</f>
        <v>50715.390726000005</v>
      </c>
      <c r="M35" s="36">
        <f>'2016B Academic'!M35</f>
        <v>27094.691052000002</v>
      </c>
      <c r="O35" s="36">
        <f t="shared" si="62"/>
        <v>8492.779999999999</v>
      </c>
      <c r="P35" s="35">
        <f t="shared" si="1"/>
        <v>81162.101348</v>
      </c>
      <c r="Q35" s="5">
        <f t="shared" si="2"/>
        <v>89654.881348</v>
      </c>
      <c r="R35" s="35">
        <f t="shared" si="3"/>
        <v>285767.609274</v>
      </c>
      <c r="S35" s="35">
        <f t="shared" si="3"/>
        <v>152671.308948</v>
      </c>
      <c r="U35" s="36">
        <f t="shared" si="63"/>
        <v>383.301</v>
      </c>
      <c r="V35" s="36">
        <f t="shared" si="4"/>
        <v>3663.0543365999997</v>
      </c>
      <c r="W35" s="5">
        <f t="shared" si="5"/>
        <v>4046.3553365999996</v>
      </c>
      <c r="X35" s="36">
        <f t="shared" si="6"/>
        <v>12897.4270383</v>
      </c>
      <c r="Y35" s="36">
        <f t="shared" si="82"/>
        <v>6890.4487566</v>
      </c>
      <c r="AA35" s="5">
        <f t="shared" si="64"/>
        <v>694.5569999999999</v>
      </c>
      <c r="AB35" s="36">
        <f t="shared" si="7"/>
        <v>6637.603426199999</v>
      </c>
      <c r="AC35" s="36">
        <f t="shared" si="8"/>
        <v>7332.160426199999</v>
      </c>
      <c r="AD35" s="36">
        <f t="shared" si="9"/>
        <v>23370.662303099998</v>
      </c>
      <c r="AE35" s="36">
        <f t="shared" si="83"/>
        <v>12485.7733662</v>
      </c>
      <c r="AG35" s="5">
        <f t="shared" si="65"/>
        <v>559.651</v>
      </c>
      <c r="AH35" s="5">
        <f t="shared" si="10"/>
        <v>5348.360746599999</v>
      </c>
      <c r="AI35" s="5">
        <f t="shared" si="11"/>
        <v>5908.011746599999</v>
      </c>
      <c r="AJ35" s="36">
        <f t="shared" si="12"/>
        <v>18831.3047433</v>
      </c>
      <c r="AK35" s="36">
        <f t="shared" si="84"/>
        <v>10060.6221666</v>
      </c>
      <c r="AM35" s="5">
        <f t="shared" si="66"/>
        <v>665.09</v>
      </c>
      <c r="AN35" s="5">
        <f t="shared" si="13"/>
        <v>6355.999094</v>
      </c>
      <c r="AO35" s="5">
        <f t="shared" si="14"/>
        <v>7021.089094</v>
      </c>
      <c r="AP35" s="36">
        <f t="shared" si="15"/>
        <v>22379.147847</v>
      </c>
      <c r="AQ35" s="36">
        <f t="shared" si="85"/>
        <v>11956.056894</v>
      </c>
      <c r="AS35" s="36">
        <f t="shared" si="67"/>
        <v>39.726</v>
      </c>
      <c r="AT35" s="36">
        <f t="shared" si="16"/>
        <v>379.64549159999996</v>
      </c>
      <c r="AU35" s="5">
        <f t="shared" si="17"/>
        <v>419.37149159999996</v>
      </c>
      <c r="AV35" s="36">
        <f t="shared" si="18"/>
        <v>1336.7123657999998</v>
      </c>
      <c r="AW35" s="36">
        <f t="shared" si="86"/>
        <v>714.1384115999999</v>
      </c>
      <c r="AY35" s="36">
        <f t="shared" si="68"/>
        <v>3.576</v>
      </c>
      <c r="AZ35" s="36">
        <f t="shared" si="19"/>
        <v>34.1744016</v>
      </c>
      <c r="BA35" s="5">
        <f t="shared" si="20"/>
        <v>37.750401600000004</v>
      </c>
      <c r="BB35" s="36">
        <f t="shared" si="21"/>
        <v>120.3263208</v>
      </c>
      <c r="BC35" s="36">
        <f t="shared" si="87"/>
        <v>64.2843216</v>
      </c>
      <c r="BD35" s="5"/>
      <c r="BE35" s="36">
        <f t="shared" si="69"/>
        <v>731.656</v>
      </c>
      <c r="BF35" s="36">
        <f t="shared" si="22"/>
        <v>6992.1437295999995</v>
      </c>
      <c r="BG35" s="5">
        <f t="shared" si="23"/>
        <v>7723.799729599999</v>
      </c>
      <c r="BH35" s="36">
        <f t="shared" si="24"/>
        <v>24618.9805848</v>
      </c>
      <c r="BI35" s="36">
        <f t="shared" si="88"/>
        <v>13152.6872496</v>
      </c>
      <c r="BJ35" s="5"/>
      <c r="BK35" s="36">
        <f t="shared" si="70"/>
        <v>0.026000000000000002</v>
      </c>
      <c r="BL35" s="36">
        <f t="shared" si="25"/>
        <v>0.24847160000000001</v>
      </c>
      <c r="BM35" s="5">
        <f t="shared" si="26"/>
        <v>0.27447160000000004</v>
      </c>
      <c r="BN35" s="36">
        <f t="shared" si="27"/>
        <v>0.8748558000000001</v>
      </c>
      <c r="BO35" s="36">
        <f t="shared" si="89"/>
        <v>0.4673916</v>
      </c>
      <c r="BP35" s="5"/>
      <c r="BQ35" s="36">
        <f t="shared" si="71"/>
        <v>934.55</v>
      </c>
      <c r="BR35" s="36">
        <f t="shared" si="28"/>
        <v>8931.12053</v>
      </c>
      <c r="BS35" s="5">
        <f t="shared" si="29"/>
        <v>9865.67053</v>
      </c>
      <c r="BT35" s="36">
        <f t="shared" si="30"/>
        <v>31446.018764999997</v>
      </c>
      <c r="BU35" s="36">
        <f t="shared" si="90"/>
        <v>16800.03153</v>
      </c>
      <c r="BV35" s="5"/>
      <c r="BW35" s="36">
        <f t="shared" si="72"/>
        <v>2.205</v>
      </c>
      <c r="BX35" s="36">
        <f t="shared" si="31"/>
        <v>21.072302999999998</v>
      </c>
      <c r="BY35" s="5">
        <f t="shared" si="32"/>
        <v>23.277302999999996</v>
      </c>
      <c r="BZ35" s="36">
        <f t="shared" si="33"/>
        <v>74.1945015</v>
      </c>
      <c r="CA35" s="36">
        <f t="shared" si="91"/>
        <v>39.638403</v>
      </c>
      <c r="CB35" s="5"/>
      <c r="CC35" s="36">
        <f t="shared" si="73"/>
        <v>391.863</v>
      </c>
      <c r="CD35" s="36">
        <f t="shared" si="34"/>
        <v>3744.8779458</v>
      </c>
      <c r="CE35" s="5">
        <f t="shared" si="35"/>
        <v>4136.7409458</v>
      </c>
      <c r="CF35" s="36">
        <f t="shared" si="36"/>
        <v>13185.5237829</v>
      </c>
      <c r="CG35" s="36">
        <f t="shared" si="92"/>
        <v>7044.3644058</v>
      </c>
      <c r="CH35" s="5"/>
      <c r="CI35" s="5">
        <f t="shared" si="74"/>
        <v>1.9780000000000002</v>
      </c>
      <c r="CJ35" s="5">
        <f t="shared" si="37"/>
        <v>18.9029548</v>
      </c>
      <c r="CK35" s="5">
        <f t="shared" si="38"/>
        <v>20.8809548</v>
      </c>
      <c r="CL35" s="36">
        <f t="shared" si="39"/>
        <v>66.5563374</v>
      </c>
      <c r="CM35" s="36">
        <f t="shared" si="93"/>
        <v>35.5577148</v>
      </c>
      <c r="CN35" s="5"/>
      <c r="CO35" s="36">
        <f t="shared" si="75"/>
        <v>76.90599999999999</v>
      </c>
      <c r="CP35" s="36">
        <f t="shared" si="40"/>
        <v>734.9598796</v>
      </c>
      <c r="CQ35" s="5">
        <f t="shared" si="41"/>
        <v>811.8658796</v>
      </c>
      <c r="CR35" s="36">
        <f t="shared" si="42"/>
        <v>2587.7561597999998</v>
      </c>
      <c r="CS35" s="36">
        <f t="shared" si="94"/>
        <v>1382.5083995999998</v>
      </c>
      <c r="CT35" s="5"/>
      <c r="CU35" s="36">
        <f t="shared" si="76"/>
        <v>40.943000000000005</v>
      </c>
      <c r="CV35" s="36">
        <f t="shared" si="43"/>
        <v>391.27587380000006</v>
      </c>
      <c r="CW35" s="5">
        <f t="shared" si="44"/>
        <v>432.21887380000004</v>
      </c>
      <c r="CX35" s="36">
        <f t="shared" si="45"/>
        <v>1377.6623469</v>
      </c>
      <c r="CY35" s="36">
        <f t="shared" si="95"/>
        <v>736.0159338000001</v>
      </c>
      <c r="CZ35" s="5"/>
      <c r="DA35" s="5">
        <f t="shared" si="77"/>
        <v>133.414</v>
      </c>
      <c r="DB35" s="36">
        <f t="shared" si="46"/>
        <v>1274.9842323999999</v>
      </c>
      <c r="DC35" s="36">
        <f t="shared" si="47"/>
        <v>1408.3982323999999</v>
      </c>
      <c r="DD35" s="36">
        <f t="shared" si="48"/>
        <v>4489.1542962</v>
      </c>
      <c r="DE35" s="36">
        <f t="shared" si="96"/>
        <v>2398.3301124</v>
      </c>
      <c r="DF35" s="5"/>
      <c r="DG35" s="5">
        <f t="shared" si="78"/>
        <v>1174.377</v>
      </c>
      <c r="DH35" s="36">
        <f t="shared" si="49"/>
        <v>11223.0512382</v>
      </c>
      <c r="DI35" s="36">
        <f t="shared" si="50"/>
        <v>12397.4282382</v>
      </c>
      <c r="DJ35" s="36">
        <f t="shared" si="51"/>
        <v>39515.7896091</v>
      </c>
      <c r="DK35" s="36">
        <f t="shared" si="97"/>
        <v>21111.3055782</v>
      </c>
      <c r="DL35" s="5"/>
      <c r="DM35" s="36">
        <f t="shared" si="79"/>
        <v>2431.357</v>
      </c>
      <c r="DN35" s="36">
        <f t="shared" si="52"/>
        <v>23235.5063062</v>
      </c>
      <c r="DO35" s="5">
        <f t="shared" si="53"/>
        <v>25666.8633062</v>
      </c>
      <c r="DP35" s="36">
        <f t="shared" si="54"/>
        <v>81811.0297431</v>
      </c>
      <c r="DQ35" s="36">
        <f t="shared" si="98"/>
        <v>43707.532246200004</v>
      </c>
      <c r="DR35" s="5"/>
      <c r="DS35" s="5">
        <f t="shared" si="80"/>
        <v>107.909</v>
      </c>
      <c r="DT35" s="5">
        <f t="shared" si="55"/>
        <v>1031.2431494</v>
      </c>
      <c r="DU35" s="5">
        <f t="shared" si="56"/>
        <v>1139.1521494</v>
      </c>
      <c r="DV35" s="36">
        <f t="shared" si="57"/>
        <v>3630.9544047000004</v>
      </c>
      <c r="DW35" s="36">
        <f t="shared" si="99"/>
        <v>1939.8369294000001</v>
      </c>
      <c r="DX35" s="5"/>
      <c r="DY35" s="36">
        <f t="shared" si="81"/>
        <v>119.695</v>
      </c>
      <c r="DZ35" s="36">
        <f t="shared" si="58"/>
        <v>1143.877237</v>
      </c>
      <c r="EA35" s="5">
        <f t="shared" si="59"/>
        <v>1263.5722369999999</v>
      </c>
      <c r="EB35" s="36">
        <f t="shared" si="60"/>
        <v>4027.5332685</v>
      </c>
      <c r="EC35" s="36">
        <f t="shared" si="100"/>
        <v>2151.709137</v>
      </c>
      <c r="ED35" s="5"/>
      <c r="EE35" s="36"/>
      <c r="EF35" s="36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</row>
    <row r="36" spans="1:153" ht="12.75">
      <c r="A36" s="37">
        <v>47392</v>
      </c>
      <c r="D36" s="3">
        <v>95416</v>
      </c>
      <c r="E36" s="35">
        <f t="shared" si="0"/>
        <v>95416</v>
      </c>
      <c r="F36" s="35">
        <v>336483</v>
      </c>
      <c r="G36" s="35">
        <v>179766</v>
      </c>
      <c r="I36" s="36"/>
      <c r="J36" s="36">
        <f>'2016B Academic'!J36</f>
        <v>14381.290351999998</v>
      </c>
      <c r="K36" s="36">
        <f t="shared" si="61"/>
        <v>14381.290351999998</v>
      </c>
      <c r="L36" s="36">
        <f>'2016B Academic'!L36</f>
        <v>50715.390726000005</v>
      </c>
      <c r="M36" s="36">
        <f>'2016B Academic'!M36</f>
        <v>27094.691052000002</v>
      </c>
      <c r="O36" s="36"/>
      <c r="P36" s="35">
        <f t="shared" si="1"/>
        <v>81034.70964799999</v>
      </c>
      <c r="Q36" s="5">
        <f t="shared" si="2"/>
        <v>81034.70964799999</v>
      </c>
      <c r="R36" s="35">
        <f t="shared" si="3"/>
        <v>285767.609274</v>
      </c>
      <c r="S36" s="35">
        <f t="shared" si="3"/>
        <v>152671.308948</v>
      </c>
      <c r="U36" s="36"/>
      <c r="V36" s="36">
        <f t="shared" si="4"/>
        <v>3657.3048215999997</v>
      </c>
      <c r="W36" s="5">
        <f t="shared" si="5"/>
        <v>3657.3048215999997</v>
      </c>
      <c r="X36" s="36">
        <f t="shared" si="6"/>
        <v>12897.4270383</v>
      </c>
      <c r="Y36" s="36">
        <f t="shared" si="82"/>
        <v>6890.4487566</v>
      </c>
      <c r="AB36" s="36">
        <f t="shared" si="7"/>
        <v>6627.1850712</v>
      </c>
      <c r="AC36" s="36">
        <f t="shared" si="8"/>
        <v>6627.1850712</v>
      </c>
      <c r="AD36" s="36">
        <f t="shared" si="9"/>
        <v>23370.662303099998</v>
      </c>
      <c r="AE36" s="36">
        <f t="shared" si="83"/>
        <v>12485.7733662</v>
      </c>
      <c r="AH36" s="5">
        <f t="shared" si="10"/>
        <v>5339.965981599999</v>
      </c>
      <c r="AI36" s="5">
        <f t="shared" si="11"/>
        <v>5339.965981599999</v>
      </c>
      <c r="AJ36" s="36">
        <f t="shared" si="12"/>
        <v>18831.3047433</v>
      </c>
      <c r="AK36" s="36">
        <f t="shared" si="84"/>
        <v>10060.6221666</v>
      </c>
      <c r="AN36" s="5">
        <f t="shared" si="13"/>
        <v>6346.022744</v>
      </c>
      <c r="AO36" s="5">
        <f t="shared" si="14"/>
        <v>6346.022744</v>
      </c>
      <c r="AP36" s="36">
        <f t="shared" si="15"/>
        <v>22379.147847</v>
      </c>
      <c r="AQ36" s="36">
        <f t="shared" si="85"/>
        <v>11956.056894</v>
      </c>
      <c r="AS36" s="36"/>
      <c r="AT36" s="36">
        <f t="shared" si="16"/>
        <v>379.04960159999996</v>
      </c>
      <c r="AU36" s="5">
        <f t="shared" si="17"/>
        <v>379.04960159999996</v>
      </c>
      <c r="AV36" s="36">
        <f t="shared" si="18"/>
        <v>1336.7123657999998</v>
      </c>
      <c r="AW36" s="36">
        <f t="shared" si="86"/>
        <v>714.1384115999999</v>
      </c>
      <c r="AY36" s="36"/>
      <c r="AZ36" s="36">
        <f t="shared" si="19"/>
        <v>34.1207616</v>
      </c>
      <c r="BA36" s="5">
        <f t="shared" si="20"/>
        <v>34.1207616</v>
      </c>
      <c r="BB36" s="36">
        <f t="shared" si="21"/>
        <v>120.3263208</v>
      </c>
      <c r="BC36" s="36">
        <f t="shared" si="87"/>
        <v>64.2843216</v>
      </c>
      <c r="BD36" s="5"/>
      <c r="BE36" s="36"/>
      <c r="BF36" s="36">
        <f t="shared" si="22"/>
        <v>6981.1688896</v>
      </c>
      <c r="BG36" s="5">
        <f t="shared" si="23"/>
        <v>6981.1688896</v>
      </c>
      <c r="BH36" s="36">
        <f t="shared" si="24"/>
        <v>24618.9805848</v>
      </c>
      <c r="BI36" s="36">
        <f t="shared" si="88"/>
        <v>13152.6872496</v>
      </c>
      <c r="BJ36" s="5"/>
      <c r="BK36" s="36"/>
      <c r="BL36" s="36">
        <f t="shared" si="25"/>
        <v>0.2480816</v>
      </c>
      <c r="BM36" s="5">
        <f t="shared" si="26"/>
        <v>0.2480816</v>
      </c>
      <c r="BN36" s="36">
        <f t="shared" si="27"/>
        <v>0.8748558000000001</v>
      </c>
      <c r="BO36" s="36">
        <f t="shared" si="89"/>
        <v>0.4673916</v>
      </c>
      <c r="BP36" s="5"/>
      <c r="BQ36" s="36"/>
      <c r="BR36" s="36">
        <f t="shared" si="28"/>
        <v>8917.10228</v>
      </c>
      <c r="BS36" s="5">
        <f t="shared" si="29"/>
        <v>8917.10228</v>
      </c>
      <c r="BT36" s="36">
        <f t="shared" si="30"/>
        <v>31446.018764999997</v>
      </c>
      <c r="BU36" s="36">
        <f t="shared" si="90"/>
        <v>16800.03153</v>
      </c>
      <c r="BV36" s="5"/>
      <c r="BW36" s="36"/>
      <c r="BX36" s="36">
        <f t="shared" si="31"/>
        <v>21.039227999999998</v>
      </c>
      <c r="BY36" s="5">
        <f t="shared" si="32"/>
        <v>21.039227999999998</v>
      </c>
      <c r="BZ36" s="36">
        <f t="shared" si="33"/>
        <v>74.1945015</v>
      </c>
      <c r="CA36" s="36">
        <f t="shared" si="91"/>
        <v>39.638403</v>
      </c>
      <c r="CB36" s="5"/>
      <c r="CC36" s="36"/>
      <c r="CD36" s="36">
        <f t="shared" si="34"/>
        <v>3739.0000008</v>
      </c>
      <c r="CE36" s="5">
        <f t="shared" si="35"/>
        <v>3739.0000008</v>
      </c>
      <c r="CF36" s="36">
        <f t="shared" si="36"/>
        <v>13185.5237829</v>
      </c>
      <c r="CG36" s="36">
        <f t="shared" si="92"/>
        <v>7044.3644058</v>
      </c>
      <c r="CH36" s="5"/>
      <c r="CI36" s="5"/>
      <c r="CJ36" s="5">
        <f t="shared" si="37"/>
        <v>18.8732848</v>
      </c>
      <c r="CK36" s="5">
        <f t="shared" si="38"/>
        <v>18.8732848</v>
      </c>
      <c r="CL36" s="36">
        <f t="shared" si="39"/>
        <v>66.5563374</v>
      </c>
      <c r="CM36" s="36">
        <f t="shared" si="93"/>
        <v>35.5577148</v>
      </c>
      <c r="CN36" s="5"/>
      <c r="CO36" s="36"/>
      <c r="CP36" s="36">
        <f t="shared" si="40"/>
        <v>733.8062896</v>
      </c>
      <c r="CQ36" s="5">
        <f t="shared" si="41"/>
        <v>733.8062896</v>
      </c>
      <c r="CR36" s="36">
        <f t="shared" si="42"/>
        <v>2587.7561597999998</v>
      </c>
      <c r="CS36" s="36">
        <f t="shared" si="94"/>
        <v>1382.5083995999998</v>
      </c>
      <c r="CT36" s="5"/>
      <c r="CU36" s="36"/>
      <c r="CV36" s="36">
        <f t="shared" si="43"/>
        <v>390.66172880000005</v>
      </c>
      <c r="CW36" s="5">
        <f t="shared" si="44"/>
        <v>390.66172880000005</v>
      </c>
      <c r="CX36" s="36">
        <f t="shared" si="45"/>
        <v>1377.6623469</v>
      </c>
      <c r="CY36" s="36">
        <f t="shared" si="95"/>
        <v>736.0159338000001</v>
      </c>
      <c r="CZ36" s="5"/>
      <c r="DA36" s="5"/>
      <c r="DB36" s="36">
        <f t="shared" si="46"/>
        <v>1272.9830224</v>
      </c>
      <c r="DC36" s="36">
        <f t="shared" si="47"/>
        <v>1272.9830224</v>
      </c>
      <c r="DD36" s="36">
        <f t="shared" si="48"/>
        <v>4489.1542962</v>
      </c>
      <c r="DE36" s="36">
        <f t="shared" si="96"/>
        <v>2398.3301124</v>
      </c>
      <c r="DF36" s="5"/>
      <c r="DG36" s="5"/>
      <c r="DH36" s="36">
        <f t="shared" si="49"/>
        <v>11205.4355832</v>
      </c>
      <c r="DI36" s="36">
        <f t="shared" si="50"/>
        <v>11205.4355832</v>
      </c>
      <c r="DJ36" s="36">
        <f t="shared" si="51"/>
        <v>39515.7896091</v>
      </c>
      <c r="DK36" s="36">
        <f t="shared" si="97"/>
        <v>21111.3055782</v>
      </c>
      <c r="DL36" s="5"/>
      <c r="DM36" s="36"/>
      <c r="DN36" s="36">
        <f t="shared" si="52"/>
        <v>23199.0359512</v>
      </c>
      <c r="DO36" s="5">
        <f t="shared" si="53"/>
        <v>23199.0359512</v>
      </c>
      <c r="DP36" s="36">
        <f t="shared" si="54"/>
        <v>81811.0297431</v>
      </c>
      <c r="DQ36" s="36">
        <f t="shared" si="98"/>
        <v>43707.532246200004</v>
      </c>
      <c r="DR36" s="5"/>
      <c r="DS36" s="5"/>
      <c r="DT36" s="5">
        <f t="shared" si="55"/>
        <v>1029.6245144000002</v>
      </c>
      <c r="DU36" s="5">
        <f t="shared" si="56"/>
        <v>1029.6245144000002</v>
      </c>
      <c r="DV36" s="36">
        <f t="shared" si="57"/>
        <v>3630.9544047000004</v>
      </c>
      <c r="DW36" s="36">
        <f t="shared" si="99"/>
        <v>1939.8369294000001</v>
      </c>
      <c r="DX36" s="5"/>
      <c r="DY36" s="36"/>
      <c r="DZ36" s="36">
        <f t="shared" si="58"/>
        <v>1142.081812</v>
      </c>
      <c r="EA36" s="5">
        <f t="shared" si="59"/>
        <v>1142.081812</v>
      </c>
      <c r="EB36" s="36">
        <f t="shared" si="60"/>
        <v>4027.5332685</v>
      </c>
      <c r="EC36" s="36">
        <f t="shared" si="100"/>
        <v>2151.709137</v>
      </c>
      <c r="ED36" s="5"/>
      <c r="EE36" s="36"/>
      <c r="EF36" s="36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</row>
    <row r="37" spans="1:153" ht="12.75">
      <c r="A37" s="37">
        <v>11049</v>
      </c>
      <c r="C37" s="3">
        <v>8035000</v>
      </c>
      <c r="D37" s="3">
        <v>95416</v>
      </c>
      <c r="E37" s="35">
        <f t="shared" si="0"/>
        <v>8130416</v>
      </c>
      <c r="F37" s="35">
        <v>336483</v>
      </c>
      <c r="G37" s="35">
        <v>179766</v>
      </c>
      <c r="I37" s="36">
        <f>'2016B Academic'!I37</f>
        <v>1211051.27</v>
      </c>
      <c r="J37" s="36">
        <f>'2016B Academic'!J37</f>
        <v>14381.290351999998</v>
      </c>
      <c r="K37" s="36">
        <f t="shared" si="61"/>
        <v>1225432.560352</v>
      </c>
      <c r="L37" s="36">
        <f>'2016B Academic'!L37</f>
        <v>50715.390726000005</v>
      </c>
      <c r="M37" s="36">
        <f>'2016B Academic'!M37</f>
        <v>27094.691052000002</v>
      </c>
      <c r="O37" s="36">
        <f t="shared" si="62"/>
        <v>6823948.7299999995</v>
      </c>
      <c r="P37" s="35">
        <f t="shared" si="1"/>
        <v>81034.70964799999</v>
      </c>
      <c r="Q37" s="5">
        <f t="shared" si="2"/>
        <v>6904983.439648</v>
      </c>
      <c r="R37" s="35">
        <f t="shared" si="3"/>
        <v>285767.609274</v>
      </c>
      <c r="S37" s="35">
        <f t="shared" si="3"/>
        <v>152671.308948</v>
      </c>
      <c r="U37" s="36">
        <f t="shared" si="63"/>
        <v>307982.35349999997</v>
      </c>
      <c r="V37" s="36">
        <f t="shared" si="4"/>
        <v>3657.3048215999997</v>
      </c>
      <c r="W37" s="5">
        <f t="shared" si="5"/>
        <v>311639.65832159994</v>
      </c>
      <c r="X37" s="36">
        <f t="shared" si="6"/>
        <v>12897.4270383</v>
      </c>
      <c r="Y37" s="36">
        <f t="shared" si="82"/>
        <v>6890.4487566</v>
      </c>
      <c r="AA37" s="5">
        <f t="shared" si="64"/>
        <v>558076.5495</v>
      </c>
      <c r="AB37" s="36">
        <f t="shared" si="7"/>
        <v>6627.1850712</v>
      </c>
      <c r="AC37" s="36">
        <f t="shared" si="8"/>
        <v>564703.7345712</v>
      </c>
      <c r="AD37" s="36">
        <f t="shared" si="9"/>
        <v>23370.662303099998</v>
      </c>
      <c r="AE37" s="36">
        <f t="shared" si="83"/>
        <v>12485.7733662</v>
      </c>
      <c r="AG37" s="5">
        <f t="shared" si="65"/>
        <v>449679.5785</v>
      </c>
      <c r="AH37" s="5">
        <f t="shared" si="10"/>
        <v>5339.965981599999</v>
      </c>
      <c r="AI37" s="5">
        <f t="shared" si="11"/>
        <v>455019.5444816</v>
      </c>
      <c r="AJ37" s="36">
        <f t="shared" si="12"/>
        <v>18831.3047433</v>
      </c>
      <c r="AK37" s="36">
        <f t="shared" si="84"/>
        <v>10060.6221666</v>
      </c>
      <c r="AM37" s="5">
        <f t="shared" si="66"/>
        <v>534399.815</v>
      </c>
      <c r="AN37" s="5">
        <f t="shared" si="13"/>
        <v>6346.022744</v>
      </c>
      <c r="AO37" s="5">
        <f t="shared" si="14"/>
        <v>540745.8377439999</v>
      </c>
      <c r="AP37" s="36">
        <f t="shared" si="15"/>
        <v>22379.147847</v>
      </c>
      <c r="AQ37" s="36">
        <f t="shared" si="85"/>
        <v>11956.056894</v>
      </c>
      <c r="AS37" s="36">
        <f t="shared" si="67"/>
        <v>31919.840999999997</v>
      </c>
      <c r="AT37" s="36">
        <f t="shared" si="16"/>
        <v>379.04960159999996</v>
      </c>
      <c r="AU37" s="5">
        <f t="shared" si="17"/>
        <v>32298.890601599996</v>
      </c>
      <c r="AV37" s="36">
        <f t="shared" si="18"/>
        <v>1336.7123657999998</v>
      </c>
      <c r="AW37" s="36">
        <f t="shared" si="86"/>
        <v>714.1384115999999</v>
      </c>
      <c r="AY37" s="36">
        <f t="shared" si="68"/>
        <v>2873.3160000000003</v>
      </c>
      <c r="AZ37" s="36">
        <f t="shared" si="19"/>
        <v>34.1207616</v>
      </c>
      <c r="BA37" s="5">
        <f t="shared" si="20"/>
        <v>2907.4367616000004</v>
      </c>
      <c r="BB37" s="36">
        <f t="shared" si="21"/>
        <v>120.3263208</v>
      </c>
      <c r="BC37" s="36">
        <f t="shared" si="87"/>
        <v>64.2843216</v>
      </c>
      <c r="BD37" s="5"/>
      <c r="BE37" s="36">
        <f t="shared" si="69"/>
        <v>587885.596</v>
      </c>
      <c r="BF37" s="36">
        <f t="shared" si="22"/>
        <v>6981.1688896</v>
      </c>
      <c r="BG37" s="5">
        <f t="shared" si="23"/>
        <v>594866.7648896</v>
      </c>
      <c r="BH37" s="36">
        <f t="shared" si="24"/>
        <v>24618.9805848</v>
      </c>
      <c r="BI37" s="36">
        <f t="shared" si="88"/>
        <v>13152.6872496</v>
      </c>
      <c r="BJ37" s="5"/>
      <c r="BK37" s="36">
        <f t="shared" si="70"/>
        <v>20.891000000000002</v>
      </c>
      <c r="BL37" s="36">
        <f t="shared" si="25"/>
        <v>0.2480816</v>
      </c>
      <c r="BM37" s="5">
        <f t="shared" si="26"/>
        <v>21.1390816</v>
      </c>
      <c r="BN37" s="36">
        <f t="shared" si="27"/>
        <v>0.8748558000000001</v>
      </c>
      <c r="BO37" s="36">
        <f t="shared" si="89"/>
        <v>0.4673916</v>
      </c>
      <c r="BP37" s="5"/>
      <c r="BQ37" s="36">
        <f t="shared" si="71"/>
        <v>750910.9249999999</v>
      </c>
      <c r="BR37" s="36">
        <f t="shared" si="28"/>
        <v>8917.10228</v>
      </c>
      <c r="BS37" s="5">
        <f t="shared" si="29"/>
        <v>759828.0272799999</v>
      </c>
      <c r="BT37" s="36">
        <f t="shared" si="30"/>
        <v>31446.018764999997</v>
      </c>
      <c r="BU37" s="36">
        <f t="shared" si="90"/>
        <v>16800.03153</v>
      </c>
      <c r="BV37" s="5"/>
      <c r="BW37" s="36">
        <f t="shared" si="72"/>
        <v>1771.7175</v>
      </c>
      <c r="BX37" s="36">
        <f t="shared" si="31"/>
        <v>21.039227999999998</v>
      </c>
      <c r="BY37" s="5">
        <f t="shared" si="32"/>
        <v>1792.756728</v>
      </c>
      <c r="BZ37" s="36">
        <f t="shared" si="33"/>
        <v>74.1945015</v>
      </c>
      <c r="CA37" s="36">
        <f t="shared" si="91"/>
        <v>39.638403</v>
      </c>
      <c r="CB37" s="5"/>
      <c r="CC37" s="36">
        <f t="shared" si="73"/>
        <v>314861.9205</v>
      </c>
      <c r="CD37" s="36">
        <f t="shared" si="34"/>
        <v>3739.0000008</v>
      </c>
      <c r="CE37" s="5">
        <f t="shared" si="35"/>
        <v>318600.9205008</v>
      </c>
      <c r="CF37" s="36">
        <f t="shared" si="36"/>
        <v>13185.5237829</v>
      </c>
      <c r="CG37" s="36">
        <f t="shared" si="92"/>
        <v>7044.3644058</v>
      </c>
      <c r="CH37" s="5"/>
      <c r="CI37" s="5">
        <f t="shared" si="74"/>
        <v>1589.323</v>
      </c>
      <c r="CJ37" s="5">
        <f t="shared" si="37"/>
        <v>18.8732848</v>
      </c>
      <c r="CK37" s="5">
        <f t="shared" si="38"/>
        <v>1608.1962848</v>
      </c>
      <c r="CL37" s="36">
        <f t="shared" si="39"/>
        <v>66.5563374</v>
      </c>
      <c r="CM37" s="36">
        <f t="shared" si="93"/>
        <v>35.5577148</v>
      </c>
      <c r="CN37" s="5"/>
      <c r="CO37" s="36">
        <f t="shared" si="75"/>
        <v>61793.971</v>
      </c>
      <c r="CP37" s="36">
        <f t="shared" si="40"/>
        <v>733.8062896</v>
      </c>
      <c r="CQ37" s="5">
        <f t="shared" si="41"/>
        <v>62527.777289599995</v>
      </c>
      <c r="CR37" s="36">
        <f t="shared" si="42"/>
        <v>2587.7561597999998</v>
      </c>
      <c r="CS37" s="36">
        <f t="shared" si="94"/>
        <v>1382.5083995999998</v>
      </c>
      <c r="CT37" s="5"/>
      <c r="CU37" s="36">
        <f t="shared" si="76"/>
        <v>32897.700500000006</v>
      </c>
      <c r="CV37" s="36">
        <f t="shared" si="43"/>
        <v>390.66172880000005</v>
      </c>
      <c r="CW37" s="5">
        <f t="shared" si="44"/>
        <v>33288.362228800004</v>
      </c>
      <c r="CX37" s="36">
        <f t="shared" si="45"/>
        <v>1377.6623469</v>
      </c>
      <c r="CY37" s="36">
        <f t="shared" si="95"/>
        <v>736.0159338000001</v>
      </c>
      <c r="CZ37" s="5"/>
      <c r="DA37" s="5">
        <f t="shared" si="77"/>
        <v>107198.149</v>
      </c>
      <c r="DB37" s="36">
        <f t="shared" si="46"/>
        <v>1272.9830224</v>
      </c>
      <c r="DC37" s="36">
        <f t="shared" si="47"/>
        <v>108471.13202240001</v>
      </c>
      <c r="DD37" s="36">
        <f t="shared" si="48"/>
        <v>4489.1542962</v>
      </c>
      <c r="DE37" s="36">
        <f t="shared" si="96"/>
        <v>2398.3301124</v>
      </c>
      <c r="DF37" s="5"/>
      <c r="DG37" s="5">
        <f t="shared" si="78"/>
        <v>943611.9195000001</v>
      </c>
      <c r="DH37" s="36">
        <f t="shared" si="49"/>
        <v>11205.4355832</v>
      </c>
      <c r="DI37" s="36">
        <f t="shared" si="50"/>
        <v>954817.3550832</v>
      </c>
      <c r="DJ37" s="36">
        <f t="shared" si="51"/>
        <v>39515.7896091</v>
      </c>
      <c r="DK37" s="36">
        <f t="shared" si="97"/>
        <v>21111.3055782</v>
      </c>
      <c r="DL37" s="5"/>
      <c r="DM37" s="36">
        <f t="shared" si="79"/>
        <v>1953595.3495</v>
      </c>
      <c r="DN37" s="36">
        <f t="shared" si="52"/>
        <v>23199.0359512</v>
      </c>
      <c r="DO37" s="5">
        <f t="shared" si="53"/>
        <v>1976794.3854512</v>
      </c>
      <c r="DP37" s="36">
        <f t="shared" si="54"/>
        <v>81811.0297431</v>
      </c>
      <c r="DQ37" s="36">
        <f t="shared" si="98"/>
        <v>43707.532246200004</v>
      </c>
      <c r="DR37" s="5"/>
      <c r="DS37" s="5">
        <f t="shared" si="80"/>
        <v>86704.8815</v>
      </c>
      <c r="DT37" s="5">
        <f t="shared" si="55"/>
        <v>1029.6245144000002</v>
      </c>
      <c r="DU37" s="5">
        <f t="shared" si="56"/>
        <v>87734.5060144</v>
      </c>
      <c r="DV37" s="36">
        <f t="shared" si="57"/>
        <v>3630.9544047000004</v>
      </c>
      <c r="DW37" s="36">
        <f t="shared" si="99"/>
        <v>1939.8369294000001</v>
      </c>
      <c r="DX37" s="5"/>
      <c r="DY37" s="36">
        <f t="shared" si="81"/>
        <v>96174.9325</v>
      </c>
      <c r="DZ37" s="36">
        <f t="shared" si="58"/>
        <v>1142.081812</v>
      </c>
      <c r="EA37" s="5">
        <f t="shared" si="59"/>
        <v>97317.014312</v>
      </c>
      <c r="EB37" s="36">
        <f t="shared" si="60"/>
        <v>4027.5332685</v>
      </c>
      <c r="EC37" s="36">
        <f t="shared" si="100"/>
        <v>2151.709137</v>
      </c>
      <c r="ED37" s="5"/>
      <c r="EE37" s="36"/>
      <c r="EF37" s="36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</row>
    <row r="38" spans="1:153" ht="12.75">
      <c r="A38" s="37">
        <v>11232</v>
      </c>
      <c r="E38" s="35">
        <f t="shared" si="0"/>
        <v>0</v>
      </c>
      <c r="F38" s="35"/>
      <c r="G38" s="35"/>
      <c r="I38" s="36"/>
      <c r="J38" s="36">
        <f>'2016B Academic'!J38</f>
        <v>0</v>
      </c>
      <c r="K38" s="36">
        <f t="shared" si="61"/>
        <v>0</v>
      </c>
      <c r="L38" s="36">
        <f>'2016B Academic'!L38</f>
        <v>0</v>
      </c>
      <c r="M38" s="36">
        <f>'2016B Academic'!M38</f>
        <v>0</v>
      </c>
      <c r="O38" s="36"/>
      <c r="P38" s="35">
        <f t="shared" si="1"/>
        <v>0</v>
      </c>
      <c r="Q38" s="5">
        <f t="shared" si="2"/>
        <v>0</v>
      </c>
      <c r="R38" s="35">
        <f t="shared" si="3"/>
        <v>0</v>
      </c>
      <c r="S38" s="35"/>
      <c r="U38" s="36"/>
      <c r="V38" s="36">
        <f t="shared" si="4"/>
        <v>0</v>
      </c>
      <c r="W38" s="5">
        <f t="shared" si="5"/>
        <v>0</v>
      </c>
      <c r="X38" s="36">
        <f t="shared" si="6"/>
        <v>0</v>
      </c>
      <c r="Y38" s="36"/>
      <c r="AB38" s="36">
        <f t="shared" si="7"/>
        <v>0</v>
      </c>
      <c r="AC38" s="36">
        <f t="shared" si="8"/>
        <v>0</v>
      </c>
      <c r="AD38" s="36">
        <f t="shared" si="9"/>
        <v>0</v>
      </c>
      <c r="AE38" s="36"/>
      <c r="AH38" s="5">
        <f t="shared" si="10"/>
        <v>0</v>
      </c>
      <c r="AI38" s="5">
        <f t="shared" si="11"/>
        <v>0</v>
      </c>
      <c r="AJ38" s="36">
        <f t="shared" si="12"/>
        <v>0</v>
      </c>
      <c r="AK38" s="36"/>
      <c r="AN38" s="5">
        <f t="shared" si="13"/>
        <v>0</v>
      </c>
      <c r="AO38" s="5">
        <f t="shared" si="14"/>
        <v>0</v>
      </c>
      <c r="AP38" s="36">
        <f t="shared" si="15"/>
        <v>0</v>
      </c>
      <c r="AQ38" s="36"/>
      <c r="AS38" s="36"/>
      <c r="AT38" s="36">
        <f t="shared" si="16"/>
        <v>0</v>
      </c>
      <c r="AU38" s="5">
        <f t="shared" si="17"/>
        <v>0</v>
      </c>
      <c r="AV38" s="36">
        <f t="shared" si="18"/>
        <v>0</v>
      </c>
      <c r="AW38" s="36"/>
      <c r="AY38" s="36"/>
      <c r="AZ38" s="36">
        <f t="shared" si="19"/>
        <v>0</v>
      </c>
      <c r="BA38" s="5">
        <f t="shared" si="20"/>
        <v>0</v>
      </c>
      <c r="BB38" s="36">
        <f t="shared" si="21"/>
        <v>0</v>
      </c>
      <c r="BC38" s="36"/>
      <c r="BD38" s="5"/>
      <c r="BE38" s="36"/>
      <c r="BF38" s="36">
        <f t="shared" si="22"/>
        <v>0</v>
      </c>
      <c r="BG38" s="5">
        <f t="shared" si="23"/>
        <v>0</v>
      </c>
      <c r="BH38" s="36">
        <f t="shared" si="24"/>
        <v>0</v>
      </c>
      <c r="BI38" s="36"/>
      <c r="BJ38" s="5"/>
      <c r="BK38" s="36"/>
      <c r="BL38" s="36">
        <f t="shared" si="25"/>
        <v>0</v>
      </c>
      <c r="BM38" s="5">
        <f t="shared" si="26"/>
        <v>0</v>
      </c>
      <c r="BN38" s="36">
        <f t="shared" si="27"/>
        <v>0</v>
      </c>
      <c r="BO38" s="36"/>
      <c r="BP38" s="5"/>
      <c r="BQ38" s="36"/>
      <c r="BR38" s="36">
        <f t="shared" si="28"/>
        <v>0</v>
      </c>
      <c r="BS38" s="5">
        <f t="shared" si="29"/>
        <v>0</v>
      </c>
      <c r="BT38" s="36">
        <f t="shared" si="30"/>
        <v>0</v>
      </c>
      <c r="BU38" s="36"/>
      <c r="BV38" s="5"/>
      <c r="BW38" s="36"/>
      <c r="BX38" s="36">
        <f t="shared" si="31"/>
        <v>0</v>
      </c>
      <c r="BY38" s="5">
        <f t="shared" si="32"/>
        <v>0</v>
      </c>
      <c r="BZ38" s="36">
        <f t="shared" si="33"/>
        <v>0</v>
      </c>
      <c r="CA38" s="36"/>
      <c r="CB38" s="5"/>
      <c r="CC38" s="36"/>
      <c r="CD38" s="36">
        <f t="shared" si="34"/>
        <v>0</v>
      </c>
      <c r="CE38" s="5">
        <f t="shared" si="35"/>
        <v>0</v>
      </c>
      <c r="CF38" s="36">
        <f t="shared" si="36"/>
        <v>0</v>
      </c>
      <c r="CG38" s="36"/>
      <c r="CH38" s="5"/>
      <c r="CI38" s="5"/>
      <c r="CJ38" s="5">
        <f t="shared" si="37"/>
        <v>0</v>
      </c>
      <c r="CK38" s="5">
        <f t="shared" si="38"/>
        <v>0</v>
      </c>
      <c r="CL38" s="36">
        <f t="shared" si="39"/>
        <v>0</v>
      </c>
      <c r="CM38" s="36"/>
      <c r="CN38" s="5"/>
      <c r="CO38" s="36"/>
      <c r="CP38" s="36">
        <f t="shared" si="40"/>
        <v>0</v>
      </c>
      <c r="CQ38" s="5">
        <f t="shared" si="41"/>
        <v>0</v>
      </c>
      <c r="CR38" s="36">
        <f t="shared" si="42"/>
        <v>0</v>
      </c>
      <c r="CS38" s="36"/>
      <c r="CT38" s="5"/>
      <c r="CU38" s="36"/>
      <c r="CV38" s="36">
        <f t="shared" si="43"/>
        <v>0</v>
      </c>
      <c r="CW38" s="5">
        <f t="shared" si="44"/>
        <v>0</v>
      </c>
      <c r="CX38" s="36">
        <f t="shared" si="45"/>
        <v>0</v>
      </c>
      <c r="CY38" s="36"/>
      <c r="CZ38" s="5"/>
      <c r="DA38" s="5"/>
      <c r="DB38" s="36">
        <f t="shared" si="46"/>
        <v>0</v>
      </c>
      <c r="DC38" s="36">
        <f t="shared" si="47"/>
        <v>0</v>
      </c>
      <c r="DD38" s="36">
        <f t="shared" si="48"/>
        <v>0</v>
      </c>
      <c r="DE38" s="36"/>
      <c r="DF38" s="5"/>
      <c r="DG38" s="5"/>
      <c r="DH38" s="36">
        <f t="shared" si="49"/>
        <v>0</v>
      </c>
      <c r="DI38" s="36">
        <f t="shared" si="50"/>
        <v>0</v>
      </c>
      <c r="DJ38" s="36">
        <f t="shared" si="51"/>
        <v>0</v>
      </c>
      <c r="DK38" s="36"/>
      <c r="DL38" s="5"/>
      <c r="DM38" s="36"/>
      <c r="DN38" s="36">
        <f t="shared" si="52"/>
        <v>0</v>
      </c>
      <c r="DO38" s="5">
        <f t="shared" si="53"/>
        <v>0</v>
      </c>
      <c r="DP38" s="36">
        <f t="shared" si="54"/>
        <v>0</v>
      </c>
      <c r="DQ38" s="36"/>
      <c r="DR38" s="5"/>
      <c r="DS38" s="5"/>
      <c r="DT38" s="5">
        <f t="shared" si="55"/>
        <v>0</v>
      </c>
      <c r="DU38" s="5">
        <f t="shared" si="56"/>
        <v>0</v>
      </c>
      <c r="DV38" s="36">
        <f t="shared" si="57"/>
        <v>0</v>
      </c>
      <c r="DW38" s="36"/>
      <c r="DX38" s="5"/>
      <c r="DY38" s="36"/>
      <c r="DZ38" s="36">
        <f t="shared" si="58"/>
        <v>0</v>
      </c>
      <c r="EA38" s="5">
        <f t="shared" si="59"/>
        <v>0</v>
      </c>
      <c r="EB38" s="36">
        <f t="shared" si="60"/>
        <v>0</v>
      </c>
      <c r="EC38" s="36"/>
      <c r="ED38" s="5"/>
      <c r="EE38" s="36"/>
      <c r="EF38" s="36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</row>
    <row r="39" spans="1:153" ht="12.75">
      <c r="A39" s="37">
        <v>11414</v>
      </c>
      <c r="E39" s="35">
        <f t="shared" si="0"/>
        <v>0</v>
      </c>
      <c r="F39" s="35"/>
      <c r="G39" s="35"/>
      <c r="I39" s="36"/>
      <c r="J39" s="36">
        <f>'2016B Academic'!J39</f>
        <v>0</v>
      </c>
      <c r="K39" s="36">
        <f t="shared" si="61"/>
        <v>0</v>
      </c>
      <c r="L39" s="36">
        <f>'2016B Academic'!L39</f>
        <v>0</v>
      </c>
      <c r="M39" s="36">
        <f>'2016B Academic'!M39</f>
        <v>0</v>
      </c>
      <c r="O39" s="36">
        <f t="shared" si="62"/>
        <v>0</v>
      </c>
      <c r="P39" s="35">
        <f t="shared" si="1"/>
        <v>0</v>
      </c>
      <c r="Q39" s="5">
        <f t="shared" si="2"/>
        <v>0</v>
      </c>
      <c r="R39" s="35">
        <f t="shared" si="3"/>
        <v>0</v>
      </c>
      <c r="S39" s="35"/>
      <c r="U39" s="36">
        <f t="shared" si="63"/>
        <v>0</v>
      </c>
      <c r="V39" s="36">
        <f t="shared" si="4"/>
        <v>0</v>
      </c>
      <c r="W39" s="5">
        <f t="shared" si="5"/>
        <v>0</v>
      </c>
      <c r="X39" s="36">
        <f t="shared" si="6"/>
        <v>0</v>
      </c>
      <c r="Y39" s="36"/>
      <c r="AA39" s="5">
        <f t="shared" si="64"/>
        <v>0</v>
      </c>
      <c r="AB39" s="36">
        <f t="shared" si="7"/>
        <v>0</v>
      </c>
      <c r="AC39" s="36">
        <f t="shared" si="8"/>
        <v>0</v>
      </c>
      <c r="AD39" s="36">
        <f t="shared" si="9"/>
        <v>0</v>
      </c>
      <c r="AE39" s="36"/>
      <c r="AG39" s="5">
        <f t="shared" si="65"/>
        <v>0</v>
      </c>
      <c r="AH39" s="5">
        <f t="shared" si="10"/>
        <v>0</v>
      </c>
      <c r="AI39" s="5">
        <f t="shared" si="11"/>
        <v>0</v>
      </c>
      <c r="AJ39" s="36">
        <f t="shared" si="12"/>
        <v>0</v>
      </c>
      <c r="AK39" s="36"/>
      <c r="AM39" s="5">
        <f t="shared" si="66"/>
        <v>0</v>
      </c>
      <c r="AN39" s="5">
        <f t="shared" si="13"/>
        <v>0</v>
      </c>
      <c r="AO39" s="5">
        <f t="shared" si="14"/>
        <v>0</v>
      </c>
      <c r="AP39" s="36">
        <f t="shared" si="15"/>
        <v>0</v>
      </c>
      <c r="AQ39" s="36"/>
      <c r="AS39" s="36">
        <f t="shared" si="67"/>
        <v>0</v>
      </c>
      <c r="AT39" s="36">
        <f t="shared" si="16"/>
        <v>0</v>
      </c>
      <c r="AU39" s="5">
        <f t="shared" si="17"/>
        <v>0</v>
      </c>
      <c r="AV39" s="36">
        <f t="shared" si="18"/>
        <v>0</v>
      </c>
      <c r="AW39" s="36"/>
      <c r="AY39" s="36">
        <f t="shared" si="68"/>
        <v>0</v>
      </c>
      <c r="AZ39" s="36">
        <f t="shared" si="19"/>
        <v>0</v>
      </c>
      <c r="BA39" s="5">
        <f t="shared" si="20"/>
        <v>0</v>
      </c>
      <c r="BB39" s="36">
        <f t="shared" si="21"/>
        <v>0</v>
      </c>
      <c r="BC39" s="36"/>
      <c r="BD39" s="5"/>
      <c r="BE39" s="36">
        <f t="shared" si="69"/>
        <v>0</v>
      </c>
      <c r="BF39" s="36">
        <f t="shared" si="22"/>
        <v>0</v>
      </c>
      <c r="BG39" s="5">
        <f t="shared" si="23"/>
        <v>0</v>
      </c>
      <c r="BH39" s="36">
        <f t="shared" si="24"/>
        <v>0</v>
      </c>
      <c r="BI39" s="36"/>
      <c r="BJ39" s="5"/>
      <c r="BK39" s="36">
        <f t="shared" si="70"/>
        <v>0</v>
      </c>
      <c r="BL39" s="36">
        <f t="shared" si="25"/>
        <v>0</v>
      </c>
      <c r="BM39" s="5">
        <f t="shared" si="26"/>
        <v>0</v>
      </c>
      <c r="BN39" s="36">
        <f t="shared" si="27"/>
        <v>0</v>
      </c>
      <c r="BO39" s="36"/>
      <c r="BP39" s="5"/>
      <c r="BQ39" s="36">
        <f t="shared" si="71"/>
        <v>0</v>
      </c>
      <c r="BR39" s="36">
        <f t="shared" si="28"/>
        <v>0</v>
      </c>
      <c r="BS39" s="5">
        <f t="shared" si="29"/>
        <v>0</v>
      </c>
      <c r="BT39" s="36">
        <f t="shared" si="30"/>
        <v>0</v>
      </c>
      <c r="BU39" s="36"/>
      <c r="BV39" s="5"/>
      <c r="BW39" s="36">
        <f t="shared" si="72"/>
        <v>0</v>
      </c>
      <c r="BX39" s="36">
        <f t="shared" si="31"/>
        <v>0</v>
      </c>
      <c r="BY39" s="5">
        <f t="shared" si="32"/>
        <v>0</v>
      </c>
      <c r="BZ39" s="36">
        <f t="shared" si="33"/>
        <v>0</v>
      </c>
      <c r="CA39" s="36"/>
      <c r="CB39" s="5"/>
      <c r="CC39" s="36">
        <f t="shared" si="73"/>
        <v>0</v>
      </c>
      <c r="CD39" s="36">
        <f t="shared" si="34"/>
        <v>0</v>
      </c>
      <c r="CE39" s="5">
        <f t="shared" si="35"/>
        <v>0</v>
      </c>
      <c r="CF39" s="36">
        <f t="shared" si="36"/>
        <v>0</v>
      </c>
      <c r="CG39" s="36"/>
      <c r="CH39" s="5"/>
      <c r="CI39" s="5">
        <f t="shared" si="74"/>
        <v>0</v>
      </c>
      <c r="CJ39" s="5">
        <f t="shared" si="37"/>
        <v>0</v>
      </c>
      <c r="CK39" s="5">
        <f t="shared" si="38"/>
        <v>0</v>
      </c>
      <c r="CL39" s="36">
        <f t="shared" si="39"/>
        <v>0</v>
      </c>
      <c r="CM39" s="36"/>
      <c r="CN39" s="5"/>
      <c r="CO39" s="36">
        <f t="shared" si="75"/>
        <v>0</v>
      </c>
      <c r="CP39" s="36">
        <f t="shared" si="40"/>
        <v>0</v>
      </c>
      <c r="CQ39" s="5">
        <f t="shared" si="41"/>
        <v>0</v>
      </c>
      <c r="CR39" s="36">
        <f t="shared" si="42"/>
        <v>0</v>
      </c>
      <c r="CS39" s="36"/>
      <c r="CT39" s="5"/>
      <c r="CU39" s="36">
        <f t="shared" si="76"/>
        <v>0</v>
      </c>
      <c r="CV39" s="36">
        <f t="shared" si="43"/>
        <v>0</v>
      </c>
      <c r="CW39" s="5">
        <f t="shared" si="44"/>
        <v>0</v>
      </c>
      <c r="CX39" s="36">
        <f t="shared" si="45"/>
        <v>0</v>
      </c>
      <c r="CY39" s="36"/>
      <c r="CZ39" s="5"/>
      <c r="DA39" s="5">
        <f t="shared" si="77"/>
        <v>0</v>
      </c>
      <c r="DB39" s="36">
        <f t="shared" si="46"/>
        <v>0</v>
      </c>
      <c r="DC39" s="36">
        <f t="shared" si="47"/>
        <v>0</v>
      </c>
      <c r="DD39" s="36">
        <f t="shared" si="48"/>
        <v>0</v>
      </c>
      <c r="DE39" s="36"/>
      <c r="DF39" s="5"/>
      <c r="DG39" s="5">
        <f t="shared" si="78"/>
        <v>0</v>
      </c>
      <c r="DH39" s="36">
        <f t="shared" si="49"/>
        <v>0</v>
      </c>
      <c r="DI39" s="36">
        <f t="shared" si="50"/>
        <v>0</v>
      </c>
      <c r="DJ39" s="36">
        <f t="shared" si="51"/>
        <v>0</v>
      </c>
      <c r="DK39" s="36"/>
      <c r="DL39" s="5"/>
      <c r="DM39" s="36">
        <f t="shared" si="79"/>
        <v>0</v>
      </c>
      <c r="DN39" s="36">
        <f t="shared" si="52"/>
        <v>0</v>
      </c>
      <c r="DO39" s="5">
        <f t="shared" si="53"/>
        <v>0</v>
      </c>
      <c r="DP39" s="36">
        <f t="shared" si="54"/>
        <v>0</v>
      </c>
      <c r="DQ39" s="36"/>
      <c r="DR39" s="5"/>
      <c r="DS39" s="5">
        <f t="shared" si="80"/>
        <v>0</v>
      </c>
      <c r="DT39" s="5">
        <f t="shared" si="55"/>
        <v>0</v>
      </c>
      <c r="DU39" s="5">
        <f t="shared" si="56"/>
        <v>0</v>
      </c>
      <c r="DV39" s="36">
        <f t="shared" si="57"/>
        <v>0</v>
      </c>
      <c r="DW39" s="36"/>
      <c r="DX39" s="5"/>
      <c r="DY39" s="36">
        <f t="shared" si="81"/>
        <v>0</v>
      </c>
      <c r="DZ39" s="36">
        <f t="shared" si="58"/>
        <v>0</v>
      </c>
      <c r="EA39" s="5">
        <f t="shared" si="59"/>
        <v>0</v>
      </c>
      <c r="EB39" s="36">
        <f t="shared" si="60"/>
        <v>0</v>
      </c>
      <c r="EC39" s="36"/>
      <c r="ED39" s="5"/>
      <c r="EE39" s="36"/>
      <c r="EF39" s="36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</row>
    <row r="40" spans="2:153" ht="12.75">
      <c r="B40" s="34"/>
      <c r="C40" s="35"/>
      <c r="D40" s="35"/>
      <c r="E40" s="35"/>
      <c r="F40" s="35"/>
      <c r="G40" s="35"/>
      <c r="I40" s="36"/>
      <c r="J40" s="36"/>
      <c r="K40" s="36"/>
      <c r="L40" s="35"/>
      <c r="M40" s="35"/>
      <c r="O40" s="36"/>
      <c r="P40" s="35"/>
      <c r="Q40" s="5"/>
      <c r="R40" s="35"/>
      <c r="S40" s="35"/>
      <c r="U40" s="36"/>
      <c r="V40" s="36"/>
      <c r="W40" s="5"/>
      <c r="X40" s="35"/>
      <c r="Y40" s="35"/>
      <c r="AB40" s="36"/>
      <c r="AC40" s="36"/>
      <c r="AD40" s="35"/>
      <c r="AE40" s="35"/>
      <c r="AJ40" s="35"/>
      <c r="AK40" s="35"/>
      <c r="AP40" s="35"/>
      <c r="AQ40" s="35"/>
      <c r="AS40" s="36"/>
      <c r="AT40" s="36"/>
      <c r="AU40" s="5"/>
      <c r="AV40" s="35"/>
      <c r="AW40" s="35"/>
      <c r="AY40" s="36"/>
      <c r="AZ40" s="36"/>
      <c r="BA40" s="5"/>
      <c r="BB40" s="35"/>
      <c r="BC40" s="35"/>
      <c r="BD40" s="5"/>
      <c r="BE40" s="36"/>
      <c r="BF40" s="36"/>
      <c r="BG40" s="5"/>
      <c r="BH40" s="35"/>
      <c r="BI40" s="35"/>
      <c r="BJ40" s="5"/>
      <c r="BK40" s="36"/>
      <c r="BL40" s="36"/>
      <c r="BM40" s="5"/>
      <c r="BN40" s="35"/>
      <c r="BO40" s="35"/>
      <c r="BP40" s="5"/>
      <c r="BQ40" s="36"/>
      <c r="BR40" s="36"/>
      <c r="BS40" s="5"/>
      <c r="BT40" s="35"/>
      <c r="BU40" s="35"/>
      <c r="BV40" s="5"/>
      <c r="BW40" s="36"/>
      <c r="BX40" s="36"/>
      <c r="BY40" s="5"/>
      <c r="BZ40" s="35"/>
      <c r="CA40" s="35"/>
      <c r="CB40" s="5"/>
      <c r="CC40" s="36"/>
      <c r="CD40" s="36"/>
      <c r="CE40" s="5"/>
      <c r="CF40" s="35"/>
      <c r="CG40" s="35"/>
      <c r="CH40" s="5"/>
      <c r="CI40" s="5"/>
      <c r="CJ40" s="5"/>
      <c r="CK40" s="5"/>
      <c r="CL40" s="35"/>
      <c r="CM40" s="35"/>
      <c r="CN40" s="5"/>
      <c r="CO40" s="36"/>
      <c r="CP40" s="36"/>
      <c r="CQ40" s="5"/>
      <c r="CR40" s="35"/>
      <c r="CS40" s="35"/>
      <c r="CT40" s="5"/>
      <c r="CU40" s="36"/>
      <c r="CV40" s="36"/>
      <c r="CW40" s="5"/>
      <c r="CX40" s="35"/>
      <c r="CY40" s="35"/>
      <c r="CZ40" s="5"/>
      <c r="DA40" s="5"/>
      <c r="DB40" s="36"/>
      <c r="DC40" s="36"/>
      <c r="DD40" s="35"/>
      <c r="DE40" s="35"/>
      <c r="DF40" s="5"/>
      <c r="DG40" s="5"/>
      <c r="DH40" s="36"/>
      <c r="DI40" s="36"/>
      <c r="DJ40" s="35"/>
      <c r="DK40" s="35"/>
      <c r="DL40" s="5"/>
      <c r="DM40" s="36"/>
      <c r="DN40" s="36"/>
      <c r="DO40" s="5"/>
      <c r="DP40" s="35"/>
      <c r="DQ40" s="35"/>
      <c r="DR40" s="5"/>
      <c r="DS40" s="5"/>
      <c r="DT40" s="5"/>
      <c r="DU40" s="5"/>
      <c r="DV40" s="35"/>
      <c r="DW40" s="35"/>
      <c r="DX40" s="5"/>
      <c r="DY40" s="36"/>
      <c r="DZ40" s="36"/>
      <c r="EA40" s="5"/>
      <c r="EB40" s="35"/>
      <c r="EC40" s="35"/>
      <c r="ED40" s="5"/>
      <c r="EE40" s="36"/>
      <c r="EF40" s="36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</row>
    <row r="41" spans="1:153" ht="13.5" thickBot="1">
      <c r="A41" s="39" t="s">
        <v>16</v>
      </c>
      <c r="C41" s="40">
        <f>SUM(C8:C40)</f>
        <v>47290000</v>
      </c>
      <c r="D41" s="40">
        <f>SUM(D8:D40)</f>
        <v>20398381</v>
      </c>
      <c r="E41" s="40">
        <f>SUM(E8:E40)</f>
        <v>67688381</v>
      </c>
      <c r="F41" s="40">
        <f>SUM(F8:F40)</f>
        <v>9421530</v>
      </c>
      <c r="G41" s="40">
        <f>SUM(G8:G40)</f>
        <v>5033456</v>
      </c>
      <c r="I41" s="40">
        <f>SUM(I8:I40)</f>
        <v>7127643.380000001</v>
      </c>
      <c r="J41" s="40">
        <f>SUM(J8:J40)</f>
        <v>3074484.781081999</v>
      </c>
      <c r="K41" s="40">
        <f>SUM(K8:K40)</f>
        <v>10202128.161082</v>
      </c>
      <c r="L41" s="40">
        <f>SUM(L8:L40)</f>
        <v>1420031.8446600002</v>
      </c>
      <c r="M41" s="40">
        <f>SUM(M8:M40)</f>
        <v>758652.5552320002</v>
      </c>
      <c r="O41" s="40">
        <f>SUM(O8:O40)</f>
        <v>40162356.62</v>
      </c>
      <c r="P41" s="40">
        <f>SUM(P8:P40)</f>
        <v>17323896.218918003</v>
      </c>
      <c r="Q41" s="40">
        <f>SUM(Q8:Q40)</f>
        <v>57486252.838917986</v>
      </c>
      <c r="R41" s="40">
        <f>SUM(R8:R40)</f>
        <v>8001498.155339998</v>
      </c>
      <c r="S41" s="40">
        <f>SUM(S8:S40)</f>
        <v>4274803.444767999</v>
      </c>
      <c r="U41" s="40">
        <f>SUM(U8:U40)</f>
        <v>1812630.4289999998</v>
      </c>
      <c r="V41" s="40">
        <f>SUM(V8:V40)</f>
        <v>781871.9835681001</v>
      </c>
      <c r="W41" s="40">
        <f>SUM(W8:W40)</f>
        <v>2594502.4125681003</v>
      </c>
      <c r="X41" s="40">
        <f>SUM(X8:X40)</f>
        <v>361128.18705300015</v>
      </c>
      <c r="Y41" s="40">
        <f>SUM(Y8:Y40)</f>
        <v>192932.87182560004</v>
      </c>
      <c r="AA41" s="40">
        <f>SUM(AA8:AA40)</f>
        <v>3284560.0529999994</v>
      </c>
      <c r="AB41" s="40">
        <f>SUM(AB8:AB40)</f>
        <v>1416783.8312217002</v>
      </c>
      <c r="AC41" s="40">
        <f>SUM(AC8:AC40)</f>
        <v>4701343.884221701</v>
      </c>
      <c r="AD41" s="40">
        <f>SUM(AD8:AD40)</f>
        <v>654378.9612209998</v>
      </c>
      <c r="AE41" s="40">
        <f>SUM(AE8:AE40)</f>
        <v>349602.2098991999</v>
      </c>
      <c r="AG41" s="40">
        <f>SUM(AG8:AG40)</f>
        <v>2646589.579</v>
      </c>
      <c r="AH41" s="40">
        <f>SUM(AH8:AH40)</f>
        <v>1141597.4325031003</v>
      </c>
      <c r="AI41" s="40">
        <f>SUM(AI8:AI40)</f>
        <v>3788187.011503099</v>
      </c>
      <c r="AJ41" s="40">
        <f>SUM(AJ8:AJ40)</f>
        <v>527276.8686030002</v>
      </c>
      <c r="AK41" s="40">
        <f>SUM(AK8:AK40)</f>
        <v>281697.8683855999</v>
      </c>
      <c r="AM41" s="40">
        <f>SUM(AM8:AM40)</f>
        <v>3145210.6099999994</v>
      </c>
      <c r="AN41" s="40">
        <f>SUM(AN8:AN40)</f>
        <v>1356675.9219290002</v>
      </c>
      <c r="AO41" s="40">
        <f>SUM(AO8:AO40)</f>
        <v>4501886.531928999</v>
      </c>
      <c r="AP41" s="40">
        <f>SUM(AP8:AP40)</f>
        <v>626616.53877</v>
      </c>
      <c r="AQ41" s="40">
        <f>SUM(AQ8:AQ40)</f>
        <v>334770.1251039999</v>
      </c>
      <c r="AS41" s="40">
        <f>SUM(AS8:AS40)</f>
        <v>187864.254</v>
      </c>
      <c r="AT41" s="40">
        <f>SUM(AT8:AT40)</f>
        <v>81034.6083606</v>
      </c>
      <c r="AU41" s="40">
        <f>SUM(AU8:AU40)</f>
        <v>268898.86236060003</v>
      </c>
      <c r="AV41" s="40">
        <f>SUM(AV8:AV40)</f>
        <v>37427.97007799998</v>
      </c>
      <c r="AW41" s="40">
        <f>SUM(AW8:AW40)</f>
        <v>19995.907305600012</v>
      </c>
      <c r="AY41" s="40">
        <f>SUM(AY8:AY40)</f>
        <v>16910.904</v>
      </c>
      <c r="AZ41" s="40">
        <f>SUM(AZ8:AZ40)</f>
        <v>7294.461045599998</v>
      </c>
      <c r="BA41" s="40">
        <f>SUM(BA8:BA40)</f>
        <v>24205.365045600007</v>
      </c>
      <c r="BB41" s="40">
        <f>SUM(BB8:BB40)</f>
        <v>3369.139127999999</v>
      </c>
      <c r="BC41" s="40">
        <f>SUM(BC8:BC40)</f>
        <v>1799.963865600001</v>
      </c>
      <c r="BD41" s="5"/>
      <c r="BE41" s="40">
        <f>SUM(BE8:BE40)</f>
        <v>3460001.2239999995</v>
      </c>
      <c r="BF41" s="40">
        <f>SUM(BF8:BF40)</f>
        <v>1492459.7848936005</v>
      </c>
      <c r="BG41" s="40">
        <f>SUM(BG8:BG40)</f>
        <v>4952461.0088936</v>
      </c>
      <c r="BH41" s="40">
        <f>SUM(BH8:BH40)</f>
        <v>689331.8953680001</v>
      </c>
      <c r="BI41" s="40">
        <f>SUM(BI8:BI40)</f>
        <v>368275.8283136003</v>
      </c>
      <c r="BJ41" s="5"/>
      <c r="BK41" s="40">
        <f>SUM(BK8:BK40)</f>
        <v>122.95400000000001</v>
      </c>
      <c r="BL41" s="40">
        <f>SUM(BL8:BL40)</f>
        <v>53.035790599999984</v>
      </c>
      <c r="BM41" s="40">
        <f>SUM(BM8:BM40)</f>
        <v>175.98979059999996</v>
      </c>
      <c r="BN41" s="40">
        <f>SUM(BN8:BN40)</f>
        <v>24.495977999999994</v>
      </c>
      <c r="BO41" s="40">
        <f>SUM(BO8:BO40)</f>
        <v>13.086985599999991</v>
      </c>
      <c r="BP41" s="5"/>
      <c r="BQ41" s="40">
        <f>SUM(BQ8:BQ40)</f>
        <v>4419486.95</v>
      </c>
      <c r="BR41" s="40">
        <f>SUM(BR8:BR40)</f>
        <v>1906330.6963549992</v>
      </c>
      <c r="BS41" s="40">
        <f>SUM(BS8:BS40)</f>
        <v>6325817.646354999</v>
      </c>
      <c r="BT41" s="40">
        <f>SUM(BT8:BT40)</f>
        <v>880489.0861500003</v>
      </c>
      <c r="BU41" s="40">
        <f>SUM(BU8:BU40)</f>
        <v>470401.6304799998</v>
      </c>
      <c r="BV41" s="5"/>
      <c r="BW41" s="40">
        <f>SUM(BW8:BW40)</f>
        <v>10427.445000000002</v>
      </c>
      <c r="BX41" s="40">
        <f>SUM(BX8:BX40)</f>
        <v>4497.843010499999</v>
      </c>
      <c r="BY41" s="40">
        <f>SUM(BY8:BY40)</f>
        <v>14925.288010500002</v>
      </c>
      <c r="BZ41" s="40">
        <f>SUM(BZ8:BZ40)</f>
        <v>2077.447365000002</v>
      </c>
      <c r="CA41" s="40">
        <f>SUM(CA8:CA40)</f>
        <v>1109.8770480000003</v>
      </c>
      <c r="CB41" s="5"/>
      <c r="CC41" s="40">
        <f>SUM(CC8:CC40)</f>
        <v>1853120.1269999999</v>
      </c>
      <c r="CD41" s="40">
        <f>SUM(CD8:CD40)</f>
        <v>799337.0773803003</v>
      </c>
      <c r="CE41" s="40">
        <f>SUM(CE8:CE40)</f>
        <v>2652457.2043803004</v>
      </c>
      <c r="CF41" s="40">
        <f>SUM(CF8:CF40)</f>
        <v>369194.90103900013</v>
      </c>
      <c r="CG41" s="40">
        <f>SUM(CG8:CG40)</f>
        <v>197242.5168528001</v>
      </c>
      <c r="CH41" s="5"/>
      <c r="CI41" s="40">
        <f>SUM(CI8:CI40)</f>
        <v>9353.962000000001</v>
      </c>
      <c r="CJ41" s="40">
        <f>SUM(CJ8:CJ40)</f>
        <v>4034.799761800001</v>
      </c>
      <c r="CK41" s="40">
        <f>SUM(CK8:CK40)</f>
        <v>13388.761761800002</v>
      </c>
      <c r="CL41" s="40">
        <f>SUM(CL8:CL40)</f>
        <v>1863.5786340000006</v>
      </c>
      <c r="CM41" s="40">
        <f>SUM(CM8:CM40)</f>
        <v>995.6175967999997</v>
      </c>
      <c r="CN41" s="5"/>
      <c r="CO41" s="40">
        <f>SUM(CO8:CO40)</f>
        <v>363688.474</v>
      </c>
      <c r="CP41" s="40">
        <f>SUM(CP8:CP40)</f>
        <v>156875.78891859995</v>
      </c>
      <c r="CQ41" s="40">
        <f>SUM(CQ8:CQ40)</f>
        <v>520564.26291859994</v>
      </c>
      <c r="CR41" s="40">
        <f>SUM(CR8:CR40)</f>
        <v>72457.21861800003</v>
      </c>
      <c r="CS41" s="40">
        <f>SUM(CS8:CS40)</f>
        <v>38710.2967136</v>
      </c>
      <c r="CT41" s="5"/>
      <c r="CU41" s="40">
        <f>SUM(CU8:CU40)</f>
        <v>193619.44700000001</v>
      </c>
      <c r="CV41" s="40">
        <f>SUM(CV8:CV40)</f>
        <v>83517.09132830003</v>
      </c>
      <c r="CW41" s="40">
        <f>SUM(CW8:CW40)</f>
        <v>277136.53832830006</v>
      </c>
      <c r="CX41" s="40">
        <f>SUM(CX8:CX40)</f>
        <v>38574.570279</v>
      </c>
      <c r="CY41" s="40">
        <f>SUM(CY8:CY40)</f>
        <v>20608.478900800004</v>
      </c>
      <c r="CZ41" s="5"/>
      <c r="DA41" s="40">
        <f>SUM(DA8:DA40)</f>
        <v>630914.8059999999</v>
      </c>
      <c r="DB41" s="40">
        <f>SUM(DB8:DB40)</f>
        <v>272142.96027340007</v>
      </c>
      <c r="DC41" s="40">
        <f>SUM(DC8:DC40)</f>
        <v>903057.7662734</v>
      </c>
      <c r="DD41" s="40">
        <f>SUM(DD8:DD40)</f>
        <v>125696.40034199995</v>
      </c>
      <c r="DE41" s="40">
        <f>SUM(DE8:DE40)</f>
        <v>67153.34987839998</v>
      </c>
      <c r="DF41" s="5"/>
      <c r="DG41" s="40">
        <f>SUM(DG8:DG40)</f>
        <v>5553628.833000001</v>
      </c>
      <c r="DH41" s="40">
        <f>SUM(DH8:DH40)</f>
        <v>2395538.9483637004</v>
      </c>
      <c r="DI41" s="40">
        <f>SUM(DI8:DI40)</f>
        <v>7949167.7813637005</v>
      </c>
      <c r="DJ41" s="40">
        <f>SUM(DJ8:DJ40)</f>
        <v>1106442.8136809994</v>
      </c>
      <c r="DK41" s="40">
        <f>SUM(DK8:DK40)</f>
        <v>591117.4956912005</v>
      </c>
      <c r="DL41" s="5"/>
      <c r="DM41" s="40">
        <f>SUM(DM8:DM40)</f>
        <v>11497887.253000002</v>
      </c>
      <c r="DN41" s="40">
        <f>SUM(DN8:DN40)</f>
        <v>4959574.6433017</v>
      </c>
      <c r="DO41" s="40">
        <f>SUM(DO8:DO40)</f>
        <v>16457461.896301704</v>
      </c>
      <c r="DP41" s="40">
        <f>SUM(DP8:DP40)</f>
        <v>2290710.291621001</v>
      </c>
      <c r="DQ41" s="40">
        <f>SUM(DQ8:DQ40)</f>
        <v>1223812.8479791998</v>
      </c>
      <c r="DR41" s="5"/>
      <c r="DS41" s="40">
        <f>SUM(DS8:DS40)</f>
        <v>510301.661</v>
      </c>
      <c r="DT41" s="40">
        <f>SUM(DT8:DT40)</f>
        <v>220116.88953290007</v>
      </c>
      <c r="DU41" s="40">
        <f>SUM(DU8:DU40)</f>
        <v>730418.5505329001</v>
      </c>
      <c r="DV41" s="40">
        <f>SUM(DV8:DV40)</f>
        <v>101666.78807699998</v>
      </c>
      <c r="DW41" s="40">
        <f>SUM(DW8:DW40)</f>
        <v>54315.52035040001</v>
      </c>
      <c r="DX41" s="5"/>
      <c r="DY41" s="40">
        <f>SUM(DY8:DY40)</f>
        <v>566037.655</v>
      </c>
      <c r="DZ41" s="40">
        <f>SUM(DZ8:DZ40)</f>
        <v>244158.4213794999</v>
      </c>
      <c r="EA41" s="40">
        <f>SUM(EA8:EA40)</f>
        <v>810196.0763794999</v>
      </c>
      <c r="EB41" s="40">
        <f>SUM(EB8:EB40)</f>
        <v>112771.00333500006</v>
      </c>
      <c r="EC41" s="40">
        <f>SUM(EC8:EC40)</f>
        <v>60247.95159199996</v>
      </c>
      <c r="ED41" s="5"/>
      <c r="EE41" s="40">
        <f>SUM(EE8:EE40)</f>
        <v>0</v>
      </c>
      <c r="EF41" s="40">
        <f>SUM(EF8:EF40)</f>
        <v>0</v>
      </c>
      <c r="EG41" s="40">
        <f>SUM(EG8:EG40)</f>
        <v>0</v>
      </c>
      <c r="EH41" s="3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</row>
    <row r="42" spans="21:153" ht="13.5" thickTop="1">
      <c r="U42" s="5"/>
      <c r="V42" s="5"/>
      <c r="W42" s="5"/>
      <c r="X42" s="5"/>
      <c r="Y42" s="5"/>
      <c r="AS42" s="5"/>
      <c r="AT42" s="5"/>
      <c r="AU42" s="5"/>
      <c r="AV42" s="5"/>
      <c r="AW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</row>
    <row r="43" spans="3:153" ht="12.75">
      <c r="C43" s="3">
        <f>I41+O41</f>
        <v>47290000</v>
      </c>
      <c r="D43" s="3">
        <f>J41+P41</f>
        <v>20398381.000000004</v>
      </c>
      <c r="E43" s="3">
        <f>K41+Q41</f>
        <v>67688380.99999999</v>
      </c>
      <c r="F43" s="3">
        <f>L41+R41</f>
        <v>9421529.999999998</v>
      </c>
      <c r="G43" s="3">
        <f>M41+S41</f>
        <v>5033456</v>
      </c>
      <c r="P43" s="5"/>
      <c r="U43" s="5"/>
      <c r="V43" s="5"/>
      <c r="W43" s="5"/>
      <c r="X43" s="5"/>
      <c r="Y43" s="5"/>
      <c r="AS43" s="5"/>
      <c r="AT43" s="5"/>
      <c r="AU43" s="5"/>
      <c r="AV43" s="5"/>
      <c r="AW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</row>
    <row r="44" spans="21:153" ht="12.75">
      <c r="U44" s="5"/>
      <c r="V44" s="5"/>
      <c r="W44" s="5"/>
      <c r="X44" s="5"/>
      <c r="Y44" s="5"/>
      <c r="AS44" s="5"/>
      <c r="AT44" s="5"/>
      <c r="AU44" s="5"/>
      <c r="AV44" s="5"/>
      <c r="AW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</row>
    <row r="45" spans="21:153" ht="12.75">
      <c r="U45" s="5"/>
      <c r="V45" s="5"/>
      <c r="W45" s="5"/>
      <c r="X45" s="5"/>
      <c r="Y45" s="5"/>
      <c r="AS45" s="5"/>
      <c r="AT45" s="5"/>
      <c r="AU45" s="5"/>
      <c r="AV45" s="5"/>
      <c r="AW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</row>
    <row r="46" spans="21:153" ht="12.75">
      <c r="U46" s="5"/>
      <c r="V46" s="5"/>
      <c r="W46" s="5"/>
      <c r="X46" s="5"/>
      <c r="Y46" s="5"/>
      <c r="AS46" s="5"/>
      <c r="AT46" s="5"/>
      <c r="AU46" s="5"/>
      <c r="AV46" s="5"/>
      <c r="AW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</row>
    <row r="47" spans="21:153" ht="12.75">
      <c r="U47" s="5"/>
      <c r="V47" s="5"/>
      <c r="W47" s="5"/>
      <c r="X47" s="5"/>
      <c r="Y47" s="5"/>
      <c r="AS47" s="5"/>
      <c r="AT47" s="5"/>
      <c r="AU47" s="5"/>
      <c r="AV47" s="5"/>
      <c r="AW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</row>
    <row r="48" spans="1:153" ht="12.75">
      <c r="A48"/>
      <c r="U48" s="5"/>
      <c r="V48" s="5"/>
      <c r="W48" s="5"/>
      <c r="X48" s="5"/>
      <c r="Y48" s="5"/>
      <c r="AS48" s="5"/>
      <c r="AT48" s="5"/>
      <c r="AU48" s="5"/>
      <c r="AV48" s="5"/>
      <c r="AW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</row>
    <row r="49" spans="1:153" ht="12.75">
      <c r="A49"/>
      <c r="U49" s="5"/>
      <c r="V49" s="5"/>
      <c r="W49" s="5"/>
      <c r="X49" s="5"/>
      <c r="Y49" s="5"/>
      <c r="AS49" s="5"/>
      <c r="AT49" s="5"/>
      <c r="AU49" s="5"/>
      <c r="AV49" s="5"/>
      <c r="AW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</row>
    <row r="50" spans="1:153" ht="12.75">
      <c r="A50"/>
      <c r="U50" s="5"/>
      <c r="V50" s="5"/>
      <c r="W50" s="5"/>
      <c r="X50" s="5"/>
      <c r="Y50" s="5"/>
      <c r="AS50" s="5"/>
      <c r="AT50" s="5"/>
      <c r="AU50" s="5"/>
      <c r="AV50" s="5"/>
      <c r="AW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</row>
    <row r="51" spans="1:153" ht="12.75">
      <c r="A51"/>
      <c r="U51" s="5"/>
      <c r="V51" s="5"/>
      <c r="W51" s="5"/>
      <c r="X51" s="5"/>
      <c r="Y51" s="5"/>
      <c r="AS51" s="5"/>
      <c r="AT51" s="5"/>
      <c r="AU51" s="5"/>
      <c r="AV51" s="5"/>
      <c r="AW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</row>
    <row r="52" spans="1:153" ht="12.75">
      <c r="A52"/>
      <c r="U52" s="5"/>
      <c r="V52" s="5"/>
      <c r="W52" s="5"/>
      <c r="X52" s="5"/>
      <c r="Y52" s="5"/>
      <c r="AS52" s="5"/>
      <c r="AT52" s="5"/>
      <c r="AU52" s="5"/>
      <c r="AV52" s="5"/>
      <c r="AW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</row>
    <row r="53" spans="1:153" ht="12.75">
      <c r="A53"/>
      <c r="U53" s="5"/>
      <c r="V53" s="5"/>
      <c r="W53" s="5"/>
      <c r="X53" s="5"/>
      <c r="Y53" s="5"/>
      <c r="AS53" s="5"/>
      <c r="AT53" s="5"/>
      <c r="AU53" s="5"/>
      <c r="AV53" s="5"/>
      <c r="AW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</row>
    <row r="54" spans="1:153" ht="12.75">
      <c r="A54"/>
      <c r="C54"/>
      <c r="D54"/>
      <c r="E54"/>
      <c r="F54"/>
      <c r="G54"/>
      <c r="I54"/>
      <c r="J54"/>
      <c r="K54"/>
      <c r="L54"/>
      <c r="M54"/>
      <c r="U54" s="5"/>
      <c r="V54" s="5"/>
      <c r="W54" s="5"/>
      <c r="X54" s="5"/>
      <c r="Y54" s="5"/>
      <c r="AS54" s="5"/>
      <c r="AT54" s="5"/>
      <c r="AU54" s="5"/>
      <c r="AV54" s="5"/>
      <c r="AW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</row>
    <row r="55" spans="1:15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AS55" s="5"/>
      <c r="AT55" s="5"/>
      <c r="AU55" s="5"/>
      <c r="AV55" s="5"/>
      <c r="AW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</row>
    <row r="56" spans="1:15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AS56" s="5"/>
      <c r="AT56" s="5"/>
      <c r="AU56" s="5"/>
      <c r="AV56" s="5"/>
      <c r="AW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</row>
    <row r="57" spans="1:15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AS57" s="5"/>
      <c r="AT57" s="5"/>
      <c r="AU57" s="5"/>
      <c r="AV57" s="5"/>
      <c r="AW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</row>
    <row r="58" spans="1:15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AS58" s="5"/>
      <c r="AT58" s="5"/>
      <c r="AU58" s="5"/>
      <c r="AV58" s="5"/>
      <c r="AW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</row>
    <row r="59" spans="1:15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AS59" s="5"/>
      <c r="AT59" s="5"/>
      <c r="AU59" s="5"/>
      <c r="AV59" s="5"/>
      <c r="AW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</row>
    <row r="60" spans="1:15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AS60" s="5"/>
      <c r="AT60" s="5"/>
      <c r="AU60" s="5"/>
      <c r="AV60" s="5"/>
      <c r="AW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</row>
    <row r="61" spans="1:153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AS61" s="5"/>
      <c r="AT61" s="5"/>
      <c r="AU61" s="5"/>
      <c r="AV61" s="5"/>
      <c r="AW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</row>
    <row r="62" spans="1:153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AS62" s="5"/>
      <c r="AT62" s="5"/>
      <c r="AU62" s="5"/>
      <c r="AV62" s="5"/>
      <c r="AW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</row>
    <row r="63" spans="1:153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AS63" s="5"/>
      <c r="AT63" s="5"/>
      <c r="AU63" s="5"/>
      <c r="AV63" s="5"/>
      <c r="AW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</row>
    <row r="64" spans="1:153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AS64" s="5"/>
      <c r="AT64" s="5"/>
      <c r="AU64" s="5"/>
      <c r="AV64" s="5"/>
      <c r="AW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</row>
    <row r="65" spans="1:153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U65" s="5"/>
      <c r="V65" s="5"/>
      <c r="W65" s="5"/>
      <c r="X65" s="5"/>
      <c r="Y65" s="5"/>
      <c r="AS65" s="5"/>
      <c r="AT65" s="5"/>
      <c r="AU65" s="5"/>
      <c r="AV65" s="5"/>
      <c r="AW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</row>
    <row r="66" spans="1:153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U66" s="5"/>
      <c r="V66" s="5"/>
      <c r="W66" s="5"/>
      <c r="X66" s="5"/>
      <c r="Y66" s="5"/>
      <c r="AS66" s="5"/>
      <c r="AT66" s="5"/>
      <c r="AU66" s="5"/>
      <c r="AV66" s="5"/>
      <c r="AW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</row>
    <row r="67" spans="1:153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U67" s="5"/>
      <c r="V67" s="5"/>
      <c r="W67" s="5"/>
      <c r="X67" s="5"/>
      <c r="Y67" s="5"/>
      <c r="AS67" s="5"/>
      <c r="AT67" s="5"/>
      <c r="AU67" s="5"/>
      <c r="AV67" s="5"/>
      <c r="AW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</row>
    <row r="68" spans="1:153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U68" s="5"/>
      <c r="V68" s="5"/>
      <c r="W68" s="5"/>
      <c r="X68" s="5"/>
      <c r="Y68" s="5"/>
      <c r="AS68" s="5"/>
      <c r="AT68" s="5"/>
      <c r="AU68" s="5"/>
      <c r="AV68" s="5"/>
      <c r="AW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</row>
    <row r="69" spans="1:153" ht="12.75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U69" s="5"/>
      <c r="V69" s="5"/>
      <c r="W69" s="5"/>
      <c r="X69" s="5"/>
      <c r="Y69" s="5"/>
      <c r="AS69" s="5"/>
      <c r="AT69" s="5"/>
      <c r="AU69" s="5"/>
      <c r="AV69" s="5"/>
      <c r="AW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</row>
    <row r="70" spans="1:153" ht="12.75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U70" s="5"/>
      <c r="V70" s="5"/>
      <c r="W70" s="5"/>
      <c r="X70" s="5"/>
      <c r="Y70" s="5"/>
      <c r="AS70" s="5"/>
      <c r="AT70" s="5"/>
      <c r="AU70" s="5"/>
      <c r="AV70" s="5"/>
      <c r="AW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</row>
    <row r="71" spans="1:153" ht="12.75">
      <c r="A71"/>
      <c r="C71"/>
      <c r="D71"/>
      <c r="E71"/>
      <c r="F71"/>
      <c r="G71"/>
      <c r="H71"/>
      <c r="I71"/>
      <c r="J71"/>
      <c r="K71"/>
      <c r="L71"/>
      <c r="M71"/>
      <c r="N71"/>
      <c r="T71"/>
      <c r="U71" s="5"/>
      <c r="V71" s="5"/>
      <c r="W71" s="5"/>
      <c r="X71" s="5"/>
      <c r="Y71" s="5"/>
      <c r="AS71" s="5"/>
      <c r="AT71" s="5"/>
      <c r="AU71" s="5"/>
      <c r="AV71" s="5"/>
      <c r="AW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</row>
    <row r="72" spans="1:153" ht="12.75">
      <c r="A72"/>
      <c r="C72"/>
      <c r="D72"/>
      <c r="E72"/>
      <c r="F72"/>
      <c r="G72"/>
      <c r="H72"/>
      <c r="I72"/>
      <c r="J72"/>
      <c r="K72"/>
      <c r="L72"/>
      <c r="M72"/>
      <c r="N72"/>
      <c r="T72"/>
      <c r="U72" s="5"/>
      <c r="V72" s="5"/>
      <c r="W72" s="5"/>
      <c r="X72" s="5"/>
      <c r="Y72" s="5"/>
      <c r="AS72" s="5"/>
      <c r="AT72" s="5"/>
      <c r="AU72" s="5"/>
      <c r="AV72" s="5"/>
      <c r="AW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</row>
    <row r="73" spans="1:153" ht="12.75">
      <c r="A73"/>
      <c r="C73"/>
      <c r="D73"/>
      <c r="E73"/>
      <c r="F73"/>
      <c r="G73"/>
      <c r="H73"/>
      <c r="I73"/>
      <c r="J73"/>
      <c r="K73"/>
      <c r="L73"/>
      <c r="M73"/>
      <c r="N73"/>
      <c r="T73"/>
      <c r="U73" s="5"/>
      <c r="V73" s="5"/>
      <c r="W73" s="5"/>
      <c r="X73" s="5"/>
      <c r="Y73" s="5"/>
      <c r="AS73" s="5"/>
      <c r="AT73" s="5"/>
      <c r="AU73" s="5"/>
      <c r="AV73" s="5"/>
      <c r="AW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</row>
    <row r="74" spans="1:153" ht="12.75">
      <c r="A74"/>
      <c r="C74"/>
      <c r="D74"/>
      <c r="E74"/>
      <c r="F74"/>
      <c r="G74"/>
      <c r="H74"/>
      <c r="I74"/>
      <c r="J74"/>
      <c r="K74"/>
      <c r="L74"/>
      <c r="M74"/>
      <c r="N74"/>
      <c r="T74"/>
      <c r="U74" s="5"/>
      <c r="V74" s="5"/>
      <c r="W74" s="5"/>
      <c r="X74" s="5"/>
      <c r="Y74" s="5"/>
      <c r="AS74" s="5"/>
      <c r="AT74" s="5"/>
      <c r="AU74" s="5"/>
      <c r="AV74" s="5"/>
      <c r="AW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</row>
    <row r="75" spans="3:153" ht="12.75">
      <c r="C75"/>
      <c r="D75"/>
      <c r="E75"/>
      <c r="F75"/>
      <c r="G75"/>
      <c r="H75"/>
      <c r="I75"/>
      <c r="J75"/>
      <c r="K75"/>
      <c r="L75"/>
      <c r="M75"/>
      <c r="N75"/>
      <c r="T75"/>
      <c r="U75" s="5"/>
      <c r="V75" s="5"/>
      <c r="W75" s="5"/>
      <c r="X75" s="5"/>
      <c r="Y75" s="5"/>
      <c r="AS75" s="5"/>
      <c r="AT75" s="5"/>
      <c r="AU75" s="5"/>
      <c r="AV75" s="5"/>
      <c r="AW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</row>
    <row r="76" spans="3:153" ht="12.75">
      <c r="C76"/>
      <c r="D76"/>
      <c r="E76"/>
      <c r="F76"/>
      <c r="G76"/>
      <c r="H76"/>
      <c r="I76"/>
      <c r="J76"/>
      <c r="K76"/>
      <c r="L76"/>
      <c r="M76"/>
      <c r="N76"/>
      <c r="T76"/>
      <c r="U76" s="5"/>
      <c r="V76" s="5"/>
      <c r="W76" s="5"/>
      <c r="X76" s="5"/>
      <c r="Y76" s="5"/>
      <c r="AS76" s="5"/>
      <c r="AT76" s="5"/>
      <c r="AU76" s="5"/>
      <c r="AV76" s="5"/>
      <c r="AW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</row>
    <row r="77" spans="3:153" ht="12.75">
      <c r="C77"/>
      <c r="D77"/>
      <c r="E77"/>
      <c r="F77"/>
      <c r="G77"/>
      <c r="H77"/>
      <c r="I77"/>
      <c r="J77"/>
      <c r="K77"/>
      <c r="L77"/>
      <c r="M77"/>
      <c r="N77"/>
      <c r="T77"/>
      <c r="U77" s="5"/>
      <c r="V77" s="5"/>
      <c r="W77" s="5"/>
      <c r="X77" s="5"/>
      <c r="Y77" s="5"/>
      <c r="AS77" s="5"/>
      <c r="AT77" s="5"/>
      <c r="AU77" s="5"/>
      <c r="AV77" s="5"/>
      <c r="AW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</row>
    <row r="78" spans="3:153" ht="12.75">
      <c r="C78"/>
      <c r="D78"/>
      <c r="E78"/>
      <c r="F78"/>
      <c r="G78"/>
      <c r="H78"/>
      <c r="I78"/>
      <c r="J78"/>
      <c r="K78"/>
      <c r="L78"/>
      <c r="M78"/>
      <c r="N78"/>
      <c r="T78"/>
      <c r="U78" s="5"/>
      <c r="V78" s="5"/>
      <c r="W78" s="5"/>
      <c r="X78" s="5"/>
      <c r="Y78" s="5"/>
      <c r="AS78" s="5"/>
      <c r="AT78" s="5"/>
      <c r="AU78" s="5"/>
      <c r="AV78" s="5"/>
      <c r="AW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</row>
    <row r="79" spans="3:153" ht="12.75">
      <c r="C79"/>
      <c r="D79"/>
      <c r="E79"/>
      <c r="F79"/>
      <c r="G79"/>
      <c r="H79"/>
      <c r="I79"/>
      <c r="J79"/>
      <c r="K79"/>
      <c r="L79"/>
      <c r="M79"/>
      <c r="N79"/>
      <c r="T79"/>
      <c r="U79" s="5"/>
      <c r="V79" s="5"/>
      <c r="W79" s="5"/>
      <c r="X79" s="5"/>
      <c r="Y79" s="5"/>
      <c r="AS79" s="5"/>
      <c r="AT79" s="5"/>
      <c r="AU79" s="5"/>
      <c r="AV79" s="5"/>
      <c r="AW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</row>
    <row r="80" spans="3:153" ht="12.75">
      <c r="C80"/>
      <c r="D80"/>
      <c r="E80"/>
      <c r="F80"/>
      <c r="G80"/>
      <c r="H80"/>
      <c r="I80"/>
      <c r="J80"/>
      <c r="K80"/>
      <c r="L80"/>
      <c r="M80"/>
      <c r="N80"/>
      <c r="T80"/>
      <c r="U80" s="5"/>
      <c r="V80" s="5"/>
      <c r="W80" s="5"/>
      <c r="X80" s="5"/>
      <c r="Y80" s="5"/>
      <c r="AS80" s="5"/>
      <c r="AT80" s="5"/>
      <c r="AU80" s="5"/>
      <c r="AV80" s="5"/>
      <c r="AW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</row>
    <row r="81" spans="21:153" ht="12.75">
      <c r="U81" s="5"/>
      <c r="V81" s="5"/>
      <c r="W81" s="5"/>
      <c r="X81" s="5"/>
      <c r="Y81" s="5"/>
      <c r="AS81" s="5"/>
      <c r="AT81" s="5"/>
      <c r="AU81" s="5"/>
      <c r="AV81" s="5"/>
      <c r="AW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</row>
    <row r="82" spans="21:153" ht="12.75">
      <c r="U82" s="5"/>
      <c r="V82" s="5"/>
      <c r="W82" s="5"/>
      <c r="X82" s="5"/>
      <c r="Y82" s="5"/>
      <c r="AS82" s="5"/>
      <c r="AT82" s="5"/>
      <c r="AU82" s="5"/>
      <c r="AV82" s="5"/>
      <c r="AW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</row>
    <row r="83" spans="21:153" ht="12.75">
      <c r="U83" s="5"/>
      <c r="V83" s="5"/>
      <c r="W83" s="5"/>
      <c r="X83" s="5"/>
      <c r="Y83" s="5"/>
      <c r="AS83" s="5"/>
      <c r="AT83" s="5"/>
      <c r="AU83" s="5"/>
      <c r="AV83" s="5"/>
      <c r="AW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</row>
    <row r="84" spans="21:153" ht="12.75">
      <c r="U84" s="5"/>
      <c r="V84" s="5"/>
      <c r="W84" s="5"/>
      <c r="X84" s="5"/>
      <c r="Y84" s="5"/>
      <c r="AS84" s="5"/>
      <c r="AT84" s="5"/>
      <c r="AU84" s="5"/>
      <c r="AV84" s="5"/>
      <c r="AW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</row>
    <row r="85" spans="21:153" ht="12.75">
      <c r="U85" s="5"/>
      <c r="V85" s="5"/>
      <c r="W85" s="5"/>
      <c r="X85" s="5"/>
      <c r="Y85" s="5"/>
      <c r="AS85" s="5"/>
      <c r="AT85" s="5"/>
      <c r="AU85" s="5"/>
      <c r="AV85" s="5"/>
      <c r="AW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</row>
    <row r="86" spans="21:153" ht="12.75">
      <c r="U86" s="5"/>
      <c r="V86" s="5"/>
      <c r="W86" s="5"/>
      <c r="X86" s="5"/>
      <c r="Y86" s="5"/>
      <c r="AS86" s="5"/>
      <c r="AT86" s="5"/>
      <c r="AU86" s="5"/>
      <c r="AV86" s="5"/>
      <c r="AW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</row>
    <row r="87" spans="21:153" ht="12.75">
      <c r="U87" s="5"/>
      <c r="V87" s="5"/>
      <c r="W87" s="5"/>
      <c r="X87" s="5"/>
      <c r="Y87" s="5"/>
      <c r="AS87" s="5"/>
      <c r="AT87" s="5"/>
      <c r="AU87" s="5"/>
      <c r="AV87" s="5"/>
      <c r="AW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</row>
    <row r="88" spans="21:153" ht="12.75">
      <c r="U88" s="5"/>
      <c r="V88" s="5"/>
      <c r="W88" s="5"/>
      <c r="X88" s="5"/>
      <c r="Y88" s="5"/>
      <c r="AS88" s="5"/>
      <c r="AT88" s="5"/>
      <c r="AU88" s="5"/>
      <c r="AV88" s="5"/>
      <c r="AW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</row>
    <row r="89" spans="21:153" ht="12.75">
      <c r="U89" s="5"/>
      <c r="V89" s="5"/>
      <c r="W89" s="5"/>
      <c r="X89" s="5"/>
      <c r="Y89" s="5"/>
      <c r="AS89" s="5"/>
      <c r="AT89" s="5"/>
      <c r="AU89" s="5"/>
      <c r="AV89" s="5"/>
      <c r="AW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</row>
    <row r="90" spans="21:153" ht="12.75">
      <c r="U90" s="5"/>
      <c r="V90" s="5"/>
      <c r="W90" s="5"/>
      <c r="X90" s="5"/>
      <c r="Y90" s="5"/>
      <c r="AS90" s="5"/>
      <c r="AT90" s="5"/>
      <c r="AU90" s="5"/>
      <c r="AV90" s="5"/>
      <c r="AW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</row>
    <row r="91" spans="21:153" ht="12.75">
      <c r="U91" s="5"/>
      <c r="V91" s="5"/>
      <c r="W91" s="5"/>
      <c r="X91" s="5"/>
      <c r="Y91" s="5"/>
      <c r="AS91" s="5"/>
      <c r="AT91" s="5"/>
      <c r="AU91" s="5"/>
      <c r="AV91" s="5"/>
      <c r="AW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</row>
    <row r="92" spans="21:153" ht="12.75">
      <c r="U92" s="5"/>
      <c r="V92" s="5"/>
      <c r="W92" s="5"/>
      <c r="X92" s="5"/>
      <c r="Y92" s="5"/>
      <c r="AS92" s="5"/>
      <c r="AT92" s="5"/>
      <c r="AU92" s="5"/>
      <c r="AV92" s="5"/>
      <c r="AW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</row>
    <row r="93" spans="21:153" ht="12.75">
      <c r="U93" s="5"/>
      <c r="V93" s="5"/>
      <c r="W93" s="5"/>
      <c r="X93" s="5"/>
      <c r="Y93" s="5"/>
      <c r="AS93" s="5"/>
      <c r="AT93" s="5"/>
      <c r="AU93" s="5"/>
      <c r="AV93" s="5"/>
      <c r="AW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</row>
    <row r="94" spans="21:153" ht="12.75">
      <c r="U94" s="5"/>
      <c r="V94" s="5"/>
      <c r="W94" s="5"/>
      <c r="X94" s="5"/>
      <c r="Y94" s="5"/>
      <c r="AS94" s="5"/>
      <c r="AT94" s="5"/>
      <c r="AU94" s="5"/>
      <c r="AV94" s="5"/>
      <c r="AW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</row>
    <row r="95" spans="21:153" ht="12.75">
      <c r="U95" s="5"/>
      <c r="V95" s="5"/>
      <c r="W95" s="5"/>
      <c r="X95" s="5"/>
      <c r="Y95" s="5"/>
      <c r="AS95" s="5"/>
      <c r="AT95" s="5"/>
      <c r="AU95" s="5"/>
      <c r="AV95" s="5"/>
      <c r="AW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</row>
    <row r="96" spans="21:153" ht="12.75">
      <c r="U96" s="5"/>
      <c r="V96" s="5"/>
      <c r="W96" s="5"/>
      <c r="X96" s="5"/>
      <c r="Y96" s="5"/>
      <c r="AS96" s="5"/>
      <c r="AT96" s="5"/>
      <c r="AU96" s="5"/>
      <c r="AV96" s="5"/>
      <c r="AW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</row>
    <row r="97" spans="21:153" ht="12.75">
      <c r="U97" s="5"/>
      <c r="V97" s="5"/>
      <c r="W97" s="5"/>
      <c r="X97" s="5"/>
      <c r="Y97" s="5"/>
      <c r="AS97" s="5"/>
      <c r="AT97" s="5"/>
      <c r="AU97" s="5"/>
      <c r="AV97" s="5"/>
      <c r="AW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</row>
    <row r="98" spans="21:153" ht="12.75">
      <c r="U98" s="5"/>
      <c r="V98" s="5"/>
      <c r="W98" s="5"/>
      <c r="X98" s="5"/>
      <c r="Y98" s="5"/>
      <c r="AS98" s="5"/>
      <c r="AT98" s="5"/>
      <c r="AU98" s="5"/>
      <c r="AV98" s="5"/>
      <c r="AW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</row>
    <row r="99" spans="21:153" ht="12.75">
      <c r="U99" s="5"/>
      <c r="V99" s="5"/>
      <c r="W99" s="5"/>
      <c r="X99" s="5"/>
      <c r="Y99" s="5"/>
      <c r="AS99" s="5"/>
      <c r="AT99" s="5"/>
      <c r="AU99" s="5"/>
      <c r="AV99" s="5"/>
      <c r="AW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</row>
    <row r="100" spans="21:153" ht="12.75">
      <c r="U100" s="5"/>
      <c r="V100" s="5"/>
      <c r="W100" s="5"/>
      <c r="X100" s="5"/>
      <c r="Y100" s="5"/>
      <c r="AS100" s="5"/>
      <c r="AT100" s="5"/>
      <c r="AU100" s="5"/>
      <c r="AV100" s="5"/>
      <c r="AW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</row>
    <row r="101" spans="21:153" ht="12.75">
      <c r="U101" s="5"/>
      <c r="V101" s="5"/>
      <c r="W101" s="5"/>
      <c r="X101" s="5"/>
      <c r="Y101" s="5"/>
      <c r="AS101" s="5"/>
      <c r="AT101" s="5"/>
      <c r="AU101" s="5"/>
      <c r="AV101" s="5"/>
      <c r="AW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</row>
    <row r="102" spans="21:153" ht="12.75">
      <c r="U102" s="5"/>
      <c r="V102" s="5"/>
      <c r="W102" s="5"/>
      <c r="X102" s="5"/>
      <c r="Y102" s="5"/>
      <c r="AS102" s="5"/>
      <c r="AT102" s="5"/>
      <c r="AU102" s="5"/>
      <c r="AV102" s="5"/>
      <c r="AW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</row>
    <row r="103" spans="21:153" ht="12.75">
      <c r="U103" s="5"/>
      <c r="V103" s="5"/>
      <c r="W103" s="5"/>
      <c r="X103" s="5"/>
      <c r="Y103" s="5"/>
      <c r="AS103" s="5"/>
      <c r="AT103" s="5"/>
      <c r="AU103" s="5"/>
      <c r="AV103" s="5"/>
      <c r="AW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</row>
    <row r="104" spans="21:153" ht="12.75">
      <c r="U104" s="5"/>
      <c r="V104" s="5"/>
      <c r="W104" s="5"/>
      <c r="X104" s="5"/>
      <c r="Y104" s="5"/>
      <c r="AS104" s="5"/>
      <c r="AT104" s="5"/>
      <c r="AU104" s="5"/>
      <c r="AV104" s="5"/>
      <c r="AW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</row>
    <row r="105" spans="21:153" ht="12.75">
      <c r="U105" s="5"/>
      <c r="V105" s="5"/>
      <c r="W105" s="5"/>
      <c r="X105" s="5"/>
      <c r="Y105" s="5"/>
      <c r="AS105" s="5"/>
      <c r="AT105" s="5"/>
      <c r="AU105" s="5"/>
      <c r="AV105" s="5"/>
      <c r="AW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</row>
    <row r="106" spans="21:153" ht="12.75">
      <c r="U106" s="5"/>
      <c r="V106" s="5"/>
      <c r="W106" s="5"/>
      <c r="X106" s="5"/>
      <c r="Y106" s="5"/>
      <c r="AS106" s="5"/>
      <c r="AT106" s="5"/>
      <c r="AU106" s="5"/>
      <c r="AV106" s="5"/>
      <c r="AW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</row>
    <row r="107" spans="21:153" ht="12.75">
      <c r="U107" s="5"/>
      <c r="V107" s="5"/>
      <c r="W107" s="5"/>
      <c r="X107" s="5"/>
      <c r="Y107" s="5"/>
      <c r="AS107" s="5"/>
      <c r="AT107" s="5"/>
      <c r="AU107" s="5"/>
      <c r="AV107" s="5"/>
      <c r="AW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</row>
    <row r="108" spans="21:153" ht="12.75">
      <c r="U108" s="5"/>
      <c r="V108" s="5"/>
      <c r="W108" s="5"/>
      <c r="X108" s="5"/>
      <c r="Y108" s="5"/>
      <c r="AS108" s="5"/>
      <c r="AT108" s="5"/>
      <c r="AU108" s="5"/>
      <c r="AV108" s="5"/>
      <c r="AW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</row>
    <row r="109" spans="21:153" ht="12.75">
      <c r="U109" s="5"/>
      <c r="V109" s="5"/>
      <c r="W109" s="5"/>
      <c r="X109" s="5"/>
      <c r="Y109" s="5"/>
      <c r="AS109" s="5"/>
      <c r="AT109" s="5"/>
      <c r="AU109" s="5"/>
      <c r="AV109" s="5"/>
      <c r="AW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</row>
    <row r="110" spans="21:153" ht="12.75">
      <c r="U110" s="5"/>
      <c r="V110" s="5"/>
      <c r="W110" s="5"/>
      <c r="X110" s="5"/>
      <c r="Y110" s="5"/>
      <c r="AS110" s="5"/>
      <c r="AT110" s="5"/>
      <c r="AU110" s="5"/>
      <c r="AV110" s="5"/>
      <c r="AW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</row>
    <row r="111" spans="21:153" ht="12.75">
      <c r="U111" s="5"/>
      <c r="V111" s="5"/>
      <c r="W111" s="5"/>
      <c r="X111" s="5"/>
      <c r="Y111" s="5"/>
      <c r="AS111" s="5"/>
      <c r="AT111" s="5"/>
      <c r="AU111" s="5"/>
      <c r="AV111" s="5"/>
      <c r="AW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</row>
    <row r="112" spans="21:153" ht="12.75">
      <c r="U112" s="5"/>
      <c r="V112" s="5"/>
      <c r="W112" s="5"/>
      <c r="X112" s="5"/>
      <c r="Y112" s="5"/>
      <c r="AS112" s="5"/>
      <c r="AT112" s="5"/>
      <c r="AU112" s="5"/>
      <c r="AV112" s="5"/>
      <c r="AW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</row>
    <row r="113" spans="21:153" ht="12.75">
      <c r="U113" s="5"/>
      <c r="V113" s="5"/>
      <c r="W113" s="5"/>
      <c r="X113" s="5"/>
      <c r="Y113" s="5"/>
      <c r="AS113" s="5"/>
      <c r="AT113" s="5"/>
      <c r="AU113" s="5"/>
      <c r="AV113" s="5"/>
      <c r="AW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</row>
    <row r="114" spans="21:153" ht="12.75">
      <c r="U114" s="5"/>
      <c r="V114" s="5"/>
      <c r="W114" s="5"/>
      <c r="X114" s="5"/>
      <c r="Y114" s="5"/>
      <c r="AS114" s="5"/>
      <c r="AT114" s="5"/>
      <c r="AU114" s="5"/>
      <c r="AV114" s="5"/>
      <c r="AW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</row>
    <row r="115" spans="21:153" ht="12.75">
      <c r="U115" s="5"/>
      <c r="V115" s="5"/>
      <c r="W115" s="5"/>
      <c r="X115" s="5"/>
      <c r="Y115" s="5"/>
      <c r="AS115" s="5"/>
      <c r="AT115" s="5"/>
      <c r="AU115" s="5"/>
      <c r="AV115" s="5"/>
      <c r="AW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</row>
    <row r="116" spans="21:153" ht="12.75">
      <c r="U116" s="5"/>
      <c r="V116" s="5"/>
      <c r="W116" s="5"/>
      <c r="X116" s="5"/>
      <c r="Y116" s="5"/>
      <c r="AS116" s="5"/>
      <c r="AT116" s="5"/>
      <c r="AU116" s="5"/>
      <c r="AV116" s="5"/>
      <c r="AW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</row>
    <row r="117" spans="21:153" ht="12.75">
      <c r="U117" s="5"/>
      <c r="V117" s="5"/>
      <c r="W117" s="5"/>
      <c r="X117" s="5"/>
      <c r="Y117" s="5"/>
      <c r="AS117" s="5"/>
      <c r="AT117" s="5"/>
      <c r="AU117" s="5"/>
      <c r="AV117" s="5"/>
      <c r="AW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</row>
    <row r="118" spans="21:153" ht="12.75">
      <c r="U118" s="5"/>
      <c r="V118" s="5"/>
      <c r="W118" s="5"/>
      <c r="X118" s="5"/>
      <c r="Y118" s="5"/>
      <c r="AS118" s="5"/>
      <c r="AT118" s="5"/>
      <c r="AU118" s="5"/>
      <c r="AV118" s="5"/>
      <c r="AW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</row>
    <row r="119" spans="21:153" ht="12.75">
      <c r="U119" s="5"/>
      <c r="V119" s="5"/>
      <c r="W119" s="5"/>
      <c r="X119" s="5"/>
      <c r="Y119" s="5"/>
      <c r="AS119" s="5"/>
      <c r="AT119" s="5"/>
      <c r="AU119" s="5"/>
      <c r="AV119" s="5"/>
      <c r="AW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</row>
    <row r="120" spans="21:153" ht="12.75">
      <c r="U120" s="5"/>
      <c r="V120" s="5"/>
      <c r="W120" s="5"/>
      <c r="X120" s="5"/>
      <c r="Y120" s="5"/>
      <c r="AS120" s="5"/>
      <c r="AT120" s="5"/>
      <c r="AU120" s="5"/>
      <c r="AV120" s="5"/>
      <c r="AW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</row>
    <row r="121" spans="21:153" ht="12.75">
      <c r="U121" s="5"/>
      <c r="V121" s="5"/>
      <c r="W121" s="5"/>
      <c r="X121" s="5"/>
      <c r="Y121" s="5"/>
      <c r="AS121" s="5"/>
      <c r="AT121" s="5"/>
      <c r="AU121" s="5"/>
      <c r="AV121" s="5"/>
      <c r="AW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</row>
    <row r="122" spans="21:153" ht="12.75">
      <c r="U122" s="5"/>
      <c r="V122" s="5"/>
      <c r="W122" s="5"/>
      <c r="X122" s="5"/>
      <c r="Y122" s="5"/>
      <c r="AS122" s="5"/>
      <c r="AT122" s="5"/>
      <c r="AU122" s="5"/>
      <c r="AV122" s="5"/>
      <c r="AW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</row>
    <row r="123" spans="21:153" ht="12.75">
      <c r="U123" s="5"/>
      <c r="V123" s="5"/>
      <c r="W123" s="5"/>
      <c r="X123" s="5"/>
      <c r="Y123" s="5"/>
      <c r="AS123" s="5"/>
      <c r="AT123" s="5"/>
      <c r="AU123" s="5"/>
      <c r="AV123" s="5"/>
      <c r="AW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</row>
    <row r="124" spans="21:153" ht="12.75">
      <c r="U124" s="5"/>
      <c r="V124" s="5"/>
      <c r="W124" s="5"/>
      <c r="X124" s="5"/>
      <c r="Y124" s="5"/>
      <c r="AS124" s="5"/>
      <c r="AT124" s="5"/>
      <c r="AU124" s="5"/>
      <c r="AV124" s="5"/>
      <c r="AW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</row>
    <row r="125" spans="21:153" ht="12.75">
      <c r="U125" s="5"/>
      <c r="V125" s="5"/>
      <c r="W125" s="5"/>
      <c r="X125" s="5"/>
      <c r="Y125" s="5"/>
      <c r="AS125" s="5"/>
      <c r="AT125" s="5"/>
      <c r="AU125" s="5"/>
      <c r="AV125" s="5"/>
      <c r="AW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</row>
    <row r="126" spans="21:153" ht="12.75">
      <c r="U126" s="5"/>
      <c r="V126" s="5"/>
      <c r="W126" s="5"/>
      <c r="X126" s="5"/>
      <c r="Y126" s="5"/>
      <c r="AS126" s="5"/>
      <c r="AT126" s="5"/>
      <c r="AU126" s="5"/>
      <c r="AV126" s="5"/>
      <c r="AW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</row>
    <row r="127" spans="21:153" ht="12.75">
      <c r="U127" s="5"/>
      <c r="V127" s="5"/>
      <c r="W127" s="5"/>
      <c r="X127" s="5"/>
      <c r="Y127" s="5"/>
      <c r="AS127" s="5"/>
      <c r="AT127" s="5"/>
      <c r="AU127" s="5"/>
      <c r="AV127" s="5"/>
      <c r="AW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</row>
    <row r="128" spans="21:153" ht="12.75">
      <c r="U128" s="5"/>
      <c r="V128" s="5"/>
      <c r="W128" s="5"/>
      <c r="X128" s="5"/>
      <c r="Y128" s="5"/>
      <c r="AS128" s="5"/>
      <c r="AT128" s="5"/>
      <c r="AU128" s="5"/>
      <c r="AV128" s="5"/>
      <c r="AW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</row>
    <row r="129" spans="21:153" ht="12.75">
      <c r="U129" s="5"/>
      <c r="V129" s="5"/>
      <c r="W129" s="5"/>
      <c r="X129" s="5"/>
      <c r="Y129" s="5"/>
      <c r="AS129" s="5"/>
      <c r="AT129" s="5"/>
      <c r="AU129" s="5"/>
      <c r="AV129" s="5"/>
      <c r="AW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</row>
    <row r="130" spans="21:153" ht="12.75">
      <c r="U130" s="5"/>
      <c r="V130" s="5"/>
      <c r="W130" s="5"/>
      <c r="X130" s="5"/>
      <c r="Y130" s="5"/>
      <c r="AS130" s="5"/>
      <c r="AT130" s="5"/>
      <c r="AU130" s="5"/>
      <c r="AV130" s="5"/>
      <c r="AW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</row>
    <row r="131" spans="21:153" ht="12.75">
      <c r="U131" s="5"/>
      <c r="V131" s="5"/>
      <c r="W131" s="5"/>
      <c r="X131" s="5"/>
      <c r="Y131" s="5"/>
      <c r="AS131" s="5"/>
      <c r="AT131" s="5"/>
      <c r="AU131" s="5"/>
      <c r="AV131" s="5"/>
      <c r="AW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</row>
    <row r="132" spans="21:153" ht="12.75">
      <c r="U132" s="5"/>
      <c r="V132" s="5"/>
      <c r="W132" s="5"/>
      <c r="X132" s="5"/>
      <c r="Y132" s="5"/>
      <c r="AS132" s="5"/>
      <c r="AT132" s="5"/>
      <c r="AU132" s="5"/>
      <c r="AV132" s="5"/>
      <c r="AW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</row>
    <row r="133" spans="21:153" ht="12.75">
      <c r="U133" s="5"/>
      <c r="V133" s="5"/>
      <c r="W133" s="5"/>
      <c r="X133" s="5"/>
      <c r="Y133" s="5"/>
      <c r="AS133" s="5"/>
      <c r="AT133" s="5"/>
      <c r="AU133" s="5"/>
      <c r="AV133" s="5"/>
      <c r="AW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</row>
    <row r="134" spans="21:153" ht="12.75">
      <c r="U134" s="5"/>
      <c r="V134" s="5"/>
      <c r="W134" s="5"/>
      <c r="X134" s="5"/>
      <c r="Y134" s="5"/>
      <c r="AS134" s="5"/>
      <c r="AT134" s="5"/>
      <c r="AU134" s="5"/>
      <c r="AV134" s="5"/>
      <c r="AW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</row>
    <row r="135" spans="21:153" ht="12.75">
      <c r="U135" s="5"/>
      <c r="V135" s="5"/>
      <c r="W135" s="5"/>
      <c r="X135" s="5"/>
      <c r="Y135" s="5"/>
      <c r="AS135" s="5"/>
      <c r="AT135" s="5"/>
      <c r="AU135" s="5"/>
      <c r="AV135" s="5"/>
      <c r="AW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</row>
    <row r="136" spans="21:153" ht="12.75">
      <c r="U136" s="5"/>
      <c r="V136" s="5"/>
      <c r="W136" s="5"/>
      <c r="X136" s="5"/>
      <c r="Y136" s="5"/>
      <c r="AS136" s="5"/>
      <c r="AT136" s="5"/>
      <c r="AU136" s="5"/>
      <c r="AV136" s="5"/>
      <c r="AW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</row>
    <row r="137" spans="21:153" ht="12.75">
      <c r="U137" s="5"/>
      <c r="V137" s="5"/>
      <c r="W137" s="5"/>
      <c r="X137" s="5"/>
      <c r="Y137" s="5"/>
      <c r="AS137" s="5"/>
      <c r="AT137" s="5"/>
      <c r="AU137" s="5"/>
      <c r="AV137" s="5"/>
      <c r="AW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</row>
    <row r="138" spans="21:153" ht="12.75">
      <c r="U138" s="5"/>
      <c r="V138" s="5"/>
      <c r="W138" s="5"/>
      <c r="X138" s="5"/>
      <c r="Y138" s="5"/>
      <c r="AS138" s="5"/>
      <c r="AT138" s="5"/>
      <c r="AU138" s="5"/>
      <c r="AV138" s="5"/>
      <c r="AW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</row>
    <row r="139" spans="21:153" ht="12.75">
      <c r="U139" s="5"/>
      <c r="V139" s="5"/>
      <c r="W139" s="5"/>
      <c r="X139" s="5"/>
      <c r="Y139" s="5"/>
      <c r="AS139" s="5"/>
      <c r="AT139" s="5"/>
      <c r="AU139" s="5"/>
      <c r="AV139" s="5"/>
      <c r="AW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</row>
    <row r="140" spans="21:153" ht="12.75">
      <c r="U140" s="5"/>
      <c r="V140" s="5"/>
      <c r="W140" s="5"/>
      <c r="X140" s="5"/>
      <c r="Y140" s="5"/>
      <c r="AS140" s="5"/>
      <c r="AT140" s="5"/>
      <c r="AU140" s="5"/>
      <c r="AV140" s="5"/>
      <c r="AW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</row>
    <row r="141" spans="21:153" ht="12.75">
      <c r="U141" s="5"/>
      <c r="V141" s="5"/>
      <c r="W141" s="5"/>
      <c r="X141" s="5"/>
      <c r="Y141" s="5"/>
      <c r="AS141" s="5"/>
      <c r="AT141" s="5"/>
      <c r="AU141" s="5"/>
      <c r="AV141" s="5"/>
      <c r="AW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</row>
    <row r="142" spans="21:153" ht="12.75">
      <c r="U142" s="5"/>
      <c r="V142" s="5"/>
      <c r="W142" s="5"/>
      <c r="X142" s="5"/>
      <c r="Y142" s="5"/>
      <c r="AS142" s="5"/>
      <c r="AT142" s="5"/>
      <c r="AU142" s="5"/>
      <c r="AV142" s="5"/>
      <c r="AW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</row>
    <row r="143" spans="21:153" ht="12.75">
      <c r="U143" s="5"/>
      <c r="V143" s="5"/>
      <c r="W143" s="5"/>
      <c r="X143" s="5"/>
      <c r="Y143" s="5"/>
      <c r="AS143" s="5"/>
      <c r="AT143" s="5"/>
      <c r="AU143" s="5"/>
      <c r="AV143" s="5"/>
      <c r="AW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</row>
    <row r="144" spans="21:153" ht="12.75">
      <c r="U144" s="5"/>
      <c r="V144" s="5"/>
      <c r="W144" s="5"/>
      <c r="X144" s="5"/>
      <c r="Y144" s="5"/>
      <c r="AS144" s="5"/>
      <c r="AT144" s="5"/>
      <c r="AU144" s="5"/>
      <c r="AV144" s="5"/>
      <c r="AW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</row>
    <row r="145" spans="21:153" ht="12.75">
      <c r="U145" s="5"/>
      <c r="V145" s="5"/>
      <c r="W145" s="5"/>
      <c r="X145" s="5"/>
      <c r="Y145" s="5"/>
      <c r="AS145" s="5"/>
      <c r="AT145" s="5"/>
      <c r="AU145" s="5"/>
      <c r="AV145" s="5"/>
      <c r="AW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</row>
    <row r="146" spans="21:153" ht="12.75">
      <c r="U146" s="5"/>
      <c r="V146" s="5"/>
      <c r="W146" s="5"/>
      <c r="X146" s="5"/>
      <c r="Y146" s="5"/>
      <c r="AS146" s="5"/>
      <c r="AT146" s="5"/>
      <c r="AU146" s="5"/>
      <c r="AV146" s="5"/>
      <c r="AW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</row>
    <row r="147" spans="21:153" ht="12.75">
      <c r="U147" s="5"/>
      <c r="V147" s="5"/>
      <c r="W147" s="5"/>
      <c r="X147" s="5"/>
      <c r="Y147" s="5"/>
      <c r="AS147" s="5"/>
      <c r="AT147" s="5"/>
      <c r="AU147" s="5"/>
      <c r="AV147" s="5"/>
      <c r="AW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</row>
    <row r="148" spans="21:153" ht="12.75">
      <c r="U148" s="5"/>
      <c r="V148" s="5"/>
      <c r="W148" s="5"/>
      <c r="X148" s="5"/>
      <c r="Y148" s="5"/>
      <c r="AS148" s="5"/>
      <c r="AT148" s="5"/>
      <c r="AU148" s="5"/>
      <c r="AV148" s="5"/>
      <c r="AW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</row>
    <row r="149" spans="21:153" ht="12.75">
      <c r="U149" s="5"/>
      <c r="V149" s="5"/>
      <c r="W149" s="5"/>
      <c r="X149" s="5"/>
      <c r="Y149" s="5"/>
      <c r="AS149" s="5"/>
      <c r="AT149" s="5"/>
      <c r="AU149" s="5"/>
      <c r="AV149" s="5"/>
      <c r="AW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</row>
    <row r="150" spans="21:153" ht="12.75">
      <c r="U150" s="5"/>
      <c r="V150" s="5"/>
      <c r="W150" s="5"/>
      <c r="X150" s="5"/>
      <c r="Y150" s="5"/>
      <c r="AS150" s="5"/>
      <c r="AT150" s="5"/>
      <c r="AU150" s="5"/>
      <c r="AV150" s="5"/>
      <c r="AW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</row>
    <row r="151" spans="21:153" ht="12.75">
      <c r="U151" s="5"/>
      <c r="V151" s="5"/>
      <c r="W151" s="5"/>
      <c r="X151" s="5"/>
      <c r="Y151" s="5"/>
      <c r="AS151" s="5"/>
      <c r="AT151" s="5"/>
      <c r="AU151" s="5"/>
      <c r="AV151" s="5"/>
      <c r="AW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</row>
    <row r="152" spans="21:153" ht="12.75">
      <c r="U152" s="5"/>
      <c r="V152" s="5"/>
      <c r="W152" s="5"/>
      <c r="X152" s="5"/>
      <c r="Y152" s="5"/>
      <c r="AS152" s="5"/>
      <c r="AT152" s="5"/>
      <c r="AU152" s="5"/>
      <c r="AV152" s="5"/>
      <c r="AW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</row>
    <row r="153" spans="21:153" ht="12.75">
      <c r="U153" s="5"/>
      <c r="V153" s="5"/>
      <c r="W153" s="5"/>
      <c r="X153" s="5"/>
      <c r="Y153" s="5"/>
      <c r="AS153" s="5"/>
      <c r="AT153" s="5"/>
      <c r="AU153" s="5"/>
      <c r="AV153" s="5"/>
      <c r="AW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</row>
    <row r="154" spans="21:153" ht="12.75">
      <c r="U154" s="5"/>
      <c r="V154" s="5"/>
      <c r="W154" s="5"/>
      <c r="X154" s="5"/>
      <c r="Y154" s="5"/>
      <c r="AS154" s="5"/>
      <c r="AT154" s="5"/>
      <c r="AU154" s="5"/>
      <c r="AV154" s="5"/>
      <c r="AW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</row>
    <row r="155" spans="21:153" ht="12.75">
      <c r="U155" s="5"/>
      <c r="V155" s="5"/>
      <c r="W155" s="5"/>
      <c r="X155" s="5"/>
      <c r="Y155" s="5"/>
      <c r="AS155" s="5"/>
      <c r="AT155" s="5"/>
      <c r="AU155" s="5"/>
      <c r="AV155" s="5"/>
      <c r="AW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</row>
    <row r="156" spans="21:153" ht="12.75">
      <c r="U156" s="5"/>
      <c r="V156" s="5"/>
      <c r="W156" s="5"/>
      <c r="X156" s="5"/>
      <c r="Y156" s="5"/>
      <c r="AS156" s="5"/>
      <c r="AT156" s="5"/>
      <c r="AU156" s="5"/>
      <c r="AV156" s="5"/>
      <c r="AW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</row>
    <row r="157" spans="21:153" ht="12.75">
      <c r="U157" s="5"/>
      <c r="V157" s="5"/>
      <c r="W157" s="5"/>
      <c r="X157" s="5"/>
      <c r="Y157" s="5"/>
      <c r="AS157" s="5"/>
      <c r="AT157" s="5"/>
      <c r="AU157" s="5"/>
      <c r="AV157" s="5"/>
      <c r="AW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</row>
    <row r="158" spans="21:153" ht="12.75">
      <c r="U158" s="5"/>
      <c r="V158" s="5"/>
      <c r="W158" s="5"/>
      <c r="X158" s="5"/>
      <c r="Y158" s="5"/>
      <c r="AS158" s="5"/>
      <c r="AT158" s="5"/>
      <c r="AU158" s="5"/>
      <c r="AV158" s="5"/>
      <c r="AW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</row>
    <row r="159" spans="21:153" ht="12.75">
      <c r="U159" s="5"/>
      <c r="V159" s="5"/>
      <c r="W159" s="5"/>
      <c r="X159" s="5"/>
      <c r="Y159" s="5"/>
      <c r="AS159" s="5"/>
      <c r="AT159" s="5"/>
      <c r="AU159" s="5"/>
      <c r="AV159" s="5"/>
      <c r="AW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</row>
    <row r="160" spans="21:153" ht="12.75">
      <c r="U160" s="5"/>
      <c r="V160" s="5"/>
      <c r="W160" s="5"/>
      <c r="X160" s="5"/>
      <c r="Y160" s="5"/>
      <c r="AS160" s="5"/>
      <c r="AT160" s="5"/>
      <c r="AU160" s="5"/>
      <c r="AV160" s="5"/>
      <c r="AW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</row>
    <row r="161" spans="21:153" ht="12.75">
      <c r="U161" s="5"/>
      <c r="V161" s="5"/>
      <c r="W161" s="5"/>
      <c r="X161" s="5"/>
      <c r="Y161" s="5"/>
      <c r="AS161" s="5"/>
      <c r="AT161" s="5"/>
      <c r="AU161" s="5"/>
      <c r="AV161" s="5"/>
      <c r="AW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</row>
    <row r="162" spans="21:153" ht="12.75">
      <c r="U162" s="5"/>
      <c r="V162" s="5"/>
      <c r="W162" s="5"/>
      <c r="X162" s="5"/>
      <c r="Y162" s="5"/>
      <c r="AS162" s="5"/>
      <c r="AT162" s="5"/>
      <c r="AU162" s="5"/>
      <c r="AV162" s="5"/>
      <c r="AW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</row>
    <row r="163" spans="21:153" ht="12.75">
      <c r="U163" s="5"/>
      <c r="V163" s="5"/>
      <c r="W163" s="5"/>
      <c r="X163" s="5"/>
      <c r="Y163" s="5"/>
      <c r="AS163" s="5"/>
      <c r="AT163" s="5"/>
      <c r="AU163" s="5"/>
      <c r="AV163" s="5"/>
      <c r="AW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</row>
    <row r="164" spans="21:153" ht="12.75">
      <c r="U164" s="5"/>
      <c r="V164" s="5"/>
      <c r="W164" s="5"/>
      <c r="X164" s="5"/>
      <c r="Y164" s="5"/>
      <c r="AS164" s="5"/>
      <c r="AT164" s="5"/>
      <c r="AU164" s="5"/>
      <c r="AV164" s="5"/>
      <c r="AW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</row>
    <row r="165" spans="21:153" ht="12.75">
      <c r="U165" s="5"/>
      <c r="V165" s="5"/>
      <c r="W165" s="5"/>
      <c r="X165" s="5"/>
      <c r="Y165" s="5"/>
      <c r="AS165" s="5"/>
      <c r="AT165" s="5"/>
      <c r="AU165" s="5"/>
      <c r="AV165" s="5"/>
      <c r="AW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</row>
    <row r="166" spans="21:153" ht="12.75">
      <c r="U166" s="5"/>
      <c r="V166" s="5"/>
      <c r="W166" s="5"/>
      <c r="X166" s="5"/>
      <c r="Y166" s="5"/>
      <c r="AS166" s="5"/>
      <c r="AT166" s="5"/>
      <c r="AU166" s="5"/>
      <c r="AV166" s="5"/>
      <c r="AW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</row>
    <row r="167" spans="21:153" ht="12.75">
      <c r="U167" s="5"/>
      <c r="V167" s="5"/>
      <c r="W167" s="5"/>
      <c r="X167" s="5"/>
      <c r="Y167" s="5"/>
      <c r="AS167" s="5"/>
      <c r="AT167" s="5"/>
      <c r="AU167" s="5"/>
      <c r="AV167" s="5"/>
      <c r="AW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</row>
    <row r="168" spans="21:153" ht="12.75">
      <c r="U168" s="5"/>
      <c r="V168" s="5"/>
      <c r="W168" s="5"/>
      <c r="X168" s="5"/>
      <c r="Y168" s="5"/>
      <c r="AS168" s="5"/>
      <c r="AT168" s="5"/>
      <c r="AU168" s="5"/>
      <c r="AV168" s="5"/>
      <c r="AW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</row>
    <row r="169" spans="21:153" ht="12.75">
      <c r="U169" s="5"/>
      <c r="V169" s="5"/>
      <c r="W169" s="5"/>
      <c r="X169" s="5"/>
      <c r="Y169" s="5"/>
      <c r="AS169" s="5"/>
      <c r="AT169" s="5"/>
      <c r="AU169" s="5"/>
      <c r="AV169" s="5"/>
      <c r="AW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</row>
    <row r="170" spans="21:153" ht="12.75">
      <c r="U170" s="5"/>
      <c r="V170" s="5"/>
      <c r="W170" s="5"/>
      <c r="X170" s="5"/>
      <c r="Y170" s="5"/>
      <c r="AS170" s="5"/>
      <c r="AT170" s="5"/>
      <c r="AU170" s="5"/>
      <c r="AV170" s="5"/>
      <c r="AW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</row>
    <row r="171" spans="21:153" ht="12.75">
      <c r="U171" s="5"/>
      <c r="V171" s="5"/>
      <c r="W171" s="5"/>
      <c r="X171" s="5"/>
      <c r="Y171" s="5"/>
      <c r="AS171" s="5"/>
      <c r="AT171" s="5"/>
      <c r="AU171" s="5"/>
      <c r="AV171" s="5"/>
      <c r="AW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</row>
    <row r="172" spans="21:153" ht="12.75">
      <c r="U172" s="5"/>
      <c r="V172" s="5"/>
      <c r="W172" s="5"/>
      <c r="X172" s="5"/>
      <c r="Y172" s="5"/>
      <c r="AS172" s="5"/>
      <c r="AT172" s="5"/>
      <c r="AU172" s="5"/>
      <c r="AV172" s="5"/>
      <c r="AW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</row>
    <row r="173" spans="21:153" ht="12.75">
      <c r="U173" s="5"/>
      <c r="V173" s="5"/>
      <c r="W173" s="5"/>
      <c r="X173" s="5"/>
      <c r="Y173" s="5"/>
      <c r="AS173" s="5"/>
      <c r="AT173" s="5"/>
      <c r="AU173" s="5"/>
      <c r="AV173" s="5"/>
      <c r="AW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</row>
    <row r="174" spans="21:153" ht="12.75">
      <c r="U174" s="5"/>
      <c r="V174" s="5"/>
      <c r="W174" s="5"/>
      <c r="X174" s="5"/>
      <c r="Y174" s="5"/>
      <c r="AS174" s="5"/>
      <c r="AT174" s="5"/>
      <c r="AU174" s="5"/>
      <c r="AV174" s="5"/>
      <c r="AW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</row>
    <row r="175" spans="21:153" ht="12.75">
      <c r="U175" s="5"/>
      <c r="V175" s="5"/>
      <c r="W175" s="5"/>
      <c r="X175" s="5"/>
      <c r="Y175" s="5"/>
      <c r="AS175" s="5"/>
      <c r="AT175" s="5"/>
      <c r="AU175" s="5"/>
      <c r="AV175" s="5"/>
      <c r="AW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</row>
    <row r="176" spans="21:153" ht="12.75">
      <c r="U176" s="5"/>
      <c r="V176" s="5"/>
      <c r="W176" s="5"/>
      <c r="X176" s="5"/>
      <c r="Y176" s="5"/>
      <c r="AS176" s="5"/>
      <c r="AT176" s="5"/>
      <c r="AU176" s="5"/>
      <c r="AV176" s="5"/>
      <c r="AW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</row>
    <row r="177" spans="21:153" ht="12.75">
      <c r="U177" s="5"/>
      <c r="V177" s="5"/>
      <c r="W177" s="5"/>
      <c r="X177" s="5"/>
      <c r="Y177" s="5"/>
      <c r="AS177" s="5"/>
      <c r="AT177" s="5"/>
      <c r="AU177" s="5"/>
      <c r="AV177" s="5"/>
      <c r="AW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</row>
    <row r="178" spans="21:153" ht="12.75">
      <c r="U178" s="5"/>
      <c r="V178" s="5"/>
      <c r="W178" s="5"/>
      <c r="X178" s="5"/>
      <c r="Y178" s="5"/>
      <c r="AS178" s="5"/>
      <c r="AT178" s="5"/>
      <c r="AU178" s="5"/>
      <c r="AV178" s="5"/>
      <c r="AW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</row>
    <row r="179" spans="21:153" ht="12.75">
      <c r="U179" s="5"/>
      <c r="V179" s="5"/>
      <c r="W179" s="5"/>
      <c r="X179" s="5"/>
      <c r="Y179" s="5"/>
      <c r="AS179" s="5"/>
      <c r="AT179" s="5"/>
      <c r="AU179" s="5"/>
      <c r="AV179" s="5"/>
      <c r="AW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</row>
    <row r="180" spans="21:153" ht="12.75">
      <c r="U180" s="5"/>
      <c r="V180" s="5"/>
      <c r="W180" s="5"/>
      <c r="X180" s="5"/>
      <c r="Y180" s="5"/>
      <c r="AS180" s="5"/>
      <c r="AT180" s="5"/>
      <c r="AU180" s="5"/>
      <c r="AV180" s="5"/>
      <c r="AW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</row>
    <row r="181" spans="21:153" ht="12.75">
      <c r="U181" s="5"/>
      <c r="V181" s="5"/>
      <c r="W181" s="5"/>
      <c r="X181" s="5"/>
      <c r="Y181" s="5"/>
      <c r="AS181" s="5"/>
      <c r="AT181" s="5"/>
      <c r="AU181" s="5"/>
      <c r="AV181" s="5"/>
      <c r="AW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</row>
    <row r="182" spans="21:153" ht="12.75">
      <c r="U182" s="5"/>
      <c r="V182" s="5"/>
      <c r="W182" s="5"/>
      <c r="X182" s="5"/>
      <c r="Y182" s="5"/>
      <c r="AS182" s="5"/>
      <c r="AT182" s="5"/>
      <c r="AU182" s="5"/>
      <c r="AV182" s="5"/>
      <c r="AW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</row>
    <row r="183" spans="21:153" ht="12.75">
      <c r="U183" s="5"/>
      <c r="V183" s="5"/>
      <c r="W183" s="5"/>
      <c r="X183" s="5"/>
      <c r="Y183" s="5"/>
      <c r="AS183" s="5"/>
      <c r="AT183" s="5"/>
      <c r="AU183" s="5"/>
      <c r="AV183" s="5"/>
      <c r="AW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</row>
    <row r="184" spans="21:153" ht="12.75">
      <c r="U184" s="5"/>
      <c r="V184" s="5"/>
      <c r="W184" s="5"/>
      <c r="X184" s="5"/>
      <c r="Y184" s="5"/>
      <c r="AS184" s="5"/>
      <c r="AT184" s="5"/>
      <c r="AU184" s="5"/>
      <c r="AV184" s="5"/>
      <c r="AW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</row>
    <row r="185" spans="21:153" ht="12.75">
      <c r="U185" s="5"/>
      <c r="V185" s="5"/>
      <c r="W185" s="5"/>
      <c r="X185" s="5"/>
      <c r="Y185" s="5"/>
      <c r="AS185" s="5"/>
      <c r="AT185" s="5"/>
      <c r="AU185" s="5"/>
      <c r="AV185" s="5"/>
      <c r="AW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</row>
    <row r="186" spans="21:153" ht="12.75">
      <c r="U186" s="5"/>
      <c r="V186" s="5"/>
      <c r="W186" s="5"/>
      <c r="X186" s="5"/>
      <c r="Y186" s="5"/>
      <c r="AS186" s="5"/>
      <c r="AT186" s="5"/>
      <c r="AU186" s="5"/>
      <c r="AV186" s="5"/>
      <c r="AW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</row>
    <row r="187" spans="21:153" ht="12.75">
      <c r="U187" s="5"/>
      <c r="V187" s="5"/>
      <c r="W187" s="5"/>
      <c r="X187" s="5"/>
      <c r="Y187" s="5"/>
      <c r="AS187" s="5"/>
      <c r="AT187" s="5"/>
      <c r="AU187" s="5"/>
      <c r="AV187" s="5"/>
      <c r="AW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</row>
    <row r="188" spans="21:153" ht="12.75">
      <c r="U188" s="5"/>
      <c r="V188" s="5"/>
      <c r="W188" s="5"/>
      <c r="X188" s="5"/>
      <c r="Y188" s="5"/>
      <c r="AS188" s="5"/>
      <c r="AT188" s="5"/>
      <c r="AU188" s="5"/>
      <c r="AV188" s="5"/>
      <c r="AW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</row>
    <row r="189" spans="21:153" ht="12.75">
      <c r="U189" s="5"/>
      <c r="V189" s="5"/>
      <c r="W189" s="5"/>
      <c r="X189" s="5"/>
      <c r="Y189" s="5"/>
      <c r="AS189" s="5"/>
      <c r="AT189" s="5"/>
      <c r="AU189" s="5"/>
      <c r="AV189" s="5"/>
      <c r="AW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</row>
    <row r="190" spans="21:153" ht="12.75">
      <c r="U190" s="5"/>
      <c r="V190" s="5"/>
      <c r="W190" s="5"/>
      <c r="X190" s="5"/>
      <c r="Y190" s="5"/>
      <c r="AS190" s="5"/>
      <c r="AT190" s="5"/>
      <c r="AU190" s="5"/>
      <c r="AV190" s="5"/>
      <c r="AW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</row>
    <row r="191" spans="21:153" ht="12.75">
      <c r="U191" s="5"/>
      <c r="V191" s="5"/>
      <c r="W191" s="5"/>
      <c r="X191" s="5"/>
      <c r="Y191" s="5"/>
      <c r="AS191" s="5"/>
      <c r="AT191" s="5"/>
      <c r="AU191" s="5"/>
      <c r="AV191" s="5"/>
      <c r="AW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</row>
    <row r="192" spans="21:153" ht="12.75">
      <c r="U192" s="5"/>
      <c r="V192" s="5"/>
      <c r="W192" s="5"/>
      <c r="X192" s="5"/>
      <c r="Y192" s="5"/>
      <c r="AS192" s="5"/>
      <c r="AT192" s="5"/>
      <c r="AU192" s="5"/>
      <c r="AV192" s="5"/>
      <c r="AW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</row>
    <row r="193" spans="21:153" ht="12.75">
      <c r="U193" s="5"/>
      <c r="V193" s="5"/>
      <c r="W193" s="5"/>
      <c r="X193" s="5"/>
      <c r="Y193" s="5"/>
      <c r="AS193" s="5"/>
      <c r="AT193" s="5"/>
      <c r="AU193" s="5"/>
      <c r="AV193" s="5"/>
      <c r="AW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</row>
    <row r="194" spans="21:153" ht="12.75">
      <c r="U194" s="5"/>
      <c r="V194" s="5"/>
      <c r="W194" s="5"/>
      <c r="X194" s="5"/>
      <c r="Y194" s="5"/>
      <c r="AS194" s="5"/>
      <c r="AT194" s="5"/>
      <c r="AU194" s="5"/>
      <c r="AV194" s="5"/>
      <c r="AW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</row>
    <row r="195" spans="21:153" ht="12.75">
      <c r="U195" s="5"/>
      <c r="V195" s="5"/>
      <c r="W195" s="5"/>
      <c r="X195" s="5"/>
      <c r="Y195" s="5"/>
      <c r="AS195" s="5"/>
      <c r="AT195" s="5"/>
      <c r="AU195" s="5"/>
      <c r="AV195" s="5"/>
      <c r="AW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</row>
    <row r="196" spans="21:153" ht="12.75">
      <c r="U196" s="5"/>
      <c r="V196" s="5"/>
      <c r="W196" s="5"/>
      <c r="X196" s="5"/>
      <c r="Y196" s="5"/>
      <c r="AS196" s="5"/>
      <c r="AT196" s="5"/>
      <c r="AU196" s="5"/>
      <c r="AV196" s="5"/>
      <c r="AW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</row>
    <row r="197" spans="21:153" ht="12.75">
      <c r="U197" s="5"/>
      <c r="V197" s="5"/>
      <c r="W197" s="5"/>
      <c r="X197" s="5"/>
      <c r="Y197" s="5"/>
      <c r="AS197" s="5"/>
      <c r="AT197" s="5"/>
      <c r="AU197" s="5"/>
      <c r="AV197" s="5"/>
      <c r="AW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</row>
    <row r="198" spans="21:153" ht="12.75">
      <c r="U198" s="5"/>
      <c r="V198" s="5"/>
      <c r="W198" s="5"/>
      <c r="X198" s="5"/>
      <c r="Y198" s="5"/>
      <c r="AS198" s="5"/>
      <c r="AT198" s="5"/>
      <c r="AU198" s="5"/>
      <c r="AV198" s="5"/>
      <c r="AW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</row>
    <row r="199" spans="21:153" ht="12.75">
      <c r="U199" s="5"/>
      <c r="V199" s="5"/>
      <c r="W199" s="5"/>
      <c r="X199" s="5"/>
      <c r="Y199" s="5"/>
      <c r="AS199" s="5"/>
      <c r="AT199" s="5"/>
      <c r="AU199" s="5"/>
      <c r="AV199" s="5"/>
      <c r="AW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</row>
    <row r="200" spans="21:153" ht="12.75">
      <c r="U200" s="5"/>
      <c r="V200" s="5"/>
      <c r="W200" s="5"/>
      <c r="X200" s="5"/>
      <c r="Y200" s="5"/>
      <c r="AS200" s="5"/>
      <c r="AT200" s="5"/>
      <c r="AU200" s="5"/>
      <c r="AV200" s="5"/>
      <c r="AW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</row>
    <row r="201" spans="21:153" ht="12.75">
      <c r="U201" s="5"/>
      <c r="V201" s="5"/>
      <c r="W201" s="5"/>
      <c r="X201" s="5"/>
      <c r="Y201" s="5"/>
      <c r="AS201" s="5"/>
      <c r="AT201" s="5"/>
      <c r="AU201" s="5"/>
      <c r="AV201" s="5"/>
      <c r="AW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</row>
    <row r="202" spans="21:153" ht="12.75">
      <c r="U202" s="5"/>
      <c r="V202" s="5"/>
      <c r="W202" s="5"/>
      <c r="X202" s="5"/>
      <c r="Y202" s="5"/>
      <c r="AS202" s="5"/>
      <c r="AT202" s="5"/>
      <c r="AU202" s="5"/>
      <c r="AV202" s="5"/>
      <c r="AW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</row>
    <row r="203" spans="21:153" ht="12.75">
      <c r="U203" s="5"/>
      <c r="V203" s="5"/>
      <c r="W203" s="5"/>
      <c r="X203" s="5"/>
      <c r="Y203" s="5"/>
      <c r="AS203" s="5"/>
      <c r="AT203" s="5"/>
      <c r="AU203" s="5"/>
      <c r="AV203" s="5"/>
      <c r="AW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</row>
    <row r="204" spans="21:153" ht="12.75">
      <c r="U204" s="5"/>
      <c r="V204" s="5"/>
      <c r="W204" s="5"/>
      <c r="X204" s="5"/>
      <c r="Y204" s="5"/>
      <c r="AS204" s="5"/>
      <c r="AT204" s="5"/>
      <c r="AU204" s="5"/>
      <c r="AV204" s="5"/>
      <c r="AW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</row>
    <row r="205" spans="21:153" ht="12.75">
      <c r="U205" s="5"/>
      <c r="V205" s="5"/>
      <c r="W205" s="5"/>
      <c r="X205" s="5"/>
      <c r="Y205" s="5"/>
      <c r="AS205" s="5"/>
      <c r="AT205" s="5"/>
      <c r="AU205" s="5"/>
      <c r="AV205" s="5"/>
      <c r="AW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</row>
    <row r="206" spans="21:153" ht="12.75">
      <c r="U206" s="5"/>
      <c r="V206" s="5"/>
      <c r="W206" s="5"/>
      <c r="X206" s="5"/>
      <c r="Y206" s="5"/>
      <c r="AS206" s="5"/>
      <c r="AT206" s="5"/>
      <c r="AU206" s="5"/>
      <c r="AV206" s="5"/>
      <c r="AW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</row>
    <row r="207" spans="21:153" ht="12.75">
      <c r="U207" s="5"/>
      <c r="V207" s="5"/>
      <c r="W207" s="5"/>
      <c r="X207" s="5"/>
      <c r="Y207" s="5"/>
      <c r="AS207" s="5"/>
      <c r="AT207" s="5"/>
      <c r="AU207" s="5"/>
      <c r="AV207" s="5"/>
      <c r="AW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</row>
    <row r="208" spans="21:153" ht="12.75">
      <c r="U208" s="5"/>
      <c r="V208" s="5"/>
      <c r="W208" s="5"/>
      <c r="X208" s="5"/>
      <c r="Y208" s="5"/>
      <c r="AS208" s="5"/>
      <c r="AT208" s="5"/>
      <c r="AU208" s="5"/>
      <c r="AV208" s="5"/>
      <c r="AW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</row>
    <row r="209" spans="21:153" ht="12.75">
      <c r="U209" s="5"/>
      <c r="V209" s="5"/>
      <c r="W209" s="5"/>
      <c r="X209" s="5"/>
      <c r="Y209" s="5"/>
      <c r="AS209" s="5"/>
      <c r="AT209" s="5"/>
      <c r="AU209" s="5"/>
      <c r="AV209" s="5"/>
      <c r="AW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</row>
    <row r="210" spans="21:153" ht="12.75">
      <c r="U210" s="5"/>
      <c r="V210" s="5"/>
      <c r="W210" s="5"/>
      <c r="X210" s="5"/>
      <c r="Y210" s="5"/>
      <c r="AS210" s="5"/>
      <c r="AT210" s="5"/>
      <c r="AU210" s="5"/>
      <c r="AV210" s="5"/>
      <c r="AW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</row>
    <row r="211" spans="21:153" ht="12.75">
      <c r="U211" s="5"/>
      <c r="V211" s="5"/>
      <c r="W211" s="5"/>
      <c r="X211" s="5"/>
      <c r="Y211" s="5"/>
      <c r="AS211" s="5"/>
      <c r="AT211" s="5"/>
      <c r="AU211" s="5"/>
      <c r="AV211" s="5"/>
      <c r="AW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</row>
    <row r="212" spans="21:153" ht="12.75">
      <c r="U212" s="5"/>
      <c r="V212" s="5"/>
      <c r="W212" s="5"/>
      <c r="X212" s="5"/>
      <c r="Y212" s="5"/>
      <c r="AS212" s="5"/>
      <c r="AT212" s="5"/>
      <c r="AU212" s="5"/>
      <c r="AV212" s="5"/>
      <c r="AW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</row>
    <row r="213" spans="21:153" ht="12.75">
      <c r="U213" s="5"/>
      <c r="V213" s="5"/>
      <c r="W213" s="5"/>
      <c r="X213" s="5"/>
      <c r="Y213" s="5"/>
      <c r="AS213" s="5"/>
      <c r="AT213" s="5"/>
      <c r="AU213" s="5"/>
      <c r="AV213" s="5"/>
      <c r="AW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</row>
    <row r="214" spans="21:153" ht="12.75">
      <c r="U214" s="5"/>
      <c r="V214" s="5"/>
      <c r="W214" s="5"/>
      <c r="X214" s="5"/>
      <c r="Y214" s="5"/>
      <c r="AS214" s="5"/>
      <c r="AT214" s="5"/>
      <c r="AU214" s="5"/>
      <c r="AV214" s="5"/>
      <c r="AW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</row>
    <row r="215" spans="21:153" ht="12.75">
      <c r="U215" s="5"/>
      <c r="V215" s="5"/>
      <c r="W215" s="5"/>
      <c r="X215" s="5"/>
      <c r="Y215" s="5"/>
      <c r="AS215" s="5"/>
      <c r="AT215" s="5"/>
      <c r="AU215" s="5"/>
      <c r="AV215" s="5"/>
      <c r="AW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</row>
    <row r="216" spans="21:153" ht="12.75">
      <c r="U216" s="5"/>
      <c r="V216" s="5"/>
      <c r="W216" s="5"/>
      <c r="X216" s="5"/>
      <c r="Y216" s="5"/>
      <c r="AS216" s="5"/>
      <c r="AT216" s="5"/>
      <c r="AU216" s="5"/>
      <c r="AV216" s="5"/>
      <c r="AW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</row>
    <row r="217" spans="21:153" ht="12.75">
      <c r="U217" s="5"/>
      <c r="V217" s="5"/>
      <c r="W217" s="5"/>
      <c r="X217" s="5"/>
      <c r="Y217" s="5"/>
      <c r="AS217" s="5"/>
      <c r="AT217" s="5"/>
      <c r="AU217" s="5"/>
      <c r="AV217" s="5"/>
      <c r="AW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</row>
    <row r="218" spans="21:153" ht="12.75">
      <c r="U218" s="5"/>
      <c r="V218" s="5"/>
      <c r="W218" s="5"/>
      <c r="X218" s="5"/>
      <c r="Y218" s="5"/>
      <c r="AS218" s="5"/>
      <c r="AT218" s="5"/>
      <c r="AU218" s="5"/>
      <c r="AV218" s="5"/>
      <c r="AW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</row>
    <row r="219" spans="21:153" ht="12.75">
      <c r="U219" s="5"/>
      <c r="V219" s="5"/>
      <c r="W219" s="5"/>
      <c r="X219" s="5"/>
      <c r="Y219" s="5"/>
      <c r="AS219" s="5"/>
      <c r="AT219" s="5"/>
      <c r="AU219" s="5"/>
      <c r="AV219" s="5"/>
      <c r="AW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</row>
    <row r="220" spans="21:153" ht="12.75">
      <c r="U220" s="5"/>
      <c r="V220" s="5"/>
      <c r="W220" s="5"/>
      <c r="X220" s="5"/>
      <c r="Y220" s="5"/>
      <c r="AS220" s="5"/>
      <c r="AT220" s="5"/>
      <c r="AU220" s="5"/>
      <c r="AV220" s="5"/>
      <c r="AW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</row>
    <row r="221" spans="21:153" ht="12.75">
      <c r="U221" s="5"/>
      <c r="V221" s="5"/>
      <c r="W221" s="5"/>
      <c r="X221" s="5"/>
      <c r="Y221" s="5"/>
      <c r="AS221" s="5"/>
      <c r="AT221" s="5"/>
      <c r="AU221" s="5"/>
      <c r="AV221" s="5"/>
      <c r="AW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</row>
    <row r="222" spans="21:153" ht="12.75">
      <c r="U222" s="5"/>
      <c r="V222" s="5"/>
      <c r="W222" s="5"/>
      <c r="X222" s="5"/>
      <c r="Y222" s="5"/>
      <c r="AS222" s="5"/>
      <c r="AT222" s="5"/>
      <c r="AU222" s="5"/>
      <c r="AV222" s="5"/>
      <c r="AW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</row>
    <row r="223" spans="21:153" ht="12.75">
      <c r="U223" s="5"/>
      <c r="V223" s="5"/>
      <c r="W223" s="5"/>
      <c r="X223" s="5"/>
      <c r="Y223" s="5"/>
      <c r="AS223" s="5"/>
      <c r="AT223" s="5"/>
      <c r="AU223" s="5"/>
      <c r="AV223" s="5"/>
      <c r="AW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</row>
    <row r="224" spans="21:153" ht="12.75">
      <c r="U224" s="5"/>
      <c r="V224" s="5"/>
      <c r="W224" s="5"/>
      <c r="X224" s="5"/>
      <c r="Y224" s="5"/>
      <c r="AS224" s="5"/>
      <c r="AT224" s="5"/>
      <c r="AU224" s="5"/>
      <c r="AV224" s="5"/>
      <c r="AW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</row>
    <row r="225" spans="21:153" ht="12.75">
      <c r="U225" s="5"/>
      <c r="V225" s="5"/>
      <c r="W225" s="5"/>
      <c r="X225" s="5"/>
      <c r="Y225" s="5"/>
      <c r="AS225" s="5"/>
      <c r="AT225" s="5"/>
      <c r="AU225" s="5"/>
      <c r="AV225" s="5"/>
      <c r="AW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</row>
    <row r="226" spans="21:153" ht="12.75">
      <c r="U226" s="5"/>
      <c r="V226" s="5"/>
      <c r="W226" s="5"/>
      <c r="X226" s="5"/>
      <c r="Y226" s="5"/>
      <c r="AS226" s="5"/>
      <c r="AT226" s="5"/>
      <c r="AU226" s="5"/>
      <c r="AV226" s="5"/>
      <c r="AW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</row>
    <row r="227" spans="21:153" ht="12.75">
      <c r="U227" s="5"/>
      <c r="V227" s="5"/>
      <c r="W227" s="5"/>
      <c r="X227" s="5"/>
      <c r="Y227" s="5"/>
      <c r="AS227" s="5"/>
      <c r="AT227" s="5"/>
      <c r="AU227" s="5"/>
      <c r="AV227" s="5"/>
      <c r="AW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</row>
    <row r="228" spans="21:153" ht="12.75">
      <c r="U228" s="5"/>
      <c r="V228" s="5"/>
      <c r="W228" s="5"/>
      <c r="X228" s="5"/>
      <c r="Y228" s="5"/>
      <c r="AS228" s="5"/>
      <c r="AT228" s="5"/>
      <c r="AU228" s="5"/>
      <c r="AV228" s="5"/>
      <c r="AW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</row>
    <row r="229" spans="21:153" ht="12.75">
      <c r="U229" s="5"/>
      <c r="V229" s="5"/>
      <c r="W229" s="5"/>
      <c r="X229" s="5"/>
      <c r="Y229" s="5"/>
      <c r="AS229" s="5"/>
      <c r="AT229" s="5"/>
      <c r="AU229" s="5"/>
      <c r="AV229" s="5"/>
      <c r="AW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</row>
    <row r="230" spans="21:153" ht="12.75">
      <c r="U230" s="5"/>
      <c r="V230" s="5"/>
      <c r="W230" s="5"/>
      <c r="X230" s="5"/>
      <c r="Y230" s="5"/>
      <c r="AS230" s="5"/>
      <c r="AT230" s="5"/>
      <c r="AU230" s="5"/>
      <c r="AV230" s="5"/>
      <c r="AW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</row>
    <row r="231" spans="21:153" ht="12.75">
      <c r="U231" s="5"/>
      <c r="V231" s="5"/>
      <c r="W231" s="5"/>
      <c r="X231" s="5"/>
      <c r="Y231" s="5"/>
      <c r="AS231" s="5"/>
      <c r="AT231" s="5"/>
      <c r="AU231" s="5"/>
      <c r="AV231" s="5"/>
      <c r="AW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</row>
    <row r="232" spans="21:153" ht="12.75">
      <c r="U232" s="5"/>
      <c r="V232" s="5"/>
      <c r="W232" s="5"/>
      <c r="X232" s="5"/>
      <c r="Y232" s="5"/>
      <c r="AS232" s="5"/>
      <c r="AT232" s="5"/>
      <c r="AU232" s="5"/>
      <c r="AV232" s="5"/>
      <c r="AW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</row>
    <row r="233" spans="21:153" ht="12.75">
      <c r="U233" s="5"/>
      <c r="V233" s="5"/>
      <c r="W233" s="5"/>
      <c r="X233" s="5"/>
      <c r="Y233" s="5"/>
      <c r="AS233" s="5"/>
      <c r="AT233" s="5"/>
      <c r="AU233" s="5"/>
      <c r="AV233" s="5"/>
      <c r="AW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</row>
    <row r="234" spans="21:153" ht="12.75">
      <c r="U234" s="5"/>
      <c r="V234" s="5"/>
      <c r="W234" s="5"/>
      <c r="X234" s="5"/>
      <c r="Y234" s="5"/>
      <c r="AS234" s="5"/>
      <c r="AT234" s="5"/>
      <c r="AU234" s="5"/>
      <c r="AV234" s="5"/>
      <c r="AW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</row>
    <row r="235" spans="21:153" ht="12.75">
      <c r="U235" s="5"/>
      <c r="V235" s="5"/>
      <c r="W235" s="5"/>
      <c r="X235" s="5"/>
      <c r="Y235" s="5"/>
      <c r="AS235" s="5"/>
      <c r="AT235" s="5"/>
      <c r="AU235" s="5"/>
      <c r="AV235" s="5"/>
      <c r="AW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</row>
    <row r="236" spans="21:153" ht="12.75">
      <c r="U236" s="5"/>
      <c r="V236" s="5"/>
      <c r="W236" s="5"/>
      <c r="X236" s="5"/>
      <c r="Y236" s="5"/>
      <c r="AS236" s="5"/>
      <c r="AT236" s="5"/>
      <c r="AU236" s="5"/>
      <c r="AV236" s="5"/>
      <c r="AW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</row>
    <row r="237" spans="21:153" ht="12.75">
      <c r="U237" s="5"/>
      <c r="V237" s="5"/>
      <c r="W237" s="5"/>
      <c r="X237" s="5"/>
      <c r="Y237" s="5"/>
      <c r="AS237" s="5"/>
      <c r="AT237" s="5"/>
      <c r="AU237" s="5"/>
      <c r="AV237" s="5"/>
      <c r="AW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</row>
    <row r="238" spans="21:153" ht="12.75">
      <c r="U238" s="5"/>
      <c r="V238" s="5"/>
      <c r="W238" s="5"/>
      <c r="X238" s="5"/>
      <c r="Y238" s="5"/>
      <c r="AS238" s="5"/>
      <c r="AT238" s="5"/>
      <c r="AU238" s="5"/>
      <c r="AV238" s="5"/>
      <c r="AW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</row>
    <row r="239" spans="21:153" ht="12.75">
      <c r="U239" s="5"/>
      <c r="V239" s="5"/>
      <c r="W239" s="5"/>
      <c r="X239" s="5"/>
      <c r="Y239" s="5"/>
      <c r="AS239" s="5"/>
      <c r="AT239" s="5"/>
      <c r="AU239" s="5"/>
      <c r="AV239" s="5"/>
      <c r="AW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</row>
    <row r="240" spans="21:153" ht="12.75">
      <c r="U240" s="5"/>
      <c r="V240" s="5"/>
      <c r="W240" s="5"/>
      <c r="X240" s="5"/>
      <c r="Y240" s="5"/>
      <c r="AS240" s="5"/>
      <c r="AT240" s="5"/>
      <c r="AU240" s="5"/>
      <c r="AV240" s="5"/>
      <c r="AW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</row>
    <row r="241" spans="21:153" ht="12.75">
      <c r="U241" s="5"/>
      <c r="V241" s="5"/>
      <c r="W241" s="5"/>
      <c r="X241" s="5"/>
      <c r="Y241" s="5"/>
      <c r="AS241" s="5"/>
      <c r="AT241" s="5"/>
      <c r="AU241" s="5"/>
      <c r="AV241" s="5"/>
      <c r="AW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</row>
    <row r="242" spans="21:153" ht="12.75">
      <c r="U242" s="5"/>
      <c r="V242" s="5"/>
      <c r="W242" s="5"/>
      <c r="X242" s="5"/>
      <c r="Y242" s="5"/>
      <c r="AS242" s="5"/>
      <c r="AT242" s="5"/>
      <c r="AU242" s="5"/>
      <c r="AV242" s="5"/>
      <c r="AW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</row>
    <row r="243" spans="21:153" ht="12.75">
      <c r="U243" s="5"/>
      <c r="V243" s="5"/>
      <c r="W243" s="5"/>
      <c r="X243" s="5"/>
      <c r="Y243" s="5"/>
      <c r="AS243" s="5"/>
      <c r="AT243" s="5"/>
      <c r="AU243" s="5"/>
      <c r="AV243" s="5"/>
      <c r="AW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</row>
    <row r="244" spans="21:153" ht="12.75">
      <c r="U244" s="5"/>
      <c r="V244" s="5"/>
      <c r="W244" s="5"/>
      <c r="X244" s="5"/>
      <c r="Y244" s="5"/>
      <c r="AS244" s="5"/>
      <c r="AT244" s="5"/>
      <c r="AU244" s="5"/>
      <c r="AV244" s="5"/>
      <c r="AW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</row>
    <row r="245" spans="21:153" ht="12.75">
      <c r="U245" s="5"/>
      <c r="V245" s="5"/>
      <c r="W245" s="5"/>
      <c r="X245" s="5"/>
      <c r="Y245" s="5"/>
      <c r="AS245" s="5"/>
      <c r="AT245" s="5"/>
      <c r="AU245" s="5"/>
      <c r="AV245" s="5"/>
      <c r="AW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</row>
    <row r="246" spans="21:153" ht="12.75">
      <c r="U246" s="5"/>
      <c r="V246" s="5"/>
      <c r="W246" s="5"/>
      <c r="X246" s="5"/>
      <c r="Y246" s="5"/>
      <c r="AS246" s="5"/>
      <c r="AT246" s="5"/>
      <c r="AU246" s="5"/>
      <c r="AV246" s="5"/>
      <c r="AW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</row>
    <row r="247" spans="21:153" ht="12.75">
      <c r="U247" s="5"/>
      <c r="V247" s="5"/>
      <c r="W247" s="5"/>
      <c r="X247" s="5"/>
      <c r="Y247" s="5"/>
      <c r="AS247" s="5"/>
      <c r="AT247" s="5"/>
      <c r="AU247" s="5"/>
      <c r="AV247" s="5"/>
      <c r="AW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</row>
    <row r="248" spans="21:153" ht="12.75">
      <c r="U248" s="5"/>
      <c r="V248" s="5"/>
      <c r="W248" s="5"/>
      <c r="X248" s="5"/>
      <c r="Y248" s="5"/>
      <c r="AS248" s="5"/>
      <c r="AT248" s="5"/>
      <c r="AU248" s="5"/>
      <c r="AV248" s="5"/>
      <c r="AW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</row>
    <row r="249" spans="21:153" ht="12.75">
      <c r="U249" s="5"/>
      <c r="V249" s="5"/>
      <c r="W249" s="5"/>
      <c r="X249" s="5"/>
      <c r="Y249" s="5"/>
      <c r="AS249" s="5"/>
      <c r="AT249" s="5"/>
      <c r="AU249" s="5"/>
      <c r="AV249" s="5"/>
      <c r="AW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</row>
    <row r="250" spans="21:153" ht="12.75">
      <c r="U250" s="5"/>
      <c r="V250" s="5"/>
      <c r="W250" s="5"/>
      <c r="X250" s="5"/>
      <c r="Y250" s="5"/>
      <c r="AS250" s="5"/>
      <c r="AT250" s="5"/>
      <c r="AU250" s="5"/>
      <c r="AV250" s="5"/>
      <c r="AW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</row>
    <row r="251" spans="21:153" ht="12.75">
      <c r="U251" s="5"/>
      <c r="V251" s="5"/>
      <c r="W251" s="5"/>
      <c r="X251" s="5"/>
      <c r="Y251" s="5"/>
      <c r="AS251" s="5"/>
      <c r="AT251" s="5"/>
      <c r="AU251" s="5"/>
      <c r="AV251" s="5"/>
      <c r="AW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</row>
    <row r="252" spans="21:153" ht="12.75">
      <c r="U252" s="5"/>
      <c r="V252" s="5"/>
      <c r="W252" s="5"/>
      <c r="X252" s="5"/>
      <c r="Y252" s="5"/>
      <c r="AS252" s="5"/>
      <c r="AT252" s="5"/>
      <c r="AU252" s="5"/>
      <c r="AV252" s="5"/>
      <c r="AW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</row>
    <row r="253" spans="21:153" ht="12.75">
      <c r="U253" s="5"/>
      <c r="V253" s="5"/>
      <c r="W253" s="5"/>
      <c r="X253" s="5"/>
      <c r="Y253" s="5"/>
      <c r="AS253" s="5"/>
      <c r="AT253" s="5"/>
      <c r="AU253" s="5"/>
      <c r="AV253" s="5"/>
      <c r="AW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</row>
    <row r="254" spans="21:153" ht="12.75">
      <c r="U254" s="5"/>
      <c r="V254" s="5"/>
      <c r="W254" s="5"/>
      <c r="X254" s="5"/>
      <c r="Y254" s="5"/>
      <c r="AS254" s="5"/>
      <c r="AT254" s="5"/>
      <c r="AU254" s="5"/>
      <c r="AV254" s="5"/>
      <c r="AW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</row>
    <row r="255" spans="21:153" ht="12.75">
      <c r="U255" s="5"/>
      <c r="V255" s="5"/>
      <c r="W255" s="5"/>
      <c r="X255" s="5"/>
      <c r="Y255" s="5"/>
      <c r="AS255" s="5"/>
      <c r="AT255" s="5"/>
      <c r="AU255" s="5"/>
      <c r="AV255" s="5"/>
      <c r="AW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</row>
    <row r="256" spans="21:153" ht="12.75">
      <c r="U256" s="5"/>
      <c r="V256" s="5"/>
      <c r="W256" s="5"/>
      <c r="X256" s="5"/>
      <c r="Y256" s="5"/>
      <c r="AS256" s="5"/>
      <c r="AT256" s="5"/>
      <c r="AU256" s="5"/>
      <c r="AV256" s="5"/>
      <c r="AW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</row>
    <row r="257" spans="21:153" ht="12.75">
      <c r="U257" s="5"/>
      <c r="V257" s="5"/>
      <c r="W257" s="5"/>
      <c r="X257" s="5"/>
      <c r="Y257" s="5"/>
      <c r="AS257" s="5"/>
      <c r="AT257" s="5"/>
      <c r="AU257" s="5"/>
      <c r="AV257" s="5"/>
      <c r="AW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</row>
    <row r="258" spans="21:153" ht="12.75">
      <c r="U258" s="5"/>
      <c r="V258" s="5"/>
      <c r="W258" s="5"/>
      <c r="X258" s="5"/>
      <c r="Y258" s="5"/>
      <c r="AS258" s="5"/>
      <c r="AT258" s="5"/>
      <c r="AU258" s="5"/>
      <c r="AV258" s="5"/>
      <c r="AW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</row>
    <row r="259" spans="21:153" ht="12.75">
      <c r="U259" s="5"/>
      <c r="V259" s="5"/>
      <c r="W259" s="5"/>
      <c r="X259" s="5"/>
      <c r="Y259" s="5"/>
      <c r="AS259" s="5"/>
      <c r="AT259" s="5"/>
      <c r="AU259" s="5"/>
      <c r="AV259" s="5"/>
      <c r="AW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</row>
    <row r="260" spans="21:153" ht="12.75">
      <c r="U260" s="5"/>
      <c r="V260" s="5"/>
      <c r="W260" s="5"/>
      <c r="X260" s="5"/>
      <c r="Y260" s="5"/>
      <c r="AS260" s="5"/>
      <c r="AT260" s="5"/>
      <c r="AU260" s="5"/>
      <c r="AV260" s="5"/>
      <c r="AW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</row>
    <row r="261" spans="21:153" ht="12.75">
      <c r="U261" s="5"/>
      <c r="V261" s="5"/>
      <c r="W261" s="5"/>
      <c r="X261" s="5"/>
      <c r="Y261" s="5"/>
      <c r="AS261" s="5"/>
      <c r="AT261" s="5"/>
      <c r="AU261" s="5"/>
      <c r="AV261" s="5"/>
      <c r="AW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</row>
    <row r="262" spans="21:153" ht="12.75">
      <c r="U262" s="5"/>
      <c r="V262" s="5"/>
      <c r="W262" s="5"/>
      <c r="X262" s="5"/>
      <c r="Y262" s="5"/>
      <c r="AS262" s="5"/>
      <c r="AT262" s="5"/>
      <c r="AU262" s="5"/>
      <c r="AV262" s="5"/>
      <c r="AW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</row>
    <row r="263" spans="21:153" ht="12.75">
      <c r="U263" s="5"/>
      <c r="V263" s="5"/>
      <c r="W263" s="5"/>
      <c r="X263" s="5"/>
      <c r="Y263" s="5"/>
      <c r="AS263" s="5"/>
      <c r="AT263" s="5"/>
      <c r="AU263" s="5"/>
      <c r="AV263" s="5"/>
      <c r="AW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</row>
    <row r="264" spans="21:153" ht="12.75">
      <c r="U264" s="5"/>
      <c r="V264" s="5"/>
      <c r="W264" s="5"/>
      <c r="X264" s="5"/>
      <c r="Y264" s="5"/>
      <c r="AS264" s="5"/>
      <c r="AT264" s="5"/>
      <c r="AU264" s="5"/>
      <c r="AV264" s="5"/>
      <c r="AW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</row>
    <row r="265" spans="21:153" ht="12.75">
      <c r="U265" s="5"/>
      <c r="V265" s="5"/>
      <c r="W265" s="5"/>
      <c r="X265" s="5"/>
      <c r="Y265" s="5"/>
      <c r="AS265" s="5"/>
      <c r="AT265" s="5"/>
      <c r="AU265" s="5"/>
      <c r="AV265" s="5"/>
      <c r="AW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</row>
    <row r="266" spans="21:153" ht="12.75">
      <c r="U266" s="5"/>
      <c r="V266" s="5"/>
      <c r="W266" s="5"/>
      <c r="X266" s="5"/>
      <c r="Y266" s="5"/>
      <c r="AS266" s="5"/>
      <c r="AT266" s="5"/>
      <c r="AU266" s="5"/>
      <c r="AV266" s="5"/>
      <c r="AW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</row>
    <row r="267" spans="21:153" ht="12.75">
      <c r="U267" s="5"/>
      <c r="V267" s="5"/>
      <c r="W267" s="5"/>
      <c r="X267" s="5"/>
      <c r="Y267" s="5"/>
      <c r="AS267" s="5"/>
      <c r="AT267" s="5"/>
      <c r="AU267" s="5"/>
      <c r="AV267" s="5"/>
      <c r="AW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</row>
    <row r="268" spans="21:153" ht="12.75">
      <c r="U268" s="5"/>
      <c r="V268" s="5"/>
      <c r="W268" s="5"/>
      <c r="X268" s="5"/>
      <c r="Y268" s="5"/>
      <c r="AS268" s="5"/>
      <c r="AT268" s="5"/>
      <c r="AU268" s="5"/>
      <c r="AV268" s="5"/>
      <c r="AW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</row>
    <row r="269" spans="21:153" ht="12.75">
      <c r="U269" s="5"/>
      <c r="V269" s="5"/>
      <c r="W269" s="5"/>
      <c r="X269" s="5"/>
      <c r="Y269" s="5"/>
      <c r="AS269" s="5"/>
      <c r="AT269" s="5"/>
      <c r="AU269" s="5"/>
      <c r="AV269" s="5"/>
      <c r="AW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</row>
    <row r="270" spans="21:153" ht="12.75">
      <c r="U270" s="5"/>
      <c r="V270" s="5"/>
      <c r="W270" s="5"/>
      <c r="X270" s="5"/>
      <c r="Y270" s="5"/>
      <c r="AS270" s="5"/>
      <c r="AT270" s="5"/>
      <c r="AU270" s="5"/>
      <c r="AV270" s="5"/>
      <c r="AW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</row>
    <row r="271" spans="21:153" ht="12.75">
      <c r="U271" s="5"/>
      <c r="V271" s="5"/>
      <c r="W271" s="5"/>
      <c r="X271" s="5"/>
      <c r="Y271" s="5"/>
      <c r="AS271" s="5"/>
      <c r="AT271" s="5"/>
      <c r="AU271" s="5"/>
      <c r="AV271" s="5"/>
      <c r="AW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</row>
    <row r="272" spans="21:153" ht="12.75">
      <c r="U272" s="5"/>
      <c r="V272" s="5"/>
      <c r="W272" s="5"/>
      <c r="X272" s="5"/>
      <c r="Y272" s="5"/>
      <c r="AS272" s="5"/>
      <c r="AT272" s="5"/>
      <c r="AU272" s="5"/>
      <c r="AV272" s="5"/>
      <c r="AW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</row>
    <row r="273" spans="21:153" ht="12.75">
      <c r="U273" s="5"/>
      <c r="V273" s="5"/>
      <c r="W273" s="5"/>
      <c r="X273" s="5"/>
      <c r="Y273" s="5"/>
      <c r="AS273" s="5"/>
      <c r="AT273" s="5"/>
      <c r="AU273" s="5"/>
      <c r="AV273" s="5"/>
      <c r="AW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</row>
    <row r="274" spans="21:153" ht="12.75">
      <c r="U274" s="5"/>
      <c r="V274" s="5"/>
      <c r="W274" s="5"/>
      <c r="X274" s="5"/>
      <c r="Y274" s="5"/>
      <c r="AS274" s="5"/>
      <c r="AT274" s="5"/>
      <c r="AU274" s="5"/>
      <c r="AV274" s="5"/>
      <c r="AW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</row>
    <row r="275" spans="21:153" ht="12.75">
      <c r="U275" s="5"/>
      <c r="V275" s="5"/>
      <c r="W275" s="5"/>
      <c r="X275" s="5"/>
      <c r="Y275" s="5"/>
      <c r="AS275" s="5"/>
      <c r="AT275" s="5"/>
      <c r="AU275" s="5"/>
      <c r="AV275" s="5"/>
      <c r="AW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</row>
    <row r="276" spans="21:153" ht="12.75">
      <c r="U276" s="5"/>
      <c r="V276" s="5"/>
      <c r="W276" s="5"/>
      <c r="X276" s="5"/>
      <c r="Y276" s="5"/>
      <c r="AS276" s="5"/>
      <c r="AT276" s="5"/>
      <c r="AU276" s="5"/>
      <c r="AV276" s="5"/>
      <c r="AW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</row>
    <row r="277" spans="21:153" ht="12.75">
      <c r="U277" s="5"/>
      <c r="V277" s="5"/>
      <c r="W277" s="5"/>
      <c r="X277" s="5"/>
      <c r="Y277" s="5"/>
      <c r="AS277" s="5"/>
      <c r="AT277" s="5"/>
      <c r="AU277" s="5"/>
      <c r="AV277" s="5"/>
      <c r="AW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</row>
    <row r="278" spans="21:153" ht="12.75">
      <c r="U278" s="5"/>
      <c r="V278" s="5"/>
      <c r="W278" s="5"/>
      <c r="X278" s="5"/>
      <c r="Y278" s="5"/>
      <c r="AS278" s="5"/>
      <c r="AT278" s="5"/>
      <c r="AU278" s="5"/>
      <c r="AV278" s="5"/>
      <c r="AW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</row>
    <row r="279" spans="21:153" ht="12.75">
      <c r="U279" s="5"/>
      <c r="V279" s="5"/>
      <c r="W279" s="5"/>
      <c r="X279" s="5"/>
      <c r="Y279" s="5"/>
      <c r="AS279" s="5"/>
      <c r="AT279" s="5"/>
      <c r="AU279" s="5"/>
      <c r="AV279" s="5"/>
      <c r="AW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</row>
    <row r="280" spans="21:153" ht="12.75">
      <c r="U280" s="5"/>
      <c r="V280" s="5"/>
      <c r="W280" s="5"/>
      <c r="X280" s="5"/>
      <c r="Y280" s="5"/>
      <c r="AS280" s="5"/>
      <c r="AT280" s="5"/>
      <c r="AU280" s="5"/>
      <c r="AV280" s="5"/>
      <c r="AW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</row>
    <row r="281" spans="21:153" ht="12.75">
      <c r="U281" s="5"/>
      <c r="V281" s="5"/>
      <c r="W281" s="5"/>
      <c r="X281" s="5"/>
      <c r="Y281" s="5"/>
      <c r="AS281" s="5"/>
      <c r="AT281" s="5"/>
      <c r="AU281" s="5"/>
      <c r="AV281" s="5"/>
      <c r="AW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</row>
    <row r="282" spans="21:153" ht="12.75">
      <c r="U282" s="5"/>
      <c r="V282" s="5"/>
      <c r="W282" s="5"/>
      <c r="X282" s="5"/>
      <c r="Y282" s="5"/>
      <c r="AS282" s="5"/>
      <c r="AT282" s="5"/>
      <c r="AU282" s="5"/>
      <c r="AV282" s="5"/>
      <c r="AW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</row>
    <row r="283" spans="21:153" ht="12.75">
      <c r="U283" s="5"/>
      <c r="V283" s="5"/>
      <c r="W283" s="5"/>
      <c r="X283" s="5"/>
      <c r="Y283" s="5"/>
      <c r="AS283" s="5"/>
      <c r="AT283" s="5"/>
      <c r="AU283" s="5"/>
      <c r="AV283" s="5"/>
      <c r="AW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</row>
    <row r="284" spans="21:153" ht="12.75">
      <c r="U284" s="5"/>
      <c r="V284" s="5"/>
      <c r="W284" s="5"/>
      <c r="X284" s="5"/>
      <c r="Y284" s="5"/>
      <c r="AS284" s="5"/>
      <c r="AT284" s="5"/>
      <c r="AU284" s="5"/>
      <c r="AV284" s="5"/>
      <c r="AW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</row>
    <row r="285" spans="21:153" ht="12.75">
      <c r="U285" s="5"/>
      <c r="V285" s="5"/>
      <c r="W285" s="5"/>
      <c r="X285" s="5"/>
      <c r="Y285" s="5"/>
      <c r="AS285" s="5"/>
      <c r="AT285" s="5"/>
      <c r="AU285" s="5"/>
      <c r="AV285" s="5"/>
      <c r="AW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</row>
    <row r="286" spans="21:153" ht="12.75">
      <c r="U286" s="5"/>
      <c r="V286" s="5"/>
      <c r="W286" s="5"/>
      <c r="X286" s="5"/>
      <c r="Y286" s="5"/>
      <c r="AS286" s="5"/>
      <c r="AT286" s="5"/>
      <c r="AU286" s="5"/>
      <c r="AV286" s="5"/>
      <c r="AW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</row>
    <row r="287" spans="21:153" ht="12.75">
      <c r="U287" s="5"/>
      <c r="V287" s="5"/>
      <c r="W287" s="5"/>
      <c r="X287" s="5"/>
      <c r="Y287" s="5"/>
      <c r="AS287" s="5"/>
      <c r="AT287" s="5"/>
      <c r="AU287" s="5"/>
      <c r="AV287" s="5"/>
      <c r="AW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</row>
    <row r="288" spans="21:153" ht="12.75">
      <c r="U288" s="5"/>
      <c r="V288" s="5"/>
      <c r="W288" s="5"/>
      <c r="X288" s="5"/>
      <c r="Y288" s="5"/>
      <c r="AS288" s="5"/>
      <c r="AT288" s="5"/>
      <c r="AU288" s="5"/>
      <c r="AV288" s="5"/>
      <c r="AW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</row>
    <row r="289" spans="21:153" ht="12.75">
      <c r="U289" s="5"/>
      <c r="V289" s="5"/>
      <c r="W289" s="5"/>
      <c r="X289" s="5"/>
      <c r="Y289" s="5"/>
      <c r="AS289" s="5"/>
      <c r="AT289" s="5"/>
      <c r="AU289" s="5"/>
      <c r="AV289" s="5"/>
      <c r="AW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</row>
    <row r="290" spans="21:153" ht="12.75">
      <c r="U290" s="5"/>
      <c r="V290" s="5"/>
      <c r="W290" s="5"/>
      <c r="X290" s="5"/>
      <c r="Y290" s="5"/>
      <c r="AS290" s="5"/>
      <c r="AT290" s="5"/>
      <c r="AU290" s="5"/>
      <c r="AV290" s="5"/>
      <c r="AW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</row>
    <row r="291" spans="21:153" ht="12.75">
      <c r="U291" s="5"/>
      <c r="V291" s="5"/>
      <c r="W291" s="5"/>
      <c r="X291" s="5"/>
      <c r="Y291" s="5"/>
      <c r="AS291" s="5"/>
      <c r="AT291" s="5"/>
      <c r="AU291" s="5"/>
      <c r="AV291" s="5"/>
      <c r="AW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</row>
    <row r="292" spans="21:153" ht="12.75">
      <c r="U292" s="5"/>
      <c r="V292" s="5"/>
      <c r="W292" s="5"/>
      <c r="X292" s="5"/>
      <c r="Y292" s="5"/>
      <c r="AS292" s="5"/>
      <c r="AT292" s="5"/>
      <c r="AU292" s="5"/>
      <c r="AV292" s="5"/>
      <c r="AW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</row>
    <row r="293" spans="21:153" ht="12.75">
      <c r="U293" s="5"/>
      <c r="V293" s="5"/>
      <c r="W293" s="5"/>
      <c r="X293" s="5"/>
      <c r="Y293" s="5"/>
      <c r="AS293" s="5"/>
      <c r="AT293" s="5"/>
      <c r="AU293" s="5"/>
      <c r="AV293" s="5"/>
      <c r="AW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</row>
    <row r="294" spans="21:153" ht="12.75">
      <c r="U294" s="5"/>
      <c r="V294" s="5"/>
      <c r="W294" s="5"/>
      <c r="X294" s="5"/>
      <c r="Y294" s="5"/>
      <c r="AS294" s="5"/>
      <c r="AT294" s="5"/>
      <c r="AU294" s="5"/>
      <c r="AV294" s="5"/>
      <c r="AW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</row>
    <row r="295" spans="21:153" ht="12.75">
      <c r="U295" s="5"/>
      <c r="V295" s="5"/>
      <c r="W295" s="5"/>
      <c r="X295" s="5"/>
      <c r="Y295" s="5"/>
      <c r="AS295" s="5"/>
      <c r="AT295" s="5"/>
      <c r="AU295" s="5"/>
      <c r="AV295" s="5"/>
      <c r="AW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</row>
    <row r="296" spans="21:153" ht="12.75">
      <c r="U296" s="5"/>
      <c r="V296" s="5"/>
      <c r="W296" s="5"/>
      <c r="X296" s="5"/>
      <c r="Y296" s="5"/>
      <c r="AS296" s="5"/>
      <c r="AT296" s="5"/>
      <c r="AU296" s="5"/>
      <c r="AV296" s="5"/>
      <c r="AW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</row>
    <row r="297" spans="21:153" ht="12.75">
      <c r="U297" s="5"/>
      <c r="V297" s="5"/>
      <c r="W297" s="5"/>
      <c r="X297" s="5"/>
      <c r="Y297" s="5"/>
      <c r="AS297" s="5"/>
      <c r="AT297" s="5"/>
      <c r="AU297" s="5"/>
      <c r="AV297" s="5"/>
      <c r="AW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</row>
    <row r="298" spans="21:153" ht="12.75">
      <c r="U298" s="5"/>
      <c r="V298" s="5"/>
      <c r="W298" s="5"/>
      <c r="X298" s="5"/>
      <c r="Y298" s="5"/>
      <c r="AS298" s="5"/>
      <c r="AT298" s="5"/>
      <c r="AU298" s="5"/>
      <c r="AV298" s="5"/>
      <c r="AW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</row>
    <row r="299" spans="21:153" ht="12.75">
      <c r="U299" s="5"/>
      <c r="V299" s="5"/>
      <c r="W299" s="5"/>
      <c r="X299" s="5"/>
      <c r="Y299" s="5"/>
      <c r="AS299" s="5"/>
      <c r="AT299" s="5"/>
      <c r="AU299" s="5"/>
      <c r="AV299" s="5"/>
      <c r="AW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</row>
    <row r="300" spans="21:153" ht="12.75">
      <c r="U300" s="5"/>
      <c r="V300" s="5"/>
      <c r="W300" s="5"/>
      <c r="X300" s="5"/>
      <c r="Y300" s="5"/>
      <c r="AS300" s="5"/>
      <c r="AT300" s="5"/>
      <c r="AU300" s="5"/>
      <c r="AV300" s="5"/>
      <c r="AW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</row>
    <row r="301" spans="21:153" ht="12.75">
      <c r="U301" s="5"/>
      <c r="V301" s="5"/>
      <c r="W301" s="5"/>
      <c r="X301" s="5"/>
      <c r="Y301" s="5"/>
      <c r="AS301" s="5"/>
      <c r="AT301" s="5"/>
      <c r="AU301" s="5"/>
      <c r="AV301" s="5"/>
      <c r="AW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</row>
    <row r="302" spans="21:153" ht="12.75">
      <c r="U302" s="5"/>
      <c r="V302" s="5"/>
      <c r="W302" s="5"/>
      <c r="X302" s="5"/>
      <c r="Y302" s="5"/>
      <c r="AS302" s="5"/>
      <c r="AT302" s="5"/>
      <c r="AU302" s="5"/>
      <c r="AV302" s="5"/>
      <c r="AW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</row>
    <row r="303" spans="21:153" ht="12.75">
      <c r="U303" s="5"/>
      <c r="V303" s="5"/>
      <c r="W303" s="5"/>
      <c r="X303" s="5"/>
      <c r="Y303" s="5"/>
      <c r="AS303" s="5"/>
      <c r="AT303" s="5"/>
      <c r="AU303" s="5"/>
      <c r="AV303" s="5"/>
      <c r="AW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</row>
    <row r="304" spans="21:153" ht="12.75">
      <c r="U304" s="5"/>
      <c r="V304" s="5"/>
      <c r="W304" s="5"/>
      <c r="X304" s="5"/>
      <c r="Y304" s="5"/>
      <c r="AS304" s="5"/>
      <c r="AT304" s="5"/>
      <c r="AU304" s="5"/>
      <c r="AV304" s="5"/>
      <c r="AW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</row>
    <row r="305" spans="21:153" ht="12.75">
      <c r="U305" s="5"/>
      <c r="V305" s="5"/>
      <c r="W305" s="5"/>
      <c r="X305" s="5"/>
      <c r="Y305" s="5"/>
      <c r="AS305" s="5"/>
      <c r="AT305" s="5"/>
      <c r="AU305" s="5"/>
      <c r="AV305" s="5"/>
      <c r="AW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</row>
    <row r="306" spans="21:153" ht="12.75">
      <c r="U306" s="5"/>
      <c r="V306" s="5"/>
      <c r="W306" s="5"/>
      <c r="X306" s="5"/>
      <c r="Y306" s="5"/>
      <c r="AS306" s="5"/>
      <c r="AT306" s="5"/>
      <c r="AU306" s="5"/>
      <c r="AV306" s="5"/>
      <c r="AW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</row>
    <row r="307" spans="21:153" ht="12.75">
      <c r="U307" s="5"/>
      <c r="V307" s="5"/>
      <c r="W307" s="5"/>
      <c r="X307" s="5"/>
      <c r="Y307" s="5"/>
      <c r="AS307" s="5"/>
      <c r="AT307" s="5"/>
      <c r="AU307" s="5"/>
      <c r="AV307" s="5"/>
      <c r="AW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</row>
    <row r="308" spans="21:153" ht="12.75">
      <c r="U308" s="5"/>
      <c r="V308" s="5"/>
      <c r="W308" s="5"/>
      <c r="X308" s="5"/>
      <c r="Y308" s="5"/>
      <c r="AS308" s="5"/>
      <c r="AT308" s="5"/>
      <c r="AU308" s="5"/>
      <c r="AV308" s="5"/>
      <c r="AW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</row>
    <row r="309" spans="21:153" ht="12.75">
      <c r="U309" s="5"/>
      <c r="V309" s="5"/>
      <c r="W309" s="5"/>
      <c r="X309" s="5"/>
      <c r="Y309" s="5"/>
      <c r="AS309" s="5"/>
      <c r="AT309" s="5"/>
      <c r="AU309" s="5"/>
      <c r="AV309" s="5"/>
      <c r="AW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</row>
    <row r="310" spans="21:153" ht="12.75">
      <c r="U310" s="5"/>
      <c r="V310" s="5"/>
      <c r="W310" s="5"/>
      <c r="X310" s="5"/>
      <c r="Y310" s="5"/>
      <c r="AS310" s="5"/>
      <c r="AT310" s="5"/>
      <c r="AU310" s="5"/>
      <c r="AV310" s="5"/>
      <c r="AW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</row>
    <row r="311" spans="21:153" ht="12.75">
      <c r="U311" s="5"/>
      <c r="V311" s="5"/>
      <c r="W311" s="5"/>
      <c r="X311" s="5"/>
      <c r="Y311" s="5"/>
      <c r="AS311" s="5"/>
      <c r="AT311" s="5"/>
      <c r="AU311" s="5"/>
      <c r="AV311" s="5"/>
      <c r="AW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</row>
    <row r="312" spans="21:153" ht="12.75">
      <c r="U312" s="5"/>
      <c r="V312" s="5"/>
      <c r="W312" s="5"/>
      <c r="X312" s="5"/>
      <c r="Y312" s="5"/>
      <c r="AS312" s="5"/>
      <c r="AT312" s="5"/>
      <c r="AU312" s="5"/>
      <c r="AV312" s="5"/>
      <c r="AW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</row>
    <row r="313" spans="21:153" ht="12.75">
      <c r="U313" s="5"/>
      <c r="V313" s="5"/>
      <c r="W313" s="5"/>
      <c r="X313" s="5"/>
      <c r="Y313" s="5"/>
      <c r="AS313" s="5"/>
      <c r="AT313" s="5"/>
      <c r="AU313" s="5"/>
      <c r="AV313" s="5"/>
      <c r="AW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</row>
    <row r="314" spans="21:153" ht="12.75">
      <c r="U314" s="5"/>
      <c r="V314" s="5"/>
      <c r="W314" s="5"/>
      <c r="X314" s="5"/>
      <c r="Y314" s="5"/>
      <c r="AS314" s="5"/>
      <c r="AT314" s="5"/>
      <c r="AU314" s="5"/>
      <c r="AV314" s="5"/>
      <c r="AW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21:153" ht="12.75">
      <c r="U315" s="5"/>
      <c r="V315" s="5"/>
      <c r="W315" s="5"/>
      <c r="X315" s="5"/>
      <c r="Y315" s="5"/>
      <c r="AS315" s="5"/>
      <c r="AT315" s="5"/>
      <c r="AU315" s="5"/>
      <c r="AV315" s="5"/>
      <c r="AW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</row>
    <row r="316" spans="21:153" ht="12.75">
      <c r="U316" s="5"/>
      <c r="V316" s="5"/>
      <c r="W316" s="5"/>
      <c r="X316" s="5"/>
      <c r="Y316" s="5"/>
      <c r="AS316" s="5"/>
      <c r="AT316" s="5"/>
      <c r="AU316" s="5"/>
      <c r="AV316" s="5"/>
      <c r="AW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</row>
    <row r="317" spans="21:153" ht="12.75">
      <c r="U317" s="5"/>
      <c r="V317" s="5"/>
      <c r="W317" s="5"/>
      <c r="X317" s="5"/>
      <c r="Y317" s="5"/>
      <c r="AS317" s="5"/>
      <c r="AT317" s="5"/>
      <c r="AU317" s="5"/>
      <c r="AV317" s="5"/>
      <c r="AW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</row>
    <row r="318" spans="21:153" ht="12.75">
      <c r="U318" s="5"/>
      <c r="V318" s="5"/>
      <c r="W318" s="5"/>
      <c r="X318" s="5"/>
      <c r="Y318" s="5"/>
      <c r="AS318" s="5"/>
      <c r="AT318" s="5"/>
      <c r="AU318" s="5"/>
      <c r="AV318" s="5"/>
      <c r="AW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</row>
    <row r="319" spans="21:153" ht="12.75">
      <c r="U319" s="5"/>
      <c r="V319" s="5"/>
      <c r="W319" s="5"/>
      <c r="X319" s="5"/>
      <c r="Y319" s="5"/>
      <c r="AS319" s="5"/>
      <c r="AT319" s="5"/>
      <c r="AU319" s="5"/>
      <c r="AV319" s="5"/>
      <c r="AW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</row>
    <row r="320" spans="21:153" ht="12.75">
      <c r="U320" s="5"/>
      <c r="V320" s="5"/>
      <c r="W320" s="5"/>
      <c r="X320" s="5"/>
      <c r="Y320" s="5"/>
      <c r="AS320" s="5"/>
      <c r="AT320" s="5"/>
      <c r="AU320" s="5"/>
      <c r="AV320" s="5"/>
      <c r="AW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</row>
    <row r="321" spans="21:153" ht="12.75">
      <c r="U321" s="5"/>
      <c r="V321" s="5"/>
      <c r="W321" s="5"/>
      <c r="X321" s="5"/>
      <c r="Y321" s="5"/>
      <c r="AS321" s="5"/>
      <c r="AT321" s="5"/>
      <c r="AU321" s="5"/>
      <c r="AV321" s="5"/>
      <c r="AW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</row>
    <row r="322" spans="21:153" ht="12.75">
      <c r="U322" s="5"/>
      <c r="V322" s="5"/>
      <c r="W322" s="5"/>
      <c r="X322" s="5"/>
      <c r="Y322" s="5"/>
      <c r="AS322" s="5"/>
      <c r="AT322" s="5"/>
      <c r="AU322" s="5"/>
      <c r="AV322" s="5"/>
      <c r="AW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</row>
    <row r="323" spans="21:153" ht="12.75">
      <c r="U323" s="5"/>
      <c r="V323" s="5"/>
      <c r="W323" s="5"/>
      <c r="X323" s="5"/>
      <c r="Y323" s="5"/>
      <c r="AS323" s="5"/>
      <c r="AT323" s="5"/>
      <c r="AU323" s="5"/>
      <c r="AV323" s="5"/>
      <c r="AW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</row>
    <row r="324" spans="21:153" ht="12.75">
      <c r="U324" s="5"/>
      <c r="V324" s="5"/>
      <c r="W324" s="5"/>
      <c r="X324" s="5"/>
      <c r="Y324" s="5"/>
      <c r="AS324" s="5"/>
      <c r="AT324" s="5"/>
      <c r="AU324" s="5"/>
      <c r="AV324" s="5"/>
      <c r="AW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</row>
    <row r="325" spans="21:153" ht="12.75">
      <c r="U325" s="5"/>
      <c r="V325" s="5"/>
      <c r="W325" s="5"/>
      <c r="X325" s="5"/>
      <c r="Y325" s="5"/>
      <c r="AS325" s="5"/>
      <c r="AT325" s="5"/>
      <c r="AU325" s="5"/>
      <c r="AV325" s="5"/>
      <c r="AW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</row>
    <row r="326" spans="21:153" ht="12.75">
      <c r="U326" s="5"/>
      <c r="V326" s="5"/>
      <c r="W326" s="5"/>
      <c r="X326" s="5"/>
      <c r="Y326" s="5"/>
      <c r="AS326" s="5"/>
      <c r="AT326" s="5"/>
      <c r="AU326" s="5"/>
      <c r="AV326" s="5"/>
      <c r="AW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</row>
    <row r="327" spans="21:153" ht="12.75">
      <c r="U327" s="5"/>
      <c r="V327" s="5"/>
      <c r="W327" s="5"/>
      <c r="X327" s="5"/>
      <c r="Y327" s="5"/>
      <c r="AS327" s="5"/>
      <c r="AT327" s="5"/>
      <c r="AU327" s="5"/>
      <c r="AV327" s="5"/>
      <c r="AW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</row>
    <row r="328" spans="21:153" ht="12.75">
      <c r="U328" s="5"/>
      <c r="V328" s="5"/>
      <c r="W328" s="5"/>
      <c r="X328" s="5"/>
      <c r="Y328" s="5"/>
      <c r="AS328" s="5"/>
      <c r="AT328" s="5"/>
      <c r="AU328" s="5"/>
      <c r="AV328" s="5"/>
      <c r="AW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</row>
    <row r="329" spans="21:153" ht="12.75">
      <c r="U329" s="5"/>
      <c r="V329" s="5"/>
      <c r="W329" s="5"/>
      <c r="X329" s="5"/>
      <c r="Y329" s="5"/>
      <c r="AS329" s="5"/>
      <c r="AT329" s="5"/>
      <c r="AU329" s="5"/>
      <c r="AV329" s="5"/>
      <c r="AW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</row>
    <row r="330" spans="21:153" ht="12.75">
      <c r="U330" s="5"/>
      <c r="V330" s="5"/>
      <c r="W330" s="5"/>
      <c r="X330" s="5"/>
      <c r="Y330" s="5"/>
      <c r="AS330" s="5"/>
      <c r="AT330" s="5"/>
      <c r="AU330" s="5"/>
      <c r="AV330" s="5"/>
      <c r="AW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</row>
    <row r="331" spans="21:153" ht="12.75">
      <c r="U331" s="5"/>
      <c r="V331" s="5"/>
      <c r="W331" s="5"/>
      <c r="X331" s="5"/>
      <c r="Y331" s="5"/>
      <c r="AS331" s="5"/>
      <c r="AT331" s="5"/>
      <c r="AU331" s="5"/>
      <c r="AV331" s="5"/>
      <c r="AW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</row>
    <row r="332" spans="21:153" ht="12.75">
      <c r="U332" s="5"/>
      <c r="V332" s="5"/>
      <c r="W332" s="5"/>
      <c r="X332" s="5"/>
      <c r="Y332" s="5"/>
      <c r="AS332" s="5"/>
      <c r="AT332" s="5"/>
      <c r="AU332" s="5"/>
      <c r="AV332" s="5"/>
      <c r="AW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</row>
    <row r="333" spans="21:153" ht="12.75">
      <c r="U333" s="5"/>
      <c r="V333" s="5"/>
      <c r="W333" s="5"/>
      <c r="X333" s="5"/>
      <c r="Y333" s="5"/>
      <c r="AS333" s="5"/>
      <c r="AT333" s="5"/>
      <c r="AU333" s="5"/>
      <c r="AV333" s="5"/>
      <c r="AW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</row>
    <row r="334" spans="21:153" ht="12.75">
      <c r="U334" s="5"/>
      <c r="V334" s="5"/>
      <c r="W334" s="5"/>
      <c r="X334" s="5"/>
      <c r="Y334" s="5"/>
      <c r="AS334" s="5"/>
      <c r="AT334" s="5"/>
      <c r="AU334" s="5"/>
      <c r="AV334" s="5"/>
      <c r="AW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</row>
    <row r="335" spans="21:153" ht="12.75">
      <c r="U335" s="5"/>
      <c r="V335" s="5"/>
      <c r="W335" s="5"/>
      <c r="X335" s="5"/>
      <c r="Y335" s="5"/>
      <c r="AS335" s="5"/>
      <c r="AT335" s="5"/>
      <c r="AU335" s="5"/>
      <c r="AV335" s="5"/>
      <c r="AW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</row>
    <row r="336" spans="21:153" ht="12.75">
      <c r="U336" s="5"/>
      <c r="V336" s="5"/>
      <c r="W336" s="5"/>
      <c r="X336" s="5"/>
      <c r="Y336" s="5"/>
      <c r="AS336" s="5"/>
      <c r="AT336" s="5"/>
      <c r="AU336" s="5"/>
      <c r="AV336" s="5"/>
      <c r="AW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</row>
    <row r="337" spans="21:153" ht="12.75">
      <c r="U337" s="5"/>
      <c r="V337" s="5"/>
      <c r="W337" s="5"/>
      <c r="X337" s="5"/>
      <c r="Y337" s="5"/>
      <c r="AS337" s="5"/>
      <c r="AT337" s="5"/>
      <c r="AU337" s="5"/>
      <c r="AV337" s="5"/>
      <c r="AW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</row>
    <row r="338" spans="21:153" ht="12.75">
      <c r="U338" s="5"/>
      <c r="V338" s="5"/>
      <c r="W338" s="5"/>
      <c r="X338" s="5"/>
      <c r="Y338" s="5"/>
      <c r="AS338" s="5"/>
      <c r="AT338" s="5"/>
      <c r="AU338" s="5"/>
      <c r="AV338" s="5"/>
      <c r="AW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</row>
    <row r="339" spans="21:153" ht="12.75">
      <c r="U339" s="5"/>
      <c r="V339" s="5"/>
      <c r="W339" s="5"/>
      <c r="X339" s="5"/>
      <c r="Y339" s="5"/>
      <c r="AS339" s="5"/>
      <c r="AT339" s="5"/>
      <c r="AU339" s="5"/>
      <c r="AV339" s="5"/>
      <c r="AW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</row>
    <row r="340" spans="21:153" ht="12.75">
      <c r="U340" s="5"/>
      <c r="V340" s="5"/>
      <c r="W340" s="5"/>
      <c r="X340" s="5"/>
      <c r="Y340" s="5"/>
      <c r="AS340" s="5"/>
      <c r="AT340" s="5"/>
      <c r="AU340" s="5"/>
      <c r="AV340" s="5"/>
      <c r="AW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</row>
    <row r="341" spans="21:153" ht="12.75">
      <c r="U341" s="5"/>
      <c r="V341" s="5"/>
      <c r="W341" s="5"/>
      <c r="X341" s="5"/>
      <c r="Y341" s="5"/>
      <c r="AS341" s="5"/>
      <c r="AT341" s="5"/>
      <c r="AU341" s="5"/>
      <c r="AV341" s="5"/>
      <c r="AW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</row>
    <row r="342" spans="21:153" ht="12.75">
      <c r="U342" s="5"/>
      <c r="V342" s="5"/>
      <c r="W342" s="5"/>
      <c r="X342" s="5"/>
      <c r="Y342" s="5"/>
      <c r="AS342" s="5"/>
      <c r="AT342" s="5"/>
      <c r="AU342" s="5"/>
      <c r="AV342" s="5"/>
      <c r="AW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</row>
    <row r="343" spans="21:153" ht="12.75">
      <c r="U343" s="5"/>
      <c r="V343" s="5"/>
      <c r="W343" s="5"/>
      <c r="X343" s="5"/>
      <c r="Y343" s="5"/>
      <c r="AS343" s="5"/>
      <c r="AT343" s="5"/>
      <c r="AU343" s="5"/>
      <c r="AV343" s="5"/>
      <c r="AW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</row>
    <row r="344" spans="21:153" ht="12.75">
      <c r="U344" s="5"/>
      <c r="V344" s="5"/>
      <c r="W344" s="5"/>
      <c r="X344" s="5"/>
      <c r="Y344" s="5"/>
      <c r="AS344" s="5"/>
      <c r="AT344" s="5"/>
      <c r="AU344" s="5"/>
      <c r="AV344" s="5"/>
      <c r="AW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</row>
    <row r="345" spans="21:153" ht="12.75">
      <c r="U345" s="5"/>
      <c r="V345" s="5"/>
      <c r="W345" s="5"/>
      <c r="X345" s="5"/>
      <c r="Y345" s="5"/>
      <c r="AS345" s="5"/>
      <c r="AT345" s="5"/>
      <c r="AU345" s="5"/>
      <c r="AV345" s="5"/>
      <c r="AW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</row>
    <row r="346" spans="21:153" ht="12.75">
      <c r="U346" s="5"/>
      <c r="V346" s="5"/>
      <c r="W346" s="5"/>
      <c r="X346" s="5"/>
      <c r="Y346" s="5"/>
      <c r="AS346" s="5"/>
      <c r="AT346" s="5"/>
      <c r="AU346" s="5"/>
      <c r="AV346" s="5"/>
      <c r="AW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</row>
    <row r="347" spans="21:153" ht="12.75">
      <c r="U347" s="5"/>
      <c r="V347" s="5"/>
      <c r="W347" s="5"/>
      <c r="X347" s="5"/>
      <c r="Y347" s="5"/>
      <c r="AS347" s="5"/>
      <c r="AT347" s="5"/>
      <c r="AU347" s="5"/>
      <c r="AV347" s="5"/>
      <c r="AW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</row>
    <row r="348" spans="21:153" ht="12.75">
      <c r="U348" s="5"/>
      <c r="V348" s="5"/>
      <c r="W348" s="5"/>
      <c r="X348" s="5"/>
      <c r="Y348" s="5"/>
      <c r="AS348" s="5"/>
      <c r="AT348" s="5"/>
      <c r="AU348" s="5"/>
      <c r="AV348" s="5"/>
      <c r="AW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</row>
    <row r="349" spans="21:153" ht="12.75">
      <c r="U349" s="5"/>
      <c r="V349" s="5"/>
      <c r="W349" s="5"/>
      <c r="X349" s="5"/>
      <c r="Y349" s="5"/>
      <c r="AS349" s="5"/>
      <c r="AT349" s="5"/>
      <c r="AU349" s="5"/>
      <c r="AV349" s="5"/>
      <c r="AW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</row>
    <row r="350" spans="21:153" ht="12.75">
      <c r="U350" s="5"/>
      <c r="V350" s="5"/>
      <c r="W350" s="5"/>
      <c r="X350" s="5"/>
      <c r="Y350" s="5"/>
      <c r="AS350" s="5"/>
      <c r="AT350" s="5"/>
      <c r="AU350" s="5"/>
      <c r="AV350" s="5"/>
      <c r="AW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</row>
    <row r="351" spans="21:153" ht="12.75">
      <c r="U351" s="5"/>
      <c r="V351" s="5"/>
      <c r="W351" s="5"/>
      <c r="X351" s="5"/>
      <c r="Y351" s="5"/>
      <c r="AS351" s="5"/>
      <c r="AT351" s="5"/>
      <c r="AU351" s="5"/>
      <c r="AV351" s="5"/>
      <c r="AW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</row>
    <row r="352" spans="21:153" ht="12.75">
      <c r="U352" s="5"/>
      <c r="V352" s="5"/>
      <c r="W352" s="5"/>
      <c r="X352" s="5"/>
      <c r="Y352" s="5"/>
      <c r="AS352" s="5"/>
      <c r="AT352" s="5"/>
      <c r="AU352" s="5"/>
      <c r="AV352" s="5"/>
      <c r="AW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</row>
    <row r="353" spans="21:153" ht="12.75">
      <c r="U353" s="5"/>
      <c r="V353" s="5"/>
      <c r="W353" s="5"/>
      <c r="X353" s="5"/>
      <c r="Y353" s="5"/>
      <c r="AS353" s="5"/>
      <c r="AT353" s="5"/>
      <c r="AU353" s="5"/>
      <c r="AV353" s="5"/>
      <c r="AW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</row>
    <row r="354" spans="21:153" ht="12.75">
      <c r="U354" s="5"/>
      <c r="V354" s="5"/>
      <c r="W354" s="5"/>
      <c r="X354" s="5"/>
      <c r="Y354" s="5"/>
      <c r="AS354" s="5"/>
      <c r="AT354" s="5"/>
      <c r="AU354" s="5"/>
      <c r="AV354" s="5"/>
      <c r="AW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</row>
    <row r="355" spans="21:153" ht="12.75">
      <c r="U355" s="5"/>
      <c r="V355" s="5"/>
      <c r="W355" s="5"/>
      <c r="X355" s="5"/>
      <c r="Y355" s="5"/>
      <c r="AS355" s="5"/>
      <c r="AT355" s="5"/>
      <c r="AU355" s="5"/>
      <c r="AV355" s="5"/>
      <c r="AW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</row>
    <row r="356" spans="21:153" ht="12.75">
      <c r="U356" s="5"/>
      <c r="V356" s="5"/>
      <c r="W356" s="5"/>
      <c r="X356" s="5"/>
      <c r="Y356" s="5"/>
      <c r="AS356" s="5"/>
      <c r="AT356" s="5"/>
      <c r="AU356" s="5"/>
      <c r="AV356" s="5"/>
      <c r="AW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</row>
    <row r="357" spans="21:153" ht="12.75">
      <c r="U357" s="5"/>
      <c r="V357" s="5"/>
      <c r="W357" s="5"/>
      <c r="X357" s="5"/>
      <c r="Y357" s="5"/>
      <c r="AS357" s="5"/>
      <c r="AT357" s="5"/>
      <c r="AU357" s="5"/>
      <c r="AV357" s="5"/>
      <c r="AW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</row>
    <row r="358" spans="21:153" ht="12.75">
      <c r="U358" s="5"/>
      <c r="V358" s="5"/>
      <c r="W358" s="5"/>
      <c r="X358" s="5"/>
      <c r="Y358" s="5"/>
      <c r="AS358" s="5"/>
      <c r="AT358" s="5"/>
      <c r="AU358" s="5"/>
      <c r="AV358" s="5"/>
      <c r="AW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</row>
    <row r="359" spans="21:153" ht="12.75">
      <c r="U359" s="5"/>
      <c r="V359" s="5"/>
      <c r="W359" s="5"/>
      <c r="X359" s="5"/>
      <c r="Y359" s="5"/>
      <c r="AS359" s="5"/>
      <c r="AT359" s="5"/>
      <c r="AU359" s="5"/>
      <c r="AV359" s="5"/>
      <c r="AW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</row>
    <row r="360" spans="21:153" ht="12.75">
      <c r="U360" s="5"/>
      <c r="V360" s="5"/>
      <c r="W360" s="5"/>
      <c r="X360" s="5"/>
      <c r="Y360" s="5"/>
      <c r="AS360" s="5"/>
      <c r="AT360" s="5"/>
      <c r="AU360" s="5"/>
      <c r="AV360" s="5"/>
      <c r="AW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</row>
    <row r="361" spans="21:153" ht="12.75">
      <c r="U361" s="5"/>
      <c r="V361" s="5"/>
      <c r="W361" s="5"/>
      <c r="X361" s="5"/>
      <c r="Y361" s="5"/>
      <c r="AS361" s="5"/>
      <c r="AT361" s="5"/>
      <c r="AU361" s="5"/>
      <c r="AV361" s="5"/>
      <c r="AW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</row>
    <row r="362" spans="21:153" ht="12.75">
      <c r="U362" s="5"/>
      <c r="V362" s="5"/>
      <c r="W362" s="5"/>
      <c r="X362" s="5"/>
      <c r="Y362" s="5"/>
      <c r="AS362" s="5"/>
      <c r="AT362" s="5"/>
      <c r="AU362" s="5"/>
      <c r="AV362" s="5"/>
      <c r="AW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</row>
    <row r="363" spans="21:153" ht="12.75">
      <c r="U363" s="5"/>
      <c r="V363" s="5"/>
      <c r="W363" s="5"/>
      <c r="X363" s="5"/>
      <c r="Y363" s="5"/>
      <c r="AS363" s="5"/>
      <c r="AT363" s="5"/>
      <c r="AU363" s="5"/>
      <c r="AV363" s="5"/>
      <c r="AW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</row>
    <row r="364" spans="21:153" ht="12.75">
      <c r="U364" s="5"/>
      <c r="V364" s="5"/>
      <c r="W364" s="5"/>
      <c r="X364" s="5"/>
      <c r="Y364" s="5"/>
      <c r="AS364" s="5"/>
      <c r="AT364" s="5"/>
      <c r="AU364" s="5"/>
      <c r="AV364" s="5"/>
      <c r="AW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</row>
    <row r="365" spans="21:153" ht="12.75">
      <c r="U365" s="5"/>
      <c r="V365" s="5"/>
      <c r="W365" s="5"/>
      <c r="X365" s="5"/>
      <c r="Y365" s="5"/>
      <c r="AS365" s="5"/>
      <c r="AT365" s="5"/>
      <c r="AU365" s="5"/>
      <c r="AV365" s="5"/>
      <c r="AW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</row>
    <row r="366" spans="21:153" ht="12.75">
      <c r="U366" s="5"/>
      <c r="V366" s="5"/>
      <c r="W366" s="5"/>
      <c r="X366" s="5"/>
      <c r="Y366" s="5"/>
      <c r="AS366" s="5"/>
      <c r="AT366" s="5"/>
      <c r="AU366" s="5"/>
      <c r="AV366" s="5"/>
      <c r="AW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</row>
    <row r="367" spans="21:153" ht="12.75">
      <c r="U367" s="5"/>
      <c r="V367" s="5"/>
      <c r="W367" s="5"/>
      <c r="X367" s="5"/>
      <c r="Y367" s="5"/>
      <c r="AS367" s="5"/>
      <c r="AT367" s="5"/>
      <c r="AU367" s="5"/>
      <c r="AV367" s="5"/>
      <c r="AW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</row>
    <row r="368" spans="21:153" ht="12.75">
      <c r="U368" s="5"/>
      <c r="V368" s="5"/>
      <c r="W368" s="5"/>
      <c r="X368" s="5"/>
      <c r="Y368" s="5"/>
      <c r="AS368" s="5"/>
      <c r="AT368" s="5"/>
      <c r="AU368" s="5"/>
      <c r="AV368" s="5"/>
      <c r="AW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</row>
    <row r="369" spans="21:153" ht="12.75">
      <c r="U369" s="5"/>
      <c r="V369" s="5"/>
      <c r="W369" s="5"/>
      <c r="X369" s="5"/>
      <c r="Y369" s="5"/>
      <c r="AS369" s="5"/>
      <c r="AT369" s="5"/>
      <c r="AU369" s="5"/>
      <c r="AV369" s="5"/>
      <c r="AW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</row>
    <row r="370" spans="21:153" ht="12.75">
      <c r="U370" s="5"/>
      <c r="V370" s="5"/>
      <c r="W370" s="5"/>
      <c r="X370" s="5"/>
      <c r="Y370" s="5"/>
      <c r="AS370" s="5"/>
      <c r="AT370" s="5"/>
      <c r="AU370" s="5"/>
      <c r="AV370" s="5"/>
      <c r="AW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</row>
    <row r="371" spans="21:153" ht="12.75">
      <c r="U371" s="5"/>
      <c r="V371" s="5"/>
      <c r="W371" s="5"/>
      <c r="X371" s="5"/>
      <c r="Y371" s="5"/>
      <c r="AS371" s="5"/>
      <c r="AT371" s="5"/>
      <c r="AU371" s="5"/>
      <c r="AV371" s="5"/>
      <c r="AW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</row>
    <row r="372" spans="21:153" ht="12.75">
      <c r="U372" s="5"/>
      <c r="V372" s="5"/>
      <c r="W372" s="5"/>
      <c r="X372" s="5"/>
      <c r="Y372" s="5"/>
      <c r="AS372" s="5"/>
      <c r="AT372" s="5"/>
      <c r="AU372" s="5"/>
      <c r="AV372" s="5"/>
      <c r="AW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</row>
    <row r="373" spans="21:153" ht="12.75">
      <c r="U373" s="5"/>
      <c r="V373" s="5"/>
      <c r="W373" s="5"/>
      <c r="X373" s="5"/>
      <c r="Y373" s="5"/>
      <c r="AS373" s="5"/>
      <c r="AT373" s="5"/>
      <c r="AU373" s="5"/>
      <c r="AV373" s="5"/>
      <c r="AW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</row>
    <row r="374" spans="21:153" ht="12.75">
      <c r="U374" s="5"/>
      <c r="V374" s="5"/>
      <c r="W374" s="5"/>
      <c r="X374" s="5"/>
      <c r="Y374" s="5"/>
      <c r="AS374" s="5"/>
      <c r="AT374" s="5"/>
      <c r="AU374" s="5"/>
      <c r="AV374" s="5"/>
      <c r="AW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</row>
    <row r="375" spans="21:153" ht="12.75">
      <c r="U375" s="5"/>
      <c r="V375" s="5"/>
      <c r="W375" s="5"/>
      <c r="X375" s="5"/>
      <c r="Y375" s="5"/>
      <c r="AS375" s="5"/>
      <c r="AT375" s="5"/>
      <c r="AU375" s="5"/>
      <c r="AV375" s="5"/>
      <c r="AW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</row>
    <row r="376" spans="21:153" ht="12.75">
      <c r="U376" s="5"/>
      <c r="V376" s="5"/>
      <c r="W376" s="5"/>
      <c r="X376" s="5"/>
      <c r="Y376" s="5"/>
      <c r="AS376" s="5"/>
      <c r="AT376" s="5"/>
      <c r="AU376" s="5"/>
      <c r="AV376" s="5"/>
      <c r="AW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</row>
    <row r="377" spans="21:153" ht="12.75">
      <c r="U377" s="5"/>
      <c r="V377" s="5"/>
      <c r="W377" s="5"/>
      <c r="X377" s="5"/>
      <c r="Y377" s="5"/>
      <c r="AS377" s="5"/>
      <c r="AT377" s="5"/>
      <c r="AU377" s="5"/>
      <c r="AV377" s="5"/>
      <c r="AW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</row>
    <row r="378" spans="21:153" ht="12.75">
      <c r="U378" s="5"/>
      <c r="V378" s="5"/>
      <c r="W378" s="5"/>
      <c r="X378" s="5"/>
      <c r="Y378" s="5"/>
      <c r="AS378" s="5"/>
      <c r="AT378" s="5"/>
      <c r="AU378" s="5"/>
      <c r="AV378" s="5"/>
      <c r="AW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</row>
    <row r="379" spans="21:153" ht="12.75">
      <c r="U379" s="5"/>
      <c r="V379" s="5"/>
      <c r="W379" s="5"/>
      <c r="X379" s="5"/>
      <c r="Y379" s="5"/>
      <c r="AS379" s="5"/>
      <c r="AT379" s="5"/>
      <c r="AU379" s="5"/>
      <c r="AV379" s="5"/>
      <c r="AW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</row>
    <row r="380" spans="21:153" ht="12.75">
      <c r="U380" s="5"/>
      <c r="V380" s="5"/>
      <c r="W380" s="5"/>
      <c r="X380" s="5"/>
      <c r="Y380" s="5"/>
      <c r="AS380" s="5"/>
      <c r="AT380" s="5"/>
      <c r="AU380" s="5"/>
      <c r="AV380" s="5"/>
      <c r="AW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</row>
    <row r="381" spans="21:153" ht="12.75">
      <c r="U381" s="5"/>
      <c r="V381" s="5"/>
      <c r="W381" s="5"/>
      <c r="X381" s="5"/>
      <c r="Y381" s="5"/>
      <c r="AS381" s="5"/>
      <c r="AT381" s="5"/>
      <c r="AU381" s="5"/>
      <c r="AV381" s="5"/>
      <c r="AW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</row>
    <row r="382" spans="21:153" ht="12.75">
      <c r="U382" s="5"/>
      <c r="V382" s="5"/>
      <c r="W382" s="5"/>
      <c r="X382" s="5"/>
      <c r="Y382" s="5"/>
      <c r="AS382" s="5"/>
      <c r="AT382" s="5"/>
      <c r="AU382" s="5"/>
      <c r="AV382" s="5"/>
      <c r="AW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</row>
    <row r="383" spans="21:153" ht="12.75">
      <c r="U383" s="5"/>
      <c r="V383" s="5"/>
      <c r="W383" s="5"/>
      <c r="X383" s="5"/>
      <c r="Y383" s="5"/>
      <c r="AS383" s="5"/>
      <c r="AT383" s="5"/>
      <c r="AU383" s="5"/>
      <c r="AV383" s="5"/>
      <c r="AW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</row>
    <row r="384" spans="21:153" ht="12.75">
      <c r="U384" s="5"/>
      <c r="V384" s="5"/>
      <c r="W384" s="5"/>
      <c r="X384" s="5"/>
      <c r="Y384" s="5"/>
      <c r="AS384" s="5"/>
      <c r="AT384" s="5"/>
      <c r="AU384" s="5"/>
      <c r="AV384" s="5"/>
      <c r="AW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</row>
    <row r="385" spans="21:153" ht="12.75">
      <c r="U385" s="5"/>
      <c r="V385" s="5"/>
      <c r="W385" s="5"/>
      <c r="X385" s="5"/>
      <c r="Y385" s="5"/>
      <c r="AS385" s="5"/>
      <c r="AT385" s="5"/>
      <c r="AU385" s="5"/>
      <c r="AV385" s="5"/>
      <c r="AW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</row>
    <row r="386" spans="21:153" ht="12.75">
      <c r="U386" s="5"/>
      <c r="V386" s="5"/>
      <c r="W386" s="5"/>
      <c r="X386" s="5"/>
      <c r="Y386" s="5"/>
      <c r="AS386" s="5"/>
      <c r="AT386" s="5"/>
      <c r="AU386" s="5"/>
      <c r="AV386" s="5"/>
      <c r="AW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</row>
    <row r="387" spans="21:153" ht="12.75">
      <c r="U387" s="5"/>
      <c r="V387" s="5"/>
      <c r="W387" s="5"/>
      <c r="X387" s="5"/>
      <c r="Y387" s="5"/>
      <c r="AS387" s="5"/>
      <c r="AT387" s="5"/>
      <c r="AU387" s="5"/>
      <c r="AV387" s="5"/>
      <c r="AW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</row>
    <row r="388" spans="21:153" ht="12.75">
      <c r="U388" s="5"/>
      <c r="V388" s="5"/>
      <c r="W388" s="5"/>
      <c r="X388" s="5"/>
      <c r="Y388" s="5"/>
      <c r="AS388" s="5"/>
      <c r="AT388" s="5"/>
      <c r="AU388" s="5"/>
      <c r="AV388" s="5"/>
      <c r="AW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</row>
    <row r="389" spans="21:153" ht="12.75">
      <c r="U389" s="5"/>
      <c r="V389" s="5"/>
      <c r="W389" s="5"/>
      <c r="X389" s="5"/>
      <c r="Y389" s="5"/>
      <c r="AS389" s="5"/>
      <c r="AT389" s="5"/>
      <c r="AU389" s="5"/>
      <c r="AV389" s="5"/>
      <c r="AW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</row>
    <row r="390" spans="21:153" ht="12.75">
      <c r="U390" s="5"/>
      <c r="V390" s="5"/>
      <c r="W390" s="5"/>
      <c r="X390" s="5"/>
      <c r="Y390" s="5"/>
      <c r="AS390" s="5"/>
      <c r="AT390" s="5"/>
      <c r="AU390" s="5"/>
      <c r="AV390" s="5"/>
      <c r="AW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</row>
    <row r="391" spans="21:153" ht="12.75">
      <c r="U391" s="5"/>
      <c r="V391" s="5"/>
      <c r="W391" s="5"/>
      <c r="X391" s="5"/>
      <c r="Y391" s="5"/>
      <c r="AS391" s="5"/>
      <c r="AT391" s="5"/>
      <c r="AU391" s="5"/>
      <c r="AV391" s="5"/>
      <c r="AW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</row>
    <row r="392" spans="21:153" ht="12.75">
      <c r="U392" s="5"/>
      <c r="V392" s="5"/>
      <c r="W392" s="5"/>
      <c r="X392" s="5"/>
      <c r="Y392" s="5"/>
      <c r="AS392" s="5"/>
      <c r="AT392" s="5"/>
      <c r="AU392" s="5"/>
      <c r="AV392" s="5"/>
      <c r="AW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</row>
    <row r="393" spans="21:153" ht="12.75">
      <c r="U393" s="5"/>
      <c r="V393" s="5"/>
      <c r="W393" s="5"/>
      <c r="X393" s="5"/>
      <c r="Y393" s="5"/>
      <c r="AS393" s="5"/>
      <c r="AT393" s="5"/>
      <c r="AU393" s="5"/>
      <c r="AV393" s="5"/>
      <c r="AW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</row>
    <row r="394" spans="21:153" ht="12.75">
      <c r="U394" s="5"/>
      <c r="V394" s="5"/>
      <c r="W394" s="5"/>
      <c r="X394" s="5"/>
      <c r="Y394" s="5"/>
      <c r="AS394" s="5"/>
      <c r="AT394" s="5"/>
      <c r="AU394" s="5"/>
      <c r="AV394" s="5"/>
      <c r="AW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</row>
    <row r="395" spans="21:153" ht="12.75">
      <c r="U395" s="5"/>
      <c r="V395" s="5"/>
      <c r="W395" s="5"/>
      <c r="X395" s="5"/>
      <c r="Y395" s="5"/>
      <c r="AS395" s="5"/>
      <c r="AT395" s="5"/>
      <c r="AU395" s="5"/>
      <c r="AV395" s="5"/>
      <c r="AW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</row>
    <row r="396" spans="21:153" ht="12.75">
      <c r="U396" s="5"/>
      <c r="V396" s="5"/>
      <c r="W396" s="5"/>
      <c r="X396" s="5"/>
      <c r="Y396" s="5"/>
      <c r="AS396" s="5"/>
      <c r="AT396" s="5"/>
      <c r="AU396" s="5"/>
      <c r="AV396" s="5"/>
      <c r="AW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</row>
    <row r="397" spans="21:153" ht="12.75">
      <c r="U397" s="5"/>
      <c r="V397" s="5"/>
      <c r="W397" s="5"/>
      <c r="X397" s="5"/>
      <c r="Y397" s="5"/>
      <c r="AS397" s="5"/>
      <c r="AT397" s="5"/>
      <c r="AU397" s="5"/>
      <c r="AV397" s="5"/>
      <c r="AW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</row>
    <row r="398" spans="21:153" ht="12.75">
      <c r="U398" s="5"/>
      <c r="V398" s="5"/>
      <c r="W398" s="5"/>
      <c r="X398" s="5"/>
      <c r="Y398" s="5"/>
      <c r="AS398" s="5"/>
      <c r="AT398" s="5"/>
      <c r="AU398" s="5"/>
      <c r="AV398" s="5"/>
      <c r="AW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</row>
    <row r="399" spans="21:153" ht="12.75">
      <c r="U399" s="5"/>
      <c r="V399" s="5"/>
      <c r="W399" s="5"/>
      <c r="X399" s="5"/>
      <c r="Y399" s="5"/>
      <c r="AS399" s="5"/>
      <c r="AT399" s="5"/>
      <c r="AU399" s="5"/>
      <c r="AV399" s="5"/>
      <c r="AW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</row>
    <row r="400" spans="21:153" ht="12.75">
      <c r="U400" s="5"/>
      <c r="V400" s="5"/>
      <c r="W400" s="5"/>
      <c r="X400" s="5"/>
      <c r="Y400" s="5"/>
      <c r="AS400" s="5"/>
      <c r="AT400" s="5"/>
      <c r="AU400" s="5"/>
      <c r="AV400" s="5"/>
      <c r="AW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</row>
    <row r="401" spans="21:153" ht="12.75">
      <c r="U401" s="5"/>
      <c r="V401" s="5"/>
      <c r="W401" s="5"/>
      <c r="X401" s="5"/>
      <c r="Y401" s="5"/>
      <c r="AS401" s="5"/>
      <c r="AT401" s="5"/>
      <c r="AU401" s="5"/>
      <c r="AV401" s="5"/>
      <c r="AW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</row>
    <row r="402" spans="21:153" ht="12.75">
      <c r="U402" s="5"/>
      <c r="V402" s="5"/>
      <c r="W402" s="5"/>
      <c r="X402" s="5"/>
      <c r="Y402" s="5"/>
      <c r="AS402" s="5"/>
      <c r="AT402" s="5"/>
      <c r="AU402" s="5"/>
      <c r="AV402" s="5"/>
      <c r="AW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</row>
    <row r="403" spans="21:153" ht="12.75">
      <c r="U403" s="5"/>
      <c r="V403" s="5"/>
      <c r="W403" s="5"/>
      <c r="X403" s="5"/>
      <c r="Y403" s="5"/>
      <c r="AS403" s="5"/>
      <c r="AT403" s="5"/>
      <c r="AU403" s="5"/>
      <c r="AV403" s="5"/>
      <c r="AW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</row>
    <row r="404" spans="21:153" ht="12.75">
      <c r="U404" s="5"/>
      <c r="V404" s="5"/>
      <c r="W404" s="5"/>
      <c r="X404" s="5"/>
      <c r="Y404" s="5"/>
      <c r="AS404" s="5"/>
      <c r="AT404" s="5"/>
      <c r="AU404" s="5"/>
      <c r="AV404" s="5"/>
      <c r="AW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</row>
    <row r="405" spans="21:153" ht="12.75">
      <c r="U405" s="5"/>
      <c r="V405" s="5"/>
      <c r="W405" s="5"/>
      <c r="X405" s="5"/>
      <c r="Y405" s="5"/>
      <c r="AS405" s="5"/>
      <c r="AT405" s="5"/>
      <c r="AU405" s="5"/>
      <c r="AV405" s="5"/>
      <c r="AW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</row>
    <row r="406" spans="21:153" ht="12.75">
      <c r="U406" s="5"/>
      <c r="V406" s="5"/>
      <c r="W406" s="5"/>
      <c r="X406" s="5"/>
      <c r="Y406" s="5"/>
      <c r="AS406" s="5"/>
      <c r="AT406" s="5"/>
      <c r="AU406" s="5"/>
      <c r="AV406" s="5"/>
      <c r="AW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</row>
    <row r="407" spans="21:153" ht="12.75">
      <c r="U407" s="5"/>
      <c r="V407" s="5"/>
      <c r="W407" s="5"/>
      <c r="X407" s="5"/>
      <c r="Y407" s="5"/>
      <c r="AS407" s="5"/>
      <c r="AT407" s="5"/>
      <c r="AU407" s="5"/>
      <c r="AV407" s="5"/>
      <c r="AW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</row>
    <row r="408" spans="21:153" ht="12.75">
      <c r="U408" s="5"/>
      <c r="V408" s="5"/>
      <c r="W408" s="5"/>
      <c r="X408" s="5"/>
      <c r="Y408" s="5"/>
      <c r="AS408" s="5"/>
      <c r="AT408" s="5"/>
      <c r="AU408" s="5"/>
      <c r="AV408" s="5"/>
      <c r="AW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</row>
    <row r="409" spans="21:153" ht="12.75">
      <c r="U409" s="5"/>
      <c r="V409" s="5"/>
      <c r="W409" s="5"/>
      <c r="X409" s="5"/>
      <c r="Y409" s="5"/>
      <c r="AS409" s="5"/>
      <c r="AT409" s="5"/>
      <c r="AU409" s="5"/>
      <c r="AV409" s="5"/>
      <c r="AW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</row>
    <row r="410" spans="21:153" ht="12.75">
      <c r="U410" s="5"/>
      <c r="V410" s="5"/>
      <c r="W410" s="5"/>
      <c r="X410" s="5"/>
      <c r="Y410" s="5"/>
      <c r="AS410" s="5"/>
      <c r="AT410" s="5"/>
      <c r="AU410" s="5"/>
      <c r="AV410" s="5"/>
      <c r="AW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</row>
    <row r="411" spans="21:153" ht="12.75">
      <c r="U411" s="5"/>
      <c r="V411" s="5"/>
      <c r="W411" s="5"/>
      <c r="X411" s="5"/>
      <c r="Y411" s="5"/>
      <c r="AS411" s="5"/>
      <c r="AT411" s="5"/>
      <c r="AU411" s="5"/>
      <c r="AV411" s="5"/>
      <c r="AW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</row>
    <row r="412" spans="21:153" ht="12.75">
      <c r="U412" s="5"/>
      <c r="V412" s="5"/>
      <c r="W412" s="5"/>
      <c r="X412" s="5"/>
      <c r="Y412" s="5"/>
      <c r="AS412" s="5"/>
      <c r="AT412" s="5"/>
      <c r="AU412" s="5"/>
      <c r="AV412" s="5"/>
      <c r="AW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</row>
    <row r="413" spans="21:153" ht="12.75">
      <c r="U413" s="5"/>
      <c r="V413" s="5"/>
      <c r="W413" s="5"/>
      <c r="X413" s="5"/>
      <c r="Y413" s="5"/>
      <c r="AS413" s="5"/>
      <c r="AT413" s="5"/>
      <c r="AU413" s="5"/>
      <c r="AV413" s="5"/>
      <c r="AW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</row>
    <row r="414" spans="21:153" ht="12.75">
      <c r="U414" s="5"/>
      <c r="V414" s="5"/>
      <c r="W414" s="5"/>
      <c r="X414" s="5"/>
      <c r="Y414" s="5"/>
      <c r="AS414" s="5"/>
      <c r="AT414" s="5"/>
      <c r="AU414" s="5"/>
      <c r="AV414" s="5"/>
      <c r="AW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</row>
    <row r="415" spans="21:153" ht="12.75">
      <c r="U415" s="5"/>
      <c r="V415" s="5"/>
      <c r="W415" s="5"/>
      <c r="X415" s="5"/>
      <c r="Y415" s="5"/>
      <c r="AS415" s="5"/>
      <c r="AT415" s="5"/>
      <c r="AU415" s="5"/>
      <c r="AV415" s="5"/>
      <c r="AW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</row>
    <row r="416" spans="21:153" ht="12.75">
      <c r="U416" s="5"/>
      <c r="V416" s="5"/>
      <c r="W416" s="5"/>
      <c r="X416" s="5"/>
      <c r="Y416" s="5"/>
      <c r="AS416" s="5"/>
      <c r="AT416" s="5"/>
      <c r="AU416" s="5"/>
      <c r="AV416" s="5"/>
      <c r="AW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</row>
    <row r="417" spans="21:153" ht="12.75">
      <c r="U417" s="5"/>
      <c r="V417" s="5"/>
      <c r="W417" s="5"/>
      <c r="X417" s="5"/>
      <c r="Y417" s="5"/>
      <c r="AS417" s="5"/>
      <c r="AT417" s="5"/>
      <c r="AU417" s="5"/>
      <c r="AV417" s="5"/>
      <c r="AW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</row>
    <row r="418" spans="21:153" ht="12.75">
      <c r="U418" s="5"/>
      <c r="V418" s="5"/>
      <c r="W418" s="5"/>
      <c r="X418" s="5"/>
      <c r="Y418" s="5"/>
      <c r="AS418" s="5"/>
      <c r="AT418" s="5"/>
      <c r="AU418" s="5"/>
      <c r="AV418" s="5"/>
      <c r="AW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</row>
    <row r="419" spans="21:153" ht="12.75">
      <c r="U419" s="5"/>
      <c r="V419" s="5"/>
      <c r="W419" s="5"/>
      <c r="X419" s="5"/>
      <c r="Y419" s="5"/>
      <c r="AS419" s="5"/>
      <c r="AT419" s="5"/>
      <c r="AU419" s="5"/>
      <c r="AV419" s="5"/>
      <c r="AW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</row>
    <row r="420" spans="21:153" ht="12.75">
      <c r="U420" s="5"/>
      <c r="V420" s="5"/>
      <c r="W420" s="5"/>
      <c r="X420" s="5"/>
      <c r="Y420" s="5"/>
      <c r="AS420" s="5"/>
      <c r="AT420" s="5"/>
      <c r="AU420" s="5"/>
      <c r="AV420" s="5"/>
      <c r="AW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</row>
    <row r="421" spans="21:153" ht="12.75">
      <c r="U421" s="5"/>
      <c r="V421" s="5"/>
      <c r="W421" s="5"/>
      <c r="X421" s="5"/>
      <c r="Y421" s="5"/>
      <c r="AS421" s="5"/>
      <c r="AT421" s="5"/>
      <c r="AU421" s="5"/>
      <c r="AV421" s="5"/>
      <c r="AW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</row>
    <row r="422" spans="21:153" ht="12.75">
      <c r="U422" s="5"/>
      <c r="V422" s="5"/>
      <c r="W422" s="5"/>
      <c r="X422" s="5"/>
      <c r="Y422" s="5"/>
      <c r="AS422" s="5"/>
      <c r="AT422" s="5"/>
      <c r="AU422" s="5"/>
      <c r="AV422" s="5"/>
      <c r="AW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</row>
    <row r="423" spans="21:153" ht="12.75">
      <c r="U423" s="5"/>
      <c r="V423" s="5"/>
      <c r="W423" s="5"/>
      <c r="X423" s="5"/>
      <c r="Y423" s="5"/>
      <c r="AS423" s="5"/>
      <c r="AT423" s="5"/>
      <c r="AU423" s="5"/>
      <c r="AV423" s="5"/>
      <c r="AW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</row>
    <row r="424" spans="21:153" ht="12.75">
      <c r="U424" s="5"/>
      <c r="V424" s="5"/>
      <c r="W424" s="5"/>
      <c r="X424" s="5"/>
      <c r="Y424" s="5"/>
      <c r="AS424" s="5"/>
      <c r="AT424" s="5"/>
      <c r="AU424" s="5"/>
      <c r="AV424" s="5"/>
      <c r="AW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</row>
    <row r="425" spans="21:153" ht="12.75">
      <c r="U425" s="5"/>
      <c r="V425" s="5"/>
      <c r="W425" s="5"/>
      <c r="X425" s="5"/>
      <c r="Y425" s="5"/>
      <c r="AS425" s="5"/>
      <c r="AT425" s="5"/>
      <c r="AU425" s="5"/>
      <c r="AV425" s="5"/>
      <c r="AW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</row>
    <row r="426" spans="21:153" ht="12.75">
      <c r="U426" s="5"/>
      <c r="V426" s="5"/>
      <c r="W426" s="5"/>
      <c r="X426" s="5"/>
      <c r="Y426" s="5"/>
      <c r="AS426" s="5"/>
      <c r="AT426" s="5"/>
      <c r="AU426" s="5"/>
      <c r="AV426" s="5"/>
      <c r="AW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</row>
    <row r="427" spans="21:153" ht="12.75">
      <c r="U427" s="5"/>
      <c r="V427" s="5"/>
      <c r="W427" s="5"/>
      <c r="X427" s="5"/>
      <c r="Y427" s="5"/>
      <c r="AS427" s="5"/>
      <c r="AT427" s="5"/>
      <c r="AU427" s="5"/>
      <c r="AV427" s="5"/>
      <c r="AW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</row>
    <row r="428" spans="21:153" ht="12.75">
      <c r="U428" s="5"/>
      <c r="V428" s="5"/>
      <c r="W428" s="5"/>
      <c r="X428" s="5"/>
      <c r="Y428" s="5"/>
      <c r="AS428" s="5"/>
      <c r="AT428" s="5"/>
      <c r="AU428" s="5"/>
      <c r="AV428" s="5"/>
      <c r="AW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</row>
    <row r="429" spans="21:153" ht="12.75">
      <c r="U429" s="5"/>
      <c r="V429" s="5"/>
      <c r="W429" s="5"/>
      <c r="X429" s="5"/>
      <c r="Y429" s="5"/>
      <c r="AS429" s="5"/>
      <c r="AT429" s="5"/>
      <c r="AU429" s="5"/>
      <c r="AV429" s="5"/>
      <c r="AW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</row>
    <row r="430" spans="21:153" ht="12.75">
      <c r="U430" s="5"/>
      <c r="V430" s="5"/>
      <c r="W430" s="5"/>
      <c r="X430" s="5"/>
      <c r="Y430" s="5"/>
      <c r="AS430" s="5"/>
      <c r="AT430" s="5"/>
      <c r="AU430" s="5"/>
      <c r="AV430" s="5"/>
      <c r="AW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</row>
    <row r="431" spans="21:153" ht="12.75">
      <c r="U431" s="5"/>
      <c r="V431" s="5"/>
      <c r="W431" s="5"/>
      <c r="X431" s="5"/>
      <c r="Y431" s="5"/>
      <c r="AS431" s="5"/>
      <c r="AT431" s="5"/>
      <c r="AU431" s="5"/>
      <c r="AV431" s="5"/>
      <c r="AW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</row>
    <row r="432" spans="21:153" ht="12.75">
      <c r="U432" s="5"/>
      <c r="V432" s="5"/>
      <c r="W432" s="5"/>
      <c r="X432" s="5"/>
      <c r="Y432" s="5"/>
      <c r="AS432" s="5"/>
      <c r="AT432" s="5"/>
      <c r="AU432" s="5"/>
      <c r="AV432" s="5"/>
      <c r="AW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</row>
    <row r="433" spans="21:153" ht="12.75">
      <c r="U433" s="5"/>
      <c r="V433" s="5"/>
      <c r="W433" s="5"/>
      <c r="X433" s="5"/>
      <c r="Y433" s="5"/>
      <c r="AS433" s="5"/>
      <c r="AT433" s="5"/>
      <c r="AU433" s="5"/>
      <c r="AV433" s="5"/>
      <c r="AW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</row>
    <row r="434" spans="21:153" ht="12.75">
      <c r="U434" s="5"/>
      <c r="V434" s="5"/>
      <c r="W434" s="5"/>
      <c r="X434" s="5"/>
      <c r="Y434" s="5"/>
      <c r="AS434" s="5"/>
      <c r="AT434" s="5"/>
      <c r="AU434" s="5"/>
      <c r="AV434" s="5"/>
      <c r="AW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</row>
    <row r="435" spans="21:153" ht="12.75">
      <c r="U435" s="5"/>
      <c r="V435" s="5"/>
      <c r="W435" s="5"/>
      <c r="X435" s="5"/>
      <c r="Y435" s="5"/>
      <c r="AS435" s="5"/>
      <c r="AT435" s="5"/>
      <c r="AU435" s="5"/>
      <c r="AV435" s="5"/>
      <c r="AW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</row>
    <row r="436" spans="21:153" ht="12.75">
      <c r="U436" s="5"/>
      <c r="V436" s="5"/>
      <c r="W436" s="5"/>
      <c r="X436" s="5"/>
      <c r="Y436" s="5"/>
      <c r="AS436" s="5"/>
      <c r="AT436" s="5"/>
      <c r="AU436" s="5"/>
      <c r="AV436" s="5"/>
      <c r="AW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</row>
    <row r="437" spans="21:153" ht="12.75">
      <c r="U437" s="5"/>
      <c r="V437" s="5"/>
      <c r="W437" s="5"/>
      <c r="X437" s="5"/>
      <c r="Y437" s="5"/>
      <c r="AS437" s="5"/>
      <c r="AT437" s="5"/>
      <c r="AU437" s="5"/>
      <c r="AV437" s="5"/>
      <c r="AW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</row>
    <row r="438" spans="21:153" ht="12.75">
      <c r="U438" s="5"/>
      <c r="V438" s="5"/>
      <c r="W438" s="5"/>
      <c r="X438" s="5"/>
      <c r="Y438" s="5"/>
      <c r="AS438" s="5"/>
      <c r="AT438" s="5"/>
      <c r="AU438" s="5"/>
      <c r="AV438" s="5"/>
      <c r="AW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</row>
    <row r="439" spans="21:153" ht="12.75">
      <c r="U439" s="5"/>
      <c r="V439" s="5"/>
      <c r="W439" s="5"/>
      <c r="X439" s="5"/>
      <c r="Y439" s="5"/>
      <c r="AS439" s="5"/>
      <c r="AT439" s="5"/>
      <c r="AU439" s="5"/>
      <c r="AV439" s="5"/>
      <c r="AW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</row>
    <row r="440" spans="21:153" ht="12.75">
      <c r="U440" s="5"/>
      <c r="V440" s="5"/>
      <c r="W440" s="5"/>
      <c r="X440" s="5"/>
      <c r="Y440" s="5"/>
      <c r="AS440" s="5"/>
      <c r="AT440" s="5"/>
      <c r="AU440" s="5"/>
      <c r="AV440" s="5"/>
      <c r="AW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</row>
    <row r="441" spans="21:153" ht="12.75">
      <c r="U441" s="5"/>
      <c r="V441" s="5"/>
      <c r="W441" s="5"/>
      <c r="X441" s="5"/>
      <c r="Y441" s="5"/>
      <c r="AS441" s="5"/>
      <c r="AT441" s="5"/>
      <c r="AU441" s="5"/>
      <c r="AV441" s="5"/>
      <c r="AW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</row>
    <row r="442" spans="21:153" ht="12.75">
      <c r="U442" s="5"/>
      <c r="V442" s="5"/>
      <c r="W442" s="5"/>
      <c r="X442" s="5"/>
      <c r="Y442" s="5"/>
      <c r="AS442" s="5"/>
      <c r="AT442" s="5"/>
      <c r="AU442" s="5"/>
      <c r="AV442" s="5"/>
      <c r="AW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</row>
    <row r="443" spans="21:153" ht="12.75">
      <c r="U443" s="5"/>
      <c r="V443" s="5"/>
      <c r="W443" s="5"/>
      <c r="X443" s="5"/>
      <c r="Y443" s="5"/>
      <c r="AS443" s="5"/>
      <c r="AT443" s="5"/>
      <c r="AU443" s="5"/>
      <c r="AV443" s="5"/>
      <c r="AW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</row>
    <row r="444" spans="21:153" ht="12.75">
      <c r="U444" s="5"/>
      <c r="V444" s="5"/>
      <c r="W444" s="5"/>
      <c r="X444" s="5"/>
      <c r="Y444" s="5"/>
      <c r="AS444" s="5"/>
      <c r="AT444" s="5"/>
      <c r="AU444" s="5"/>
      <c r="AV444" s="5"/>
      <c r="AW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</row>
    <row r="445" spans="21:153" ht="12.75">
      <c r="U445" s="5"/>
      <c r="V445" s="5"/>
      <c r="W445" s="5"/>
      <c r="X445" s="5"/>
      <c r="Y445" s="5"/>
      <c r="AS445" s="5"/>
      <c r="AT445" s="5"/>
      <c r="AU445" s="5"/>
      <c r="AV445" s="5"/>
      <c r="AW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</row>
    <row r="446" spans="21:153" ht="12.75">
      <c r="U446" s="5"/>
      <c r="V446" s="5"/>
      <c r="W446" s="5"/>
      <c r="X446" s="5"/>
      <c r="Y446" s="5"/>
      <c r="AS446" s="5"/>
      <c r="AT446" s="5"/>
      <c r="AU446" s="5"/>
      <c r="AV446" s="5"/>
      <c r="AW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</row>
    <row r="447" spans="21:153" ht="12.75">
      <c r="U447" s="5"/>
      <c r="V447" s="5"/>
      <c r="W447" s="5"/>
      <c r="X447" s="5"/>
      <c r="Y447" s="5"/>
      <c r="AS447" s="5"/>
      <c r="AT447" s="5"/>
      <c r="AU447" s="5"/>
      <c r="AV447" s="5"/>
      <c r="AW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</row>
    <row r="448" spans="21:153" ht="12.75">
      <c r="U448" s="5"/>
      <c r="V448" s="5"/>
      <c r="W448" s="5"/>
      <c r="X448" s="5"/>
      <c r="Y448" s="5"/>
      <c r="AS448" s="5"/>
      <c r="AT448" s="5"/>
      <c r="AU448" s="5"/>
      <c r="AV448" s="5"/>
      <c r="AW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</row>
    <row r="449" spans="21:153" ht="12.75">
      <c r="U449" s="5"/>
      <c r="V449" s="5"/>
      <c r="W449" s="5"/>
      <c r="X449" s="5"/>
      <c r="Y449" s="5"/>
      <c r="AS449" s="5"/>
      <c r="AT449" s="5"/>
      <c r="AU449" s="5"/>
      <c r="AV449" s="5"/>
      <c r="AW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</row>
    <row r="450" spans="21:153" ht="12.75">
      <c r="U450" s="5"/>
      <c r="V450" s="5"/>
      <c r="W450" s="5"/>
      <c r="X450" s="5"/>
      <c r="Y450" s="5"/>
      <c r="AS450" s="5"/>
      <c r="AT450" s="5"/>
      <c r="AU450" s="5"/>
      <c r="AV450" s="5"/>
      <c r="AW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</row>
    <row r="451" spans="21:153" ht="12.75">
      <c r="U451" s="5"/>
      <c r="V451" s="5"/>
      <c r="W451" s="5"/>
      <c r="X451" s="5"/>
      <c r="Y451" s="5"/>
      <c r="AS451" s="5"/>
      <c r="AT451" s="5"/>
      <c r="AU451" s="5"/>
      <c r="AV451" s="5"/>
      <c r="AW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</row>
    <row r="452" spans="21:153" ht="12.75">
      <c r="U452" s="5"/>
      <c r="V452" s="5"/>
      <c r="W452" s="5"/>
      <c r="X452" s="5"/>
      <c r="Y452" s="5"/>
      <c r="AS452" s="5"/>
      <c r="AT452" s="5"/>
      <c r="AU452" s="5"/>
      <c r="AV452" s="5"/>
      <c r="AW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</row>
    <row r="453" spans="21:153" ht="12.75">
      <c r="U453" s="5"/>
      <c r="V453" s="5"/>
      <c r="W453" s="5"/>
      <c r="X453" s="5"/>
      <c r="Y453" s="5"/>
      <c r="AS453" s="5"/>
      <c r="AT453" s="5"/>
      <c r="AU453" s="5"/>
      <c r="AV453" s="5"/>
      <c r="AW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</row>
    <row r="454" spans="21:153" ht="12.75">
      <c r="U454" s="5"/>
      <c r="V454" s="5"/>
      <c r="W454" s="5"/>
      <c r="X454" s="5"/>
      <c r="Y454" s="5"/>
      <c r="AS454" s="5"/>
      <c r="AT454" s="5"/>
      <c r="AU454" s="5"/>
      <c r="AV454" s="5"/>
      <c r="AW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</row>
    <row r="455" spans="21:153" ht="12.75">
      <c r="U455" s="5"/>
      <c r="V455" s="5"/>
      <c r="W455" s="5"/>
      <c r="X455" s="5"/>
      <c r="Y455" s="5"/>
      <c r="AS455" s="5"/>
      <c r="AT455" s="5"/>
      <c r="AU455" s="5"/>
      <c r="AV455" s="5"/>
      <c r="AW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</row>
    <row r="456" spans="21:153" ht="12.75">
      <c r="U456" s="5"/>
      <c r="V456" s="5"/>
      <c r="W456" s="5"/>
      <c r="X456" s="5"/>
      <c r="Y456" s="5"/>
      <c r="AS456" s="5"/>
      <c r="AT456" s="5"/>
      <c r="AU456" s="5"/>
      <c r="AV456" s="5"/>
      <c r="AW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</row>
    <row r="457" spans="21:153" ht="12.75">
      <c r="U457" s="5"/>
      <c r="V457" s="5"/>
      <c r="W457" s="5"/>
      <c r="X457" s="5"/>
      <c r="Y457" s="5"/>
      <c r="AS457" s="5"/>
      <c r="AT457" s="5"/>
      <c r="AU457" s="5"/>
      <c r="AV457" s="5"/>
      <c r="AW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</row>
    <row r="458" spans="21:153" ht="12.75">
      <c r="U458" s="5"/>
      <c r="V458" s="5"/>
      <c r="W458" s="5"/>
      <c r="X458" s="5"/>
      <c r="Y458" s="5"/>
      <c r="AS458" s="5"/>
      <c r="AT458" s="5"/>
      <c r="AU458" s="5"/>
      <c r="AV458" s="5"/>
      <c r="AW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</row>
    <row r="459" spans="21:153" ht="12.75">
      <c r="U459" s="5"/>
      <c r="V459" s="5"/>
      <c r="W459" s="5"/>
      <c r="X459" s="5"/>
      <c r="Y459" s="5"/>
      <c r="AS459" s="5"/>
      <c r="AT459" s="5"/>
      <c r="AU459" s="5"/>
      <c r="AV459" s="5"/>
      <c r="AW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</row>
    <row r="460" spans="21:153" ht="12.75">
      <c r="U460" s="5"/>
      <c r="V460" s="5"/>
      <c r="W460" s="5"/>
      <c r="X460" s="5"/>
      <c r="Y460" s="5"/>
      <c r="AS460" s="5"/>
      <c r="AT460" s="5"/>
      <c r="AU460" s="5"/>
      <c r="AV460" s="5"/>
      <c r="AW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</row>
    <row r="461" spans="21:153" ht="12.75">
      <c r="U461" s="5"/>
      <c r="V461" s="5"/>
      <c r="W461" s="5"/>
      <c r="X461" s="5"/>
      <c r="Y461" s="5"/>
      <c r="AS461" s="5"/>
      <c r="AT461" s="5"/>
      <c r="AU461" s="5"/>
      <c r="AV461" s="5"/>
      <c r="AW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</row>
    <row r="462" spans="21:153" ht="12.75">
      <c r="U462" s="5"/>
      <c r="V462" s="5"/>
      <c r="W462" s="5"/>
      <c r="X462" s="5"/>
      <c r="Y462" s="5"/>
      <c r="AS462" s="5"/>
      <c r="AT462" s="5"/>
      <c r="AU462" s="5"/>
      <c r="AV462" s="5"/>
      <c r="AW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</row>
    <row r="463" spans="21:153" ht="12.75">
      <c r="U463" s="5"/>
      <c r="V463" s="5"/>
      <c r="W463" s="5"/>
      <c r="X463" s="5"/>
      <c r="Y463" s="5"/>
      <c r="AS463" s="5"/>
      <c r="AT463" s="5"/>
      <c r="AU463" s="5"/>
      <c r="AV463" s="5"/>
      <c r="AW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</row>
    <row r="464" spans="21:153" ht="12.75">
      <c r="U464" s="5"/>
      <c r="V464" s="5"/>
      <c r="W464" s="5"/>
      <c r="X464" s="5"/>
      <c r="Y464" s="5"/>
      <c r="AS464" s="5"/>
      <c r="AT464" s="5"/>
      <c r="AU464" s="5"/>
      <c r="AV464" s="5"/>
      <c r="AW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</row>
    <row r="465" spans="21:153" ht="12.75">
      <c r="U465" s="5"/>
      <c r="V465" s="5"/>
      <c r="W465" s="5"/>
      <c r="X465" s="5"/>
      <c r="Y465" s="5"/>
      <c r="AS465" s="5"/>
      <c r="AT465" s="5"/>
      <c r="AU465" s="5"/>
      <c r="AV465" s="5"/>
      <c r="AW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</row>
    <row r="466" spans="21:153" ht="12.75">
      <c r="U466" s="5"/>
      <c r="V466" s="5"/>
      <c r="W466" s="5"/>
      <c r="X466" s="5"/>
      <c r="Y466" s="5"/>
      <c r="AS466" s="5"/>
      <c r="AT466" s="5"/>
      <c r="AU466" s="5"/>
      <c r="AV466" s="5"/>
      <c r="AW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</row>
    <row r="467" spans="21:153" ht="12.75">
      <c r="U467" s="5"/>
      <c r="V467" s="5"/>
      <c r="W467" s="5"/>
      <c r="X467" s="5"/>
      <c r="Y467" s="5"/>
      <c r="AS467" s="5"/>
      <c r="AT467" s="5"/>
      <c r="AU467" s="5"/>
      <c r="AV467" s="5"/>
      <c r="AW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</row>
    <row r="468" spans="21:153" ht="12.75">
      <c r="U468" s="5"/>
      <c r="V468" s="5"/>
      <c r="W468" s="5"/>
      <c r="X468" s="5"/>
      <c r="Y468" s="5"/>
      <c r="AS468" s="5"/>
      <c r="AT468" s="5"/>
      <c r="AU468" s="5"/>
      <c r="AV468" s="5"/>
      <c r="AW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</row>
    <row r="469" spans="21:153" ht="12.75">
      <c r="U469" s="5"/>
      <c r="V469" s="5"/>
      <c r="W469" s="5"/>
      <c r="X469" s="5"/>
      <c r="Y469" s="5"/>
      <c r="AS469" s="5"/>
      <c r="AT469" s="5"/>
      <c r="AU469" s="5"/>
      <c r="AV469" s="5"/>
      <c r="AW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</row>
    <row r="470" spans="21:153" ht="12.75">
      <c r="U470" s="5"/>
      <c r="V470" s="5"/>
      <c r="W470" s="5"/>
      <c r="X470" s="5"/>
      <c r="Y470" s="5"/>
      <c r="AS470" s="5"/>
      <c r="AT470" s="5"/>
      <c r="AU470" s="5"/>
      <c r="AV470" s="5"/>
      <c r="AW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</row>
    <row r="471" spans="21:153" ht="12.75">
      <c r="U471" s="5"/>
      <c r="V471" s="5"/>
      <c r="W471" s="5"/>
      <c r="X471" s="5"/>
      <c r="Y471" s="5"/>
      <c r="AS471" s="5"/>
      <c r="AT471" s="5"/>
      <c r="AU471" s="5"/>
      <c r="AV471" s="5"/>
      <c r="AW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</row>
    <row r="472" spans="21:153" ht="12.75">
      <c r="U472" s="5"/>
      <c r="V472" s="5"/>
      <c r="W472" s="5"/>
      <c r="X472" s="5"/>
      <c r="Y472" s="5"/>
      <c r="AS472" s="5"/>
      <c r="AT472" s="5"/>
      <c r="AU472" s="5"/>
      <c r="AV472" s="5"/>
      <c r="AW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</row>
    <row r="473" spans="21:153" ht="12.75">
      <c r="U473" s="5"/>
      <c r="V473" s="5"/>
      <c r="W473" s="5"/>
      <c r="X473" s="5"/>
      <c r="Y473" s="5"/>
      <c r="AS473" s="5"/>
      <c r="AT473" s="5"/>
      <c r="AU473" s="5"/>
      <c r="AV473" s="5"/>
      <c r="AW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</row>
    <row r="474" spans="21:153" ht="12.75">
      <c r="U474" s="5"/>
      <c r="V474" s="5"/>
      <c r="W474" s="5"/>
      <c r="X474" s="5"/>
      <c r="Y474" s="5"/>
      <c r="AS474" s="5"/>
      <c r="AT474" s="5"/>
      <c r="AU474" s="5"/>
      <c r="AV474" s="5"/>
      <c r="AW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</row>
    <row r="475" spans="21:153" ht="12.75">
      <c r="U475" s="5"/>
      <c r="V475" s="5"/>
      <c r="W475" s="5"/>
      <c r="X475" s="5"/>
      <c r="Y475" s="5"/>
      <c r="AS475" s="5"/>
      <c r="AT475" s="5"/>
      <c r="AU475" s="5"/>
      <c r="AV475" s="5"/>
      <c r="AW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</row>
    <row r="476" spans="21:153" ht="12.75">
      <c r="U476" s="5"/>
      <c r="V476" s="5"/>
      <c r="W476" s="5"/>
      <c r="X476" s="5"/>
      <c r="Y476" s="5"/>
      <c r="AS476" s="5"/>
      <c r="AT476" s="5"/>
      <c r="AU476" s="5"/>
      <c r="AV476" s="5"/>
      <c r="AW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</row>
    <row r="477" spans="21:153" ht="12.75">
      <c r="U477" s="5"/>
      <c r="V477" s="5"/>
      <c r="W477" s="5"/>
      <c r="X477" s="5"/>
      <c r="Y477" s="5"/>
      <c r="AS477" s="5"/>
      <c r="AT477" s="5"/>
      <c r="AU477" s="5"/>
      <c r="AV477" s="5"/>
      <c r="AW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</row>
    <row r="478" spans="21:153" ht="12.75">
      <c r="U478" s="5"/>
      <c r="V478" s="5"/>
      <c r="W478" s="5"/>
      <c r="X478" s="5"/>
      <c r="Y478" s="5"/>
      <c r="AS478" s="5"/>
      <c r="AT478" s="5"/>
      <c r="AU478" s="5"/>
      <c r="AV478" s="5"/>
      <c r="AW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</row>
    <row r="479" spans="21:153" ht="12.75">
      <c r="U479" s="5"/>
      <c r="V479" s="5"/>
      <c r="W479" s="5"/>
      <c r="X479" s="5"/>
      <c r="Y479" s="5"/>
      <c r="AS479" s="5"/>
      <c r="AT479" s="5"/>
      <c r="AU479" s="5"/>
      <c r="AV479" s="5"/>
      <c r="AW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</row>
    <row r="480" spans="21:153" ht="12.75">
      <c r="U480" s="5"/>
      <c r="V480" s="5"/>
      <c r="W480" s="5"/>
      <c r="X480" s="5"/>
      <c r="Y480" s="5"/>
      <c r="AS480" s="5"/>
      <c r="AT480" s="5"/>
      <c r="AU480" s="5"/>
      <c r="AV480" s="5"/>
      <c r="AW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</row>
    <row r="481" spans="21:153" ht="12.75">
      <c r="U481" s="5"/>
      <c r="V481" s="5"/>
      <c r="W481" s="5"/>
      <c r="X481" s="5"/>
      <c r="Y481" s="5"/>
      <c r="AS481" s="5"/>
      <c r="AT481" s="5"/>
      <c r="AU481" s="5"/>
      <c r="AV481" s="5"/>
      <c r="AW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</row>
    <row r="482" spans="21:153" ht="12.75">
      <c r="U482" s="5"/>
      <c r="V482" s="5"/>
      <c r="W482" s="5"/>
      <c r="X482" s="5"/>
      <c r="Y482" s="5"/>
      <c r="AS482" s="5"/>
      <c r="AT482" s="5"/>
      <c r="AU482" s="5"/>
      <c r="AV482" s="5"/>
      <c r="AW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</row>
    <row r="483" spans="21:153" ht="12.75">
      <c r="U483" s="5"/>
      <c r="V483" s="5"/>
      <c r="W483" s="5"/>
      <c r="X483" s="5"/>
      <c r="Y483" s="5"/>
      <c r="AS483" s="5"/>
      <c r="AT483" s="5"/>
      <c r="AU483" s="5"/>
      <c r="AV483" s="5"/>
      <c r="AW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</row>
    <row r="484" spans="21:153" ht="12.75">
      <c r="U484" s="5"/>
      <c r="V484" s="5"/>
      <c r="W484" s="5"/>
      <c r="X484" s="5"/>
      <c r="Y484" s="5"/>
      <c r="AS484" s="5"/>
      <c r="AT484" s="5"/>
      <c r="AU484" s="5"/>
      <c r="AV484" s="5"/>
      <c r="AW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</row>
    <row r="485" spans="21:153" ht="12.75">
      <c r="U485" s="5"/>
      <c r="V485" s="5"/>
      <c r="W485" s="5"/>
      <c r="X485" s="5"/>
      <c r="Y485" s="5"/>
      <c r="AS485" s="5"/>
      <c r="AT485" s="5"/>
      <c r="AU485" s="5"/>
      <c r="AV485" s="5"/>
      <c r="AW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</row>
    <row r="486" spans="21:153" ht="12.75">
      <c r="U486" s="5"/>
      <c r="V486" s="5"/>
      <c r="W486" s="5"/>
      <c r="X486" s="5"/>
      <c r="Y486" s="5"/>
      <c r="AS486" s="5"/>
      <c r="AT486" s="5"/>
      <c r="AU486" s="5"/>
      <c r="AV486" s="5"/>
      <c r="AW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</row>
    <row r="487" spans="21:153" ht="12.75">
      <c r="U487" s="5"/>
      <c r="V487" s="5"/>
      <c r="W487" s="5"/>
      <c r="X487" s="5"/>
      <c r="Y487" s="5"/>
      <c r="AS487" s="5"/>
      <c r="AT487" s="5"/>
      <c r="AU487" s="5"/>
      <c r="AV487" s="5"/>
      <c r="AW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</row>
    <row r="488" spans="21:153" ht="12.75">
      <c r="U488" s="5"/>
      <c r="V488" s="5"/>
      <c r="W488" s="5"/>
      <c r="X488" s="5"/>
      <c r="Y488" s="5"/>
      <c r="AS488" s="5"/>
      <c r="AT488" s="5"/>
      <c r="AU488" s="5"/>
      <c r="AV488" s="5"/>
      <c r="AW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</row>
    <row r="489" spans="21:153" ht="12.75">
      <c r="U489" s="5"/>
      <c r="V489" s="5"/>
      <c r="W489" s="5"/>
      <c r="X489" s="5"/>
      <c r="Y489" s="5"/>
      <c r="AS489" s="5"/>
      <c r="AT489" s="5"/>
      <c r="AU489" s="5"/>
      <c r="AV489" s="5"/>
      <c r="AW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</row>
    <row r="490" spans="21:153" ht="12.75">
      <c r="U490" s="5"/>
      <c r="V490" s="5"/>
      <c r="W490" s="5"/>
      <c r="X490" s="5"/>
      <c r="Y490" s="5"/>
      <c r="AS490" s="5"/>
      <c r="AT490" s="5"/>
      <c r="AU490" s="5"/>
      <c r="AV490" s="5"/>
      <c r="AW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</row>
    <row r="491" spans="21:153" ht="12.75">
      <c r="U491" s="5"/>
      <c r="V491" s="5"/>
      <c r="W491" s="5"/>
      <c r="X491" s="5"/>
      <c r="Y491" s="5"/>
      <c r="AS491" s="5"/>
      <c r="AT491" s="5"/>
      <c r="AU491" s="5"/>
      <c r="AV491" s="5"/>
      <c r="AW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</row>
    <row r="492" spans="21:153" ht="12.75">
      <c r="U492" s="5"/>
      <c r="V492" s="5"/>
      <c r="W492" s="5"/>
      <c r="X492" s="5"/>
      <c r="Y492" s="5"/>
      <c r="AS492" s="5"/>
      <c r="AT492" s="5"/>
      <c r="AU492" s="5"/>
      <c r="AV492" s="5"/>
      <c r="AW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</row>
    <row r="493" spans="21:153" ht="12.75">
      <c r="U493" s="5"/>
      <c r="V493" s="5"/>
      <c r="W493" s="5"/>
      <c r="X493" s="5"/>
      <c r="Y493" s="5"/>
      <c r="AS493" s="5"/>
      <c r="AT493" s="5"/>
      <c r="AU493" s="5"/>
      <c r="AV493" s="5"/>
      <c r="AW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</row>
    <row r="494" spans="21:153" ht="12.75">
      <c r="U494" s="5"/>
      <c r="V494" s="5"/>
      <c r="W494" s="5"/>
      <c r="X494" s="5"/>
      <c r="Y494" s="5"/>
      <c r="AS494" s="5"/>
      <c r="AT494" s="5"/>
      <c r="AU494" s="5"/>
      <c r="AV494" s="5"/>
      <c r="AW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</row>
    <row r="495" spans="21:153" ht="12.75">
      <c r="U495" s="5"/>
      <c r="V495" s="5"/>
      <c r="W495" s="5"/>
      <c r="X495" s="5"/>
      <c r="Y495" s="5"/>
      <c r="AS495" s="5"/>
      <c r="AT495" s="5"/>
      <c r="AU495" s="5"/>
      <c r="AV495" s="5"/>
      <c r="AW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</row>
    <row r="496" spans="21:153" ht="12.75">
      <c r="U496" s="5"/>
      <c r="V496" s="5"/>
      <c r="W496" s="5"/>
      <c r="X496" s="5"/>
      <c r="Y496" s="5"/>
      <c r="AS496" s="5"/>
      <c r="AT496" s="5"/>
      <c r="AU496" s="5"/>
      <c r="AV496" s="5"/>
      <c r="AW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</row>
    <row r="497" spans="21:153" ht="12.75">
      <c r="U497" s="5"/>
      <c r="V497" s="5"/>
      <c r="W497" s="5"/>
      <c r="X497" s="5"/>
      <c r="Y497" s="5"/>
      <c r="AS497" s="5"/>
      <c r="AT497" s="5"/>
      <c r="AU497" s="5"/>
      <c r="AV497" s="5"/>
      <c r="AW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</row>
    <row r="498" spans="21:153" ht="12.75">
      <c r="U498" s="5"/>
      <c r="V498" s="5"/>
      <c r="W498" s="5"/>
      <c r="X498" s="5"/>
      <c r="Y498" s="5"/>
      <c r="AS498" s="5"/>
      <c r="AT498" s="5"/>
      <c r="AU498" s="5"/>
      <c r="AV498" s="5"/>
      <c r="AW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</row>
    <row r="499" spans="21:153" ht="12.75">
      <c r="U499" s="5"/>
      <c r="V499" s="5"/>
      <c r="W499" s="5"/>
      <c r="X499" s="5"/>
      <c r="Y499" s="5"/>
      <c r="AS499" s="5"/>
      <c r="AT499" s="5"/>
      <c r="AU499" s="5"/>
      <c r="AV499" s="5"/>
      <c r="AW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</row>
    <row r="500" spans="21:153" ht="12.75">
      <c r="U500" s="5"/>
      <c r="V500" s="5"/>
      <c r="W500" s="5"/>
      <c r="X500" s="5"/>
      <c r="Y500" s="5"/>
      <c r="AS500" s="5"/>
      <c r="AT500" s="5"/>
      <c r="AU500" s="5"/>
      <c r="AV500" s="5"/>
      <c r="AW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</row>
    <row r="501" spans="21:153" ht="12.75">
      <c r="U501" s="5"/>
      <c r="V501" s="5"/>
      <c r="W501" s="5"/>
      <c r="X501" s="5"/>
      <c r="Y501" s="5"/>
      <c r="AS501" s="5"/>
      <c r="AT501" s="5"/>
      <c r="AU501" s="5"/>
      <c r="AV501" s="5"/>
      <c r="AW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</row>
    <row r="502" spans="21:153" ht="12.75">
      <c r="U502" s="5"/>
      <c r="V502" s="5"/>
      <c r="W502" s="5"/>
      <c r="X502" s="5"/>
      <c r="Y502" s="5"/>
      <c r="AS502" s="5"/>
      <c r="AT502" s="5"/>
      <c r="AU502" s="5"/>
      <c r="AV502" s="5"/>
      <c r="AW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</row>
    <row r="503" spans="21:153" ht="12.75">
      <c r="U503" s="5"/>
      <c r="V503" s="5"/>
      <c r="W503" s="5"/>
      <c r="X503" s="5"/>
      <c r="Y503" s="5"/>
      <c r="AS503" s="5"/>
      <c r="AT503" s="5"/>
      <c r="AU503" s="5"/>
      <c r="AV503" s="5"/>
      <c r="AW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</row>
    <row r="504" spans="21:153" ht="12.75">
      <c r="U504" s="5"/>
      <c r="V504" s="5"/>
      <c r="W504" s="5"/>
      <c r="X504" s="5"/>
      <c r="Y504" s="5"/>
      <c r="AS504" s="5"/>
      <c r="AT504" s="5"/>
      <c r="AU504" s="5"/>
      <c r="AV504" s="5"/>
      <c r="AW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</row>
    <row r="505" spans="21:153" ht="12.75">
      <c r="U505" s="5"/>
      <c r="V505" s="5"/>
      <c r="W505" s="5"/>
      <c r="X505" s="5"/>
      <c r="Y505" s="5"/>
      <c r="AS505" s="5"/>
      <c r="AT505" s="5"/>
      <c r="AU505" s="5"/>
      <c r="AV505" s="5"/>
      <c r="AW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</row>
    <row r="506" spans="21:153" ht="12.75">
      <c r="U506" s="5"/>
      <c r="V506" s="5"/>
      <c r="W506" s="5"/>
      <c r="X506" s="5"/>
      <c r="Y506" s="5"/>
      <c r="AS506" s="5"/>
      <c r="AT506" s="5"/>
      <c r="AU506" s="5"/>
      <c r="AV506" s="5"/>
      <c r="AW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</row>
    <row r="507" spans="21:153" ht="12.75">
      <c r="U507" s="5"/>
      <c r="V507" s="5"/>
      <c r="W507" s="5"/>
      <c r="X507" s="5"/>
      <c r="Y507" s="5"/>
      <c r="AS507" s="5"/>
      <c r="AT507" s="5"/>
      <c r="AU507" s="5"/>
      <c r="AV507" s="5"/>
      <c r="AW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</row>
    <row r="508" spans="21:153" ht="12.75">
      <c r="U508" s="5"/>
      <c r="V508" s="5"/>
      <c r="W508" s="5"/>
      <c r="X508" s="5"/>
      <c r="Y508" s="5"/>
      <c r="AS508" s="5"/>
      <c r="AT508" s="5"/>
      <c r="AU508" s="5"/>
      <c r="AV508" s="5"/>
      <c r="AW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</row>
    <row r="509" spans="21:153" ht="12.75">
      <c r="U509" s="5"/>
      <c r="V509" s="5"/>
      <c r="W509" s="5"/>
      <c r="X509" s="5"/>
      <c r="Y509" s="5"/>
      <c r="AS509" s="5"/>
      <c r="AT509" s="5"/>
      <c r="AU509" s="5"/>
      <c r="AV509" s="5"/>
      <c r="AW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</row>
    <row r="510" spans="21:153" ht="12.75">
      <c r="U510" s="5"/>
      <c r="V510" s="5"/>
      <c r="W510" s="5"/>
      <c r="X510" s="5"/>
      <c r="Y510" s="5"/>
      <c r="AS510" s="5"/>
      <c r="AT510" s="5"/>
      <c r="AU510" s="5"/>
      <c r="AV510" s="5"/>
      <c r="AW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</row>
    <row r="511" spans="21:153" ht="12.75">
      <c r="U511" s="5"/>
      <c r="V511" s="5"/>
      <c r="W511" s="5"/>
      <c r="X511" s="5"/>
      <c r="Y511" s="5"/>
      <c r="AS511" s="5"/>
      <c r="AT511" s="5"/>
      <c r="AU511" s="5"/>
      <c r="AV511" s="5"/>
      <c r="AW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</row>
    <row r="512" spans="21:153" ht="12.75">
      <c r="U512" s="5"/>
      <c r="V512" s="5"/>
      <c r="W512" s="5"/>
      <c r="X512" s="5"/>
      <c r="Y512" s="5"/>
      <c r="AS512" s="5"/>
      <c r="AT512" s="5"/>
      <c r="AU512" s="5"/>
      <c r="AV512" s="5"/>
      <c r="AW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</row>
    <row r="513" spans="21:153" ht="12.75">
      <c r="U513" s="5"/>
      <c r="V513" s="5"/>
      <c r="W513" s="5"/>
      <c r="X513" s="5"/>
      <c r="Y513" s="5"/>
      <c r="AS513" s="5"/>
      <c r="AT513" s="5"/>
      <c r="AU513" s="5"/>
      <c r="AV513" s="5"/>
      <c r="AW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</row>
    <row r="514" spans="21:153" ht="12.75">
      <c r="U514" s="5"/>
      <c r="V514" s="5"/>
      <c r="W514" s="5"/>
      <c r="X514" s="5"/>
      <c r="Y514" s="5"/>
      <c r="AS514" s="5"/>
      <c r="AT514" s="5"/>
      <c r="AU514" s="5"/>
      <c r="AV514" s="5"/>
      <c r="AW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</row>
    <row r="515" spans="21:153" ht="12.75">
      <c r="U515" s="5"/>
      <c r="V515" s="5"/>
      <c r="W515" s="5"/>
      <c r="X515" s="5"/>
      <c r="Y515" s="5"/>
      <c r="AS515" s="5"/>
      <c r="AT515" s="5"/>
      <c r="AU515" s="5"/>
      <c r="AV515" s="5"/>
      <c r="AW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</row>
    <row r="516" spans="21:153" ht="12.75">
      <c r="U516" s="5"/>
      <c r="V516" s="5"/>
      <c r="W516" s="5"/>
      <c r="X516" s="5"/>
      <c r="Y516" s="5"/>
      <c r="AS516" s="5"/>
      <c r="AT516" s="5"/>
      <c r="AU516" s="5"/>
      <c r="AV516" s="5"/>
      <c r="AW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</row>
    <row r="517" spans="21:153" ht="12.75">
      <c r="U517" s="5"/>
      <c r="V517" s="5"/>
      <c r="W517" s="5"/>
      <c r="X517" s="5"/>
      <c r="Y517" s="5"/>
      <c r="AS517" s="5"/>
      <c r="AT517" s="5"/>
      <c r="AU517" s="5"/>
      <c r="AV517" s="5"/>
      <c r="AW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</row>
    <row r="518" spans="21:153" ht="12.75">
      <c r="U518" s="5"/>
      <c r="V518" s="5"/>
      <c r="W518" s="5"/>
      <c r="X518" s="5"/>
      <c r="Y518" s="5"/>
      <c r="AS518" s="5"/>
      <c r="AT518" s="5"/>
      <c r="AU518" s="5"/>
      <c r="AV518" s="5"/>
      <c r="AW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</row>
    <row r="519" spans="21:153" ht="12.75">
      <c r="U519" s="5"/>
      <c r="V519" s="5"/>
      <c r="W519" s="5"/>
      <c r="X519" s="5"/>
      <c r="Y519" s="5"/>
      <c r="AS519" s="5"/>
      <c r="AT519" s="5"/>
      <c r="AU519" s="5"/>
      <c r="AV519" s="5"/>
      <c r="AW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</row>
    <row r="520" spans="21:153" ht="12.75">
      <c r="U520" s="5"/>
      <c r="V520" s="5"/>
      <c r="W520" s="5"/>
      <c r="X520" s="5"/>
      <c r="Y520" s="5"/>
      <c r="AS520" s="5"/>
      <c r="AT520" s="5"/>
      <c r="AU520" s="5"/>
      <c r="AV520" s="5"/>
      <c r="AW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</row>
    <row r="521" spans="21:153" ht="12.75">
      <c r="U521" s="5"/>
      <c r="V521" s="5"/>
      <c r="W521" s="5"/>
      <c r="X521" s="5"/>
      <c r="Y521" s="5"/>
      <c r="AS521" s="5"/>
      <c r="AT521" s="5"/>
      <c r="AU521" s="5"/>
      <c r="AV521" s="5"/>
      <c r="AW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</row>
    <row r="522" spans="21:153" ht="12.75">
      <c r="U522" s="5"/>
      <c r="V522" s="5"/>
      <c r="W522" s="5"/>
      <c r="X522" s="5"/>
      <c r="Y522" s="5"/>
      <c r="AS522" s="5"/>
      <c r="AT522" s="5"/>
      <c r="AU522" s="5"/>
      <c r="AV522" s="5"/>
      <c r="AW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</row>
    <row r="523" spans="21:153" ht="12.75">
      <c r="U523" s="5"/>
      <c r="V523" s="5"/>
      <c r="W523" s="5"/>
      <c r="X523" s="5"/>
      <c r="Y523" s="5"/>
      <c r="AS523" s="5"/>
      <c r="AT523" s="5"/>
      <c r="AU523" s="5"/>
      <c r="AV523" s="5"/>
      <c r="AW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</row>
    <row r="524" spans="21:153" ht="12.75">
      <c r="U524" s="5"/>
      <c r="V524" s="5"/>
      <c r="W524" s="5"/>
      <c r="X524" s="5"/>
      <c r="Y524" s="5"/>
      <c r="AS524" s="5"/>
      <c r="AT524" s="5"/>
      <c r="AU524" s="5"/>
      <c r="AV524" s="5"/>
      <c r="AW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</row>
    <row r="525" spans="21:153" ht="12.75">
      <c r="U525" s="5"/>
      <c r="V525" s="5"/>
      <c r="W525" s="5"/>
      <c r="X525" s="5"/>
      <c r="Y525" s="5"/>
      <c r="AS525" s="5"/>
      <c r="AT525" s="5"/>
      <c r="AU525" s="5"/>
      <c r="AV525" s="5"/>
      <c r="AW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</row>
    <row r="526" spans="21:153" ht="12.75">
      <c r="U526" s="5"/>
      <c r="V526" s="5"/>
      <c r="W526" s="5"/>
      <c r="X526" s="5"/>
      <c r="Y526" s="5"/>
      <c r="AS526" s="5"/>
      <c r="AT526" s="5"/>
      <c r="AU526" s="5"/>
      <c r="AV526" s="5"/>
      <c r="AW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</row>
    <row r="527" spans="21:153" ht="12.75">
      <c r="U527" s="5"/>
      <c r="V527" s="5"/>
      <c r="W527" s="5"/>
      <c r="X527" s="5"/>
      <c r="Y527" s="5"/>
      <c r="AS527" s="5"/>
      <c r="AT527" s="5"/>
      <c r="AU527" s="5"/>
      <c r="AV527" s="5"/>
      <c r="AW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</row>
    <row r="528" spans="21:153" ht="12.75">
      <c r="U528" s="5"/>
      <c r="V528" s="5"/>
      <c r="W528" s="5"/>
      <c r="X528" s="5"/>
      <c r="Y528" s="5"/>
      <c r="AS528" s="5"/>
      <c r="AT528" s="5"/>
      <c r="AU528" s="5"/>
      <c r="AV528" s="5"/>
      <c r="AW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</row>
    <row r="529" spans="21:153" ht="12.75">
      <c r="U529" s="5"/>
      <c r="V529" s="5"/>
      <c r="W529" s="5"/>
      <c r="X529" s="5"/>
      <c r="Y529" s="5"/>
      <c r="AS529" s="5"/>
      <c r="AT529" s="5"/>
      <c r="AU529" s="5"/>
      <c r="AV529" s="5"/>
      <c r="AW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</row>
    <row r="530" spans="21:153" ht="12.75">
      <c r="U530" s="5"/>
      <c r="V530" s="5"/>
      <c r="W530" s="5"/>
      <c r="X530" s="5"/>
      <c r="Y530" s="5"/>
      <c r="AS530" s="5"/>
      <c r="AT530" s="5"/>
      <c r="AU530" s="5"/>
      <c r="AV530" s="5"/>
      <c r="AW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</row>
    <row r="531" spans="21:153" ht="12.75">
      <c r="U531" s="5"/>
      <c r="V531" s="5"/>
      <c r="W531" s="5"/>
      <c r="X531" s="5"/>
      <c r="Y531" s="5"/>
      <c r="AS531" s="5"/>
      <c r="AT531" s="5"/>
      <c r="AU531" s="5"/>
      <c r="AV531" s="5"/>
      <c r="AW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</row>
    <row r="532" spans="21:153" ht="12.75">
      <c r="U532" s="5"/>
      <c r="V532" s="5"/>
      <c r="W532" s="5"/>
      <c r="X532" s="5"/>
      <c r="Y532" s="5"/>
      <c r="AS532" s="5"/>
      <c r="AT532" s="5"/>
      <c r="AU532" s="5"/>
      <c r="AV532" s="5"/>
      <c r="AW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</row>
    <row r="533" spans="21:153" ht="12.75">
      <c r="U533" s="5"/>
      <c r="V533" s="5"/>
      <c r="W533" s="5"/>
      <c r="X533" s="5"/>
      <c r="Y533" s="5"/>
      <c r="AS533" s="5"/>
      <c r="AT533" s="5"/>
      <c r="AU533" s="5"/>
      <c r="AV533" s="5"/>
      <c r="AW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</row>
    <row r="534" spans="21:153" ht="12.75">
      <c r="U534" s="5"/>
      <c r="V534" s="5"/>
      <c r="W534" s="5"/>
      <c r="X534" s="5"/>
      <c r="Y534" s="5"/>
      <c r="AS534" s="5"/>
      <c r="AT534" s="5"/>
      <c r="AU534" s="5"/>
      <c r="AV534" s="5"/>
      <c r="AW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</row>
    <row r="535" spans="21:153" ht="12.75">
      <c r="U535" s="5"/>
      <c r="V535" s="5"/>
      <c r="W535" s="5"/>
      <c r="X535" s="5"/>
      <c r="Y535" s="5"/>
      <c r="AS535" s="5"/>
      <c r="AT535" s="5"/>
      <c r="AU535" s="5"/>
      <c r="AV535" s="5"/>
      <c r="AW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</row>
    <row r="536" spans="21:153" ht="12.75">
      <c r="U536" s="5"/>
      <c r="V536" s="5"/>
      <c r="W536" s="5"/>
      <c r="X536" s="5"/>
      <c r="Y536" s="5"/>
      <c r="AS536" s="5"/>
      <c r="AT536" s="5"/>
      <c r="AU536" s="5"/>
      <c r="AV536" s="5"/>
      <c r="AW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</row>
    <row r="537" spans="21:153" ht="12.75">
      <c r="U537" s="5"/>
      <c r="V537" s="5"/>
      <c r="W537" s="5"/>
      <c r="X537" s="5"/>
      <c r="Y537" s="5"/>
      <c r="AS537" s="5"/>
      <c r="AT537" s="5"/>
      <c r="AU537" s="5"/>
      <c r="AV537" s="5"/>
      <c r="AW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</row>
    <row r="538" spans="21:153" ht="12.75">
      <c r="U538" s="5"/>
      <c r="V538" s="5"/>
      <c r="W538" s="5"/>
      <c r="X538" s="5"/>
      <c r="Y538" s="5"/>
      <c r="AS538" s="5"/>
      <c r="AT538" s="5"/>
      <c r="AU538" s="5"/>
      <c r="AV538" s="5"/>
      <c r="AW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</row>
    <row r="539" spans="21:153" ht="12.75">
      <c r="U539" s="5"/>
      <c r="V539" s="5"/>
      <c r="W539" s="5"/>
      <c r="X539" s="5"/>
      <c r="Y539" s="5"/>
      <c r="AS539" s="5"/>
      <c r="AT539" s="5"/>
      <c r="AU539" s="5"/>
      <c r="AV539" s="5"/>
      <c r="AW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</row>
    <row r="540" spans="21:153" ht="12.75">
      <c r="U540" s="5"/>
      <c r="V540" s="5"/>
      <c r="W540" s="5"/>
      <c r="X540" s="5"/>
      <c r="Y540" s="5"/>
      <c r="AS540" s="5"/>
      <c r="AT540" s="5"/>
      <c r="AU540" s="5"/>
      <c r="AV540" s="5"/>
      <c r="AW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</row>
    <row r="541" spans="21:153" ht="12.75">
      <c r="U541" s="5"/>
      <c r="V541" s="5"/>
      <c r="W541" s="5"/>
      <c r="X541" s="5"/>
      <c r="Y541" s="5"/>
      <c r="AS541" s="5"/>
      <c r="AT541" s="5"/>
      <c r="AU541" s="5"/>
      <c r="AV541" s="5"/>
      <c r="AW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</row>
    <row r="542" spans="21:153" ht="12.75">
      <c r="U542" s="5"/>
      <c r="V542" s="5"/>
      <c r="W542" s="5"/>
      <c r="X542" s="5"/>
      <c r="Y542" s="5"/>
      <c r="AS542" s="5"/>
      <c r="AT542" s="5"/>
      <c r="AU542" s="5"/>
      <c r="AV542" s="5"/>
      <c r="AW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</row>
    <row r="543" spans="21:153" ht="12.75">
      <c r="U543" s="5"/>
      <c r="V543" s="5"/>
      <c r="W543" s="5"/>
      <c r="X543" s="5"/>
      <c r="Y543" s="5"/>
      <c r="AS543" s="5"/>
      <c r="AT543" s="5"/>
      <c r="AU543" s="5"/>
      <c r="AV543" s="5"/>
      <c r="AW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</row>
    <row r="544" spans="21:153" ht="12.75">
      <c r="U544" s="5"/>
      <c r="V544" s="5"/>
      <c r="W544" s="5"/>
      <c r="X544" s="5"/>
      <c r="Y544" s="5"/>
      <c r="AS544" s="5"/>
      <c r="AT544" s="5"/>
      <c r="AU544" s="5"/>
      <c r="AV544" s="5"/>
      <c r="AW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</row>
    <row r="545" spans="21:153" ht="12.75">
      <c r="U545" s="5"/>
      <c r="V545" s="5"/>
      <c r="W545" s="5"/>
      <c r="X545" s="5"/>
      <c r="Y545" s="5"/>
      <c r="AS545" s="5"/>
      <c r="AT545" s="5"/>
      <c r="AU545" s="5"/>
      <c r="AV545" s="5"/>
      <c r="AW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</row>
    <row r="546" spans="21:153" ht="12.75">
      <c r="U546" s="5"/>
      <c r="V546" s="5"/>
      <c r="W546" s="5"/>
      <c r="X546" s="5"/>
      <c r="Y546" s="5"/>
      <c r="AS546" s="5"/>
      <c r="AT546" s="5"/>
      <c r="AU546" s="5"/>
      <c r="AV546" s="5"/>
      <c r="AW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</row>
    <row r="547" spans="21:153" ht="12.75">
      <c r="U547" s="5"/>
      <c r="V547" s="5"/>
      <c r="W547" s="5"/>
      <c r="X547" s="5"/>
      <c r="Y547" s="5"/>
      <c r="AS547" s="5"/>
      <c r="AT547" s="5"/>
      <c r="AU547" s="5"/>
      <c r="AV547" s="5"/>
      <c r="AW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</row>
    <row r="548" spans="21:153" ht="12.75">
      <c r="U548" s="5"/>
      <c r="V548" s="5"/>
      <c r="W548" s="5"/>
      <c r="X548" s="5"/>
      <c r="Y548" s="5"/>
      <c r="AS548" s="5"/>
      <c r="AT548" s="5"/>
      <c r="AU548" s="5"/>
      <c r="AV548" s="5"/>
      <c r="AW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</row>
    <row r="549" spans="21:153" ht="12.75">
      <c r="U549" s="5"/>
      <c r="V549" s="5"/>
      <c r="W549" s="5"/>
      <c r="X549" s="5"/>
      <c r="Y549" s="5"/>
      <c r="AS549" s="5"/>
      <c r="AT549" s="5"/>
      <c r="AU549" s="5"/>
      <c r="AV549" s="5"/>
      <c r="AW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</row>
    <row r="550" spans="21:153" ht="12.75">
      <c r="U550" s="5"/>
      <c r="V550" s="5"/>
      <c r="W550" s="5"/>
      <c r="X550" s="5"/>
      <c r="Y550" s="5"/>
      <c r="AS550" s="5"/>
      <c r="AT550" s="5"/>
      <c r="AU550" s="5"/>
      <c r="AV550" s="5"/>
      <c r="AW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</row>
    <row r="551" spans="21:153" ht="12.75">
      <c r="U551" s="5"/>
      <c r="V551" s="5"/>
      <c r="W551" s="5"/>
      <c r="X551" s="5"/>
      <c r="Y551" s="5"/>
      <c r="AS551" s="5"/>
      <c r="AT551" s="5"/>
      <c r="AU551" s="5"/>
      <c r="AV551" s="5"/>
      <c r="AW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</row>
    <row r="552" spans="21:153" ht="12.75">
      <c r="U552" s="5"/>
      <c r="V552" s="5"/>
      <c r="W552" s="5"/>
      <c r="X552" s="5"/>
      <c r="Y552" s="5"/>
      <c r="AS552" s="5"/>
      <c r="AT552" s="5"/>
      <c r="AU552" s="5"/>
      <c r="AV552" s="5"/>
      <c r="AW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</row>
    <row r="553" spans="21:153" ht="12.75">
      <c r="U553" s="5"/>
      <c r="V553" s="5"/>
      <c r="W553" s="5"/>
      <c r="X553" s="5"/>
      <c r="Y553" s="5"/>
      <c r="AS553" s="5"/>
      <c r="AT553" s="5"/>
      <c r="AU553" s="5"/>
      <c r="AV553" s="5"/>
      <c r="AW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</row>
    <row r="554" spans="21:153" ht="12.75">
      <c r="U554" s="5"/>
      <c r="V554" s="5"/>
      <c r="W554" s="5"/>
      <c r="X554" s="5"/>
      <c r="Y554" s="5"/>
      <c r="AS554" s="5"/>
      <c r="AT554" s="5"/>
      <c r="AU554" s="5"/>
      <c r="AV554" s="5"/>
      <c r="AW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</row>
    <row r="555" spans="21:153" ht="12.75">
      <c r="U555" s="5"/>
      <c r="V555" s="5"/>
      <c r="W555" s="5"/>
      <c r="X555" s="5"/>
      <c r="Y555" s="5"/>
      <c r="AS555" s="5"/>
      <c r="AT555" s="5"/>
      <c r="AU555" s="5"/>
      <c r="AV555" s="5"/>
      <c r="AW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</row>
    <row r="556" spans="21:153" ht="12.75">
      <c r="U556" s="5"/>
      <c r="V556" s="5"/>
      <c r="W556" s="5"/>
      <c r="X556" s="5"/>
      <c r="Y556" s="5"/>
      <c r="AS556" s="5"/>
      <c r="AT556" s="5"/>
      <c r="AU556" s="5"/>
      <c r="AV556" s="5"/>
      <c r="AW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</row>
    <row r="557" spans="21:153" ht="12.75">
      <c r="U557" s="5"/>
      <c r="V557" s="5"/>
      <c r="W557" s="5"/>
      <c r="X557" s="5"/>
      <c r="Y557" s="5"/>
      <c r="AS557" s="5"/>
      <c r="AT557" s="5"/>
      <c r="AU557" s="5"/>
      <c r="AV557" s="5"/>
      <c r="AW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</row>
    <row r="558" spans="21:153" ht="12.75">
      <c r="U558" s="5"/>
      <c r="V558" s="5"/>
      <c r="W558" s="5"/>
      <c r="X558" s="5"/>
      <c r="Y558" s="5"/>
      <c r="AS558" s="5"/>
      <c r="AT558" s="5"/>
      <c r="AU558" s="5"/>
      <c r="AV558" s="5"/>
      <c r="AW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</row>
    <row r="559" spans="21:153" ht="12.75">
      <c r="U559" s="5"/>
      <c r="V559" s="5"/>
      <c r="W559" s="5"/>
      <c r="X559" s="5"/>
      <c r="Y559" s="5"/>
      <c r="AS559" s="5"/>
      <c r="AT559" s="5"/>
      <c r="AU559" s="5"/>
      <c r="AV559" s="5"/>
      <c r="AW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</row>
    <row r="560" spans="21:153" ht="12.75">
      <c r="U560" s="5"/>
      <c r="V560" s="5"/>
      <c r="W560" s="5"/>
      <c r="X560" s="5"/>
      <c r="Y560" s="5"/>
      <c r="AS560" s="5"/>
      <c r="AT560" s="5"/>
      <c r="AU560" s="5"/>
      <c r="AV560" s="5"/>
      <c r="AW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</row>
    <row r="561" spans="21:153" ht="12.75">
      <c r="U561" s="5"/>
      <c r="V561" s="5"/>
      <c r="W561" s="5"/>
      <c r="X561" s="5"/>
      <c r="Y561" s="5"/>
      <c r="AS561" s="5"/>
      <c r="AT561" s="5"/>
      <c r="AU561" s="5"/>
      <c r="AV561" s="5"/>
      <c r="AW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</row>
    <row r="562" spans="21:153" ht="12.75">
      <c r="U562" s="5"/>
      <c r="V562" s="5"/>
      <c r="W562" s="5"/>
      <c r="X562" s="5"/>
      <c r="Y562" s="5"/>
      <c r="AS562" s="5"/>
      <c r="AT562" s="5"/>
      <c r="AU562" s="5"/>
      <c r="AV562" s="5"/>
      <c r="AW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</row>
    <row r="563" spans="21:153" ht="12.75">
      <c r="U563" s="5"/>
      <c r="V563" s="5"/>
      <c r="W563" s="5"/>
      <c r="X563" s="5"/>
      <c r="Y563" s="5"/>
      <c r="AS563" s="5"/>
      <c r="AT563" s="5"/>
      <c r="AU563" s="5"/>
      <c r="AV563" s="5"/>
      <c r="AW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</row>
    <row r="564" spans="21:153" ht="12.75">
      <c r="U564" s="5"/>
      <c r="V564" s="5"/>
      <c r="W564" s="5"/>
      <c r="X564" s="5"/>
      <c r="Y564" s="5"/>
      <c r="AS564" s="5"/>
      <c r="AT564" s="5"/>
      <c r="AU564" s="5"/>
      <c r="AV564" s="5"/>
      <c r="AW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</row>
    <row r="565" spans="21:153" ht="12.75">
      <c r="U565" s="5"/>
      <c r="V565" s="5"/>
      <c r="W565" s="5"/>
      <c r="X565" s="5"/>
      <c r="Y565" s="5"/>
      <c r="AS565" s="5"/>
      <c r="AT565" s="5"/>
      <c r="AU565" s="5"/>
      <c r="AV565" s="5"/>
      <c r="AW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</row>
    <row r="566" spans="21:153" ht="12.75">
      <c r="U566" s="5"/>
      <c r="V566" s="5"/>
      <c r="W566" s="5"/>
      <c r="X566" s="5"/>
      <c r="Y566" s="5"/>
      <c r="AS566" s="5"/>
      <c r="AT566" s="5"/>
      <c r="AU566" s="5"/>
      <c r="AV566" s="5"/>
      <c r="AW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</row>
    <row r="567" spans="21:153" ht="12.75">
      <c r="U567" s="5"/>
      <c r="V567" s="5"/>
      <c r="W567" s="5"/>
      <c r="X567" s="5"/>
      <c r="Y567" s="5"/>
      <c r="AS567" s="5"/>
      <c r="AT567" s="5"/>
      <c r="AU567" s="5"/>
      <c r="AV567" s="5"/>
      <c r="AW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</row>
    <row r="568" spans="21:153" ht="12.75">
      <c r="U568" s="5"/>
      <c r="V568" s="5"/>
      <c r="W568" s="5"/>
      <c r="X568" s="5"/>
      <c r="Y568" s="5"/>
      <c r="AS568" s="5"/>
      <c r="AT568" s="5"/>
      <c r="AU568" s="5"/>
      <c r="AV568" s="5"/>
      <c r="AW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</row>
    <row r="569" spans="21:153" ht="12.75">
      <c r="U569" s="5"/>
      <c r="V569" s="5"/>
      <c r="W569" s="5"/>
      <c r="X569" s="5"/>
      <c r="Y569" s="5"/>
      <c r="AS569" s="5"/>
      <c r="AT569" s="5"/>
      <c r="AU569" s="5"/>
      <c r="AV569" s="5"/>
      <c r="AW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</row>
    <row r="570" spans="21:153" ht="12.75">
      <c r="U570" s="5"/>
      <c r="V570" s="5"/>
      <c r="W570" s="5"/>
      <c r="X570" s="5"/>
      <c r="Y570" s="5"/>
      <c r="AS570" s="5"/>
      <c r="AT570" s="5"/>
      <c r="AU570" s="5"/>
      <c r="AV570" s="5"/>
      <c r="AW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</row>
    <row r="571" spans="21:153" ht="12.75">
      <c r="U571" s="5"/>
      <c r="V571" s="5"/>
      <c r="W571" s="5"/>
      <c r="X571" s="5"/>
      <c r="Y571" s="5"/>
      <c r="AS571" s="5"/>
      <c r="AT571" s="5"/>
      <c r="AU571" s="5"/>
      <c r="AV571" s="5"/>
      <c r="AW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</row>
  </sheetData>
  <sheetProtection/>
  <printOptions/>
  <pageMargins left="0.75" right="0.75" top="1" bottom="1" header="0.3" footer="0.3"/>
  <pageSetup orientation="landscape" scale="89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W81"/>
  <sheetViews>
    <sheetView zoomScale="149" zoomScaleNormal="149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" sqref="Q3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7" width="13.7109375" style="3" hidden="1" customWidth="1"/>
    <col min="8" max="8" width="3.7109375" style="0" customWidth="1"/>
    <col min="9" max="13" width="13.7109375" style="5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2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</cols>
  <sheetData>
    <row r="1" spans="1:153" ht="12.75">
      <c r="A1" s="1"/>
      <c r="B1" s="2"/>
      <c r="D1" s="4"/>
      <c r="I1" s="4" t="s">
        <v>95</v>
      </c>
      <c r="U1" s="4"/>
      <c r="AA1" s="4" t="s">
        <v>95</v>
      </c>
      <c r="AS1" s="4" t="s">
        <v>95</v>
      </c>
      <c r="BE1" s="4"/>
      <c r="BK1" s="4" t="s">
        <v>95</v>
      </c>
      <c r="CC1" s="4" t="s">
        <v>95</v>
      </c>
      <c r="CU1" s="4" t="s">
        <v>95</v>
      </c>
      <c r="DA1" s="4"/>
      <c r="DG1" s="4"/>
      <c r="DM1" s="4" t="s">
        <v>95</v>
      </c>
      <c r="EE1" s="4" t="s">
        <v>95</v>
      </c>
      <c r="EW1" s="4" t="s">
        <v>95</v>
      </c>
    </row>
    <row r="2" spans="1:153" ht="12.75">
      <c r="A2" s="1"/>
      <c r="B2" s="2"/>
      <c r="D2" s="4"/>
      <c r="I2" s="4" t="s">
        <v>94</v>
      </c>
      <c r="U2" s="4"/>
      <c r="AA2" s="4" t="s">
        <v>94</v>
      </c>
      <c r="AS2" s="4" t="s">
        <v>94</v>
      </c>
      <c r="BE2" s="4"/>
      <c r="BK2" s="4" t="s">
        <v>94</v>
      </c>
      <c r="CC2" s="4" t="s">
        <v>94</v>
      </c>
      <c r="CU2" s="4" t="s">
        <v>94</v>
      </c>
      <c r="DA2" s="4"/>
      <c r="DG2" s="4"/>
      <c r="DM2" s="4" t="s">
        <v>94</v>
      </c>
      <c r="EE2" s="4" t="s">
        <v>94</v>
      </c>
      <c r="EW2" s="4" t="s">
        <v>94</v>
      </c>
    </row>
    <row r="3" spans="1:153" ht="12.75">
      <c r="A3" s="1"/>
      <c r="B3" s="2"/>
      <c r="D3" s="7"/>
      <c r="I3" s="4" t="str">
        <f>'2016B'!I3</f>
        <v>    2011 Series A Bond Funded Projects refinanced on 2016B</v>
      </c>
      <c r="U3" s="4"/>
      <c r="AA3" s="4" t="str">
        <f>I3</f>
        <v>    2011 Series A Bond Funded Projects refinanced on 2016B</v>
      </c>
      <c r="AS3" s="4" t="s">
        <v>122</v>
      </c>
      <c r="BE3" s="4"/>
      <c r="BK3" s="4" t="s">
        <v>122</v>
      </c>
      <c r="CC3" s="4" t="s">
        <v>122</v>
      </c>
      <c r="CU3" s="4" t="s">
        <v>122</v>
      </c>
      <c r="DA3" s="4"/>
      <c r="DG3" s="4"/>
      <c r="DM3" s="4" t="s">
        <v>122</v>
      </c>
      <c r="EE3" s="4" t="s">
        <v>122</v>
      </c>
      <c r="EW3" s="4" t="s">
        <v>122</v>
      </c>
    </row>
    <row r="4" spans="1:4" ht="12.75">
      <c r="A4" s="1"/>
      <c r="B4" s="2"/>
      <c r="C4" s="7"/>
      <c r="D4" s="4"/>
    </row>
    <row r="5" spans="1:152" ht="12.75">
      <c r="A5" s="9" t="s">
        <v>0</v>
      </c>
      <c r="C5" s="10" t="s">
        <v>121</v>
      </c>
      <c r="D5" s="11"/>
      <c r="E5" s="12"/>
      <c r="F5" s="12"/>
      <c r="G5" s="31"/>
      <c r="I5" s="13" t="s">
        <v>130</v>
      </c>
      <c r="J5" s="16"/>
      <c r="K5" s="15"/>
      <c r="L5" s="74"/>
      <c r="M5" s="31"/>
      <c r="O5" s="42" t="s">
        <v>17</v>
      </c>
      <c r="P5" s="14"/>
      <c r="Q5" s="15"/>
      <c r="R5" s="74"/>
      <c r="S5" s="31"/>
      <c r="U5" s="42" t="s">
        <v>18</v>
      </c>
      <c r="V5" s="14"/>
      <c r="W5" s="15"/>
      <c r="X5" s="74"/>
      <c r="Y5" s="31"/>
      <c r="AA5" s="75" t="s">
        <v>161</v>
      </c>
      <c r="AB5" s="14"/>
      <c r="AC5" s="15"/>
      <c r="AD5" s="74"/>
      <c r="AE5" s="31"/>
      <c r="AG5" s="75" t="s">
        <v>162</v>
      </c>
      <c r="AH5" s="14"/>
      <c r="AI5" s="15"/>
      <c r="AJ5" s="74"/>
      <c r="AK5" s="31"/>
      <c r="AM5" s="42" t="s">
        <v>19</v>
      </c>
      <c r="AN5" s="14"/>
      <c r="AO5" s="15"/>
      <c r="AP5" s="74"/>
      <c r="AQ5" s="31"/>
      <c r="AS5" s="42" t="s">
        <v>20</v>
      </c>
      <c r="AT5" s="14"/>
      <c r="AU5" s="15"/>
      <c r="AV5" s="74"/>
      <c r="AW5" s="31"/>
      <c r="AY5" s="42" t="s">
        <v>21</v>
      </c>
      <c r="AZ5" s="14"/>
      <c r="BA5" s="15"/>
      <c r="BB5" s="74"/>
      <c r="BC5" s="31"/>
      <c r="BE5" s="42" t="s">
        <v>22</v>
      </c>
      <c r="BF5" s="14"/>
      <c r="BG5" s="15"/>
      <c r="BH5" s="74"/>
      <c r="BI5" s="31"/>
      <c r="BK5" s="13" t="s">
        <v>23</v>
      </c>
      <c r="BL5" s="14"/>
      <c r="BM5" s="15"/>
      <c r="BN5" s="74"/>
      <c r="BO5" s="31"/>
      <c r="BQ5" s="42" t="s">
        <v>126</v>
      </c>
      <c r="BR5" s="14"/>
      <c r="BS5" s="15"/>
      <c r="BT5" s="74"/>
      <c r="BU5" s="31"/>
      <c r="BW5" s="13" t="s">
        <v>96</v>
      </c>
      <c r="BX5" s="14"/>
      <c r="BY5" s="15"/>
      <c r="BZ5" s="74"/>
      <c r="CA5" s="31"/>
      <c r="CC5" s="13" t="s">
        <v>158</v>
      </c>
      <c r="CD5" s="14"/>
      <c r="CE5" s="15"/>
      <c r="CF5" s="74"/>
      <c r="CG5" s="31"/>
      <c r="CI5" s="13" t="s">
        <v>24</v>
      </c>
      <c r="CJ5" s="14"/>
      <c r="CK5" s="15"/>
      <c r="CL5" s="74"/>
      <c r="CM5" s="31"/>
      <c r="CO5" s="42" t="s">
        <v>127</v>
      </c>
      <c r="CP5" s="14"/>
      <c r="CQ5" s="15"/>
      <c r="CR5" s="74"/>
      <c r="CS5" s="31"/>
      <c r="CU5" s="42" t="s">
        <v>25</v>
      </c>
      <c r="CV5" s="14"/>
      <c r="CW5" s="15"/>
      <c r="CX5" s="74"/>
      <c r="CY5" s="31"/>
      <c r="DA5" s="42" t="s">
        <v>128</v>
      </c>
      <c r="DB5" s="14"/>
      <c r="DC5" s="15"/>
      <c r="DD5" s="74"/>
      <c r="DE5" s="31"/>
      <c r="DG5" s="42" t="s">
        <v>146</v>
      </c>
      <c r="DH5" s="16"/>
      <c r="DI5" s="15"/>
      <c r="DJ5" s="74"/>
      <c r="DK5" s="31"/>
      <c r="DM5" s="42" t="s">
        <v>26</v>
      </c>
      <c r="DN5" s="16"/>
      <c r="DO5" s="15"/>
      <c r="DP5" s="74"/>
      <c r="DQ5" s="31"/>
      <c r="DS5" s="13" t="s">
        <v>27</v>
      </c>
      <c r="DT5" s="16"/>
      <c r="DU5" s="15"/>
      <c r="DV5" s="74"/>
      <c r="DW5" s="31"/>
      <c r="DY5" s="13" t="s">
        <v>28</v>
      </c>
      <c r="DZ5" s="16"/>
      <c r="EA5" s="15"/>
      <c r="EB5" s="74"/>
      <c r="EC5" s="31"/>
      <c r="EE5" s="13" t="s">
        <v>97</v>
      </c>
      <c r="EF5" s="16"/>
      <c r="EG5" s="15"/>
      <c r="EH5" s="74"/>
      <c r="EI5" s="31"/>
      <c r="EK5" s="42" t="s">
        <v>129</v>
      </c>
      <c r="EL5" s="16"/>
      <c r="EM5" s="15"/>
      <c r="EN5" s="74"/>
      <c r="EO5" s="31"/>
      <c r="EP5" s="43"/>
      <c r="EQ5" s="13" t="s">
        <v>29</v>
      </c>
      <c r="ER5" s="16"/>
      <c r="ES5" s="15"/>
      <c r="ET5" s="74"/>
      <c r="EU5" s="31"/>
      <c r="EV5" s="44"/>
    </row>
    <row r="6" spans="1:152" ht="12.75">
      <c r="A6" s="22" t="s">
        <v>13</v>
      </c>
      <c r="B6" s="8"/>
      <c r="C6" s="42" t="s">
        <v>135</v>
      </c>
      <c r="D6" s="14"/>
      <c r="E6" s="41"/>
      <c r="F6" s="31" t="s">
        <v>159</v>
      </c>
      <c r="G6" s="31" t="s">
        <v>159</v>
      </c>
      <c r="I6" s="23">
        <f>O6+U6+AA6+AM6+AS6+AY6+BE6+BK6+BQ6+BW6+CI6+CO6+CU6+DA6+DM6+DS6+DY6+EE6+EK6+EQ6+DG6</f>
        <v>0.027609599999999998</v>
      </c>
      <c r="J6" s="24">
        <f>P6+V6+AB6+AN6+AT6+AZ6+BF6+BL6+BR6+BX6+CJ6+CP6+CV6+DB6+DN6+DT6+DZ6+EF6+EL6+ER6+DH6</f>
        <v>0.11840270000000001</v>
      </c>
      <c r="K6" s="25">
        <f>Q6+W6+AC6+AO6+AU6+BM6+BS6+BY6+CK6+CQ6+DO6+DU6+EM6+BA6+BG6+CW6+EA6+EG6+ES6+DC6+AI6+CE6+DI6</f>
        <v>0.15072199999999997</v>
      </c>
      <c r="L6" s="31" t="s">
        <v>159</v>
      </c>
      <c r="M6" s="31" t="s">
        <v>159</v>
      </c>
      <c r="O6" s="45">
        <v>0.0100458</v>
      </c>
      <c r="P6" s="8">
        <v>0.052307</v>
      </c>
      <c r="Q6" s="25">
        <v>0.0626544</v>
      </c>
      <c r="R6" s="31" t="s">
        <v>159</v>
      </c>
      <c r="S6" s="31" t="s">
        <v>159</v>
      </c>
      <c r="U6" s="45">
        <v>2.65E-05</v>
      </c>
      <c r="V6" s="8">
        <v>2.66E-05</v>
      </c>
      <c r="W6" s="25">
        <v>2.77E-05</v>
      </c>
      <c r="X6" s="31" t="s">
        <v>159</v>
      </c>
      <c r="Y6" s="31" t="s">
        <v>159</v>
      </c>
      <c r="AA6" s="45">
        <v>3.72E-05</v>
      </c>
      <c r="AB6" s="8">
        <v>0.0011716</v>
      </c>
      <c r="AC6" s="25">
        <v>0.0012403</v>
      </c>
      <c r="AD6" s="31" t="s">
        <v>159</v>
      </c>
      <c r="AE6" s="31" t="s">
        <v>159</v>
      </c>
      <c r="AG6" s="45">
        <v>0</v>
      </c>
      <c r="AH6" s="8">
        <v>0</v>
      </c>
      <c r="AI6" s="25">
        <v>0.0007469</v>
      </c>
      <c r="AJ6" s="31" t="s">
        <v>159</v>
      </c>
      <c r="AK6" s="31" t="s">
        <v>159</v>
      </c>
      <c r="AM6" s="45">
        <v>0.0016866</v>
      </c>
      <c r="AN6" s="8">
        <v>0.0049811</v>
      </c>
      <c r="AO6" s="25">
        <v>0.005551</v>
      </c>
      <c r="AP6" s="31" t="s">
        <v>159</v>
      </c>
      <c r="AQ6" s="31" t="s">
        <v>159</v>
      </c>
      <c r="AS6" s="45">
        <v>0.0002723</v>
      </c>
      <c r="AT6" s="8">
        <v>0.0006498</v>
      </c>
      <c r="AU6" s="25">
        <v>0.0017202</v>
      </c>
      <c r="AV6" s="31" t="s">
        <v>159</v>
      </c>
      <c r="AW6" s="31" t="s">
        <v>159</v>
      </c>
      <c r="AY6" s="45">
        <v>0.0010803</v>
      </c>
      <c r="AZ6" s="8">
        <v>0.0029386</v>
      </c>
      <c r="BA6" s="25">
        <v>0.0032386</v>
      </c>
      <c r="BB6" s="31" t="s">
        <v>159</v>
      </c>
      <c r="BC6" s="31" t="s">
        <v>159</v>
      </c>
      <c r="BE6" s="45">
        <v>5.25E-05</v>
      </c>
      <c r="BF6" s="8">
        <v>0.0004128</v>
      </c>
      <c r="BG6" s="25">
        <v>0.0006858</v>
      </c>
      <c r="BH6" s="31" t="s">
        <v>159</v>
      </c>
      <c r="BI6" s="31" t="s">
        <v>159</v>
      </c>
      <c r="BK6" s="45">
        <v>0.0002484</v>
      </c>
      <c r="BL6" s="8">
        <v>0.0077563</v>
      </c>
      <c r="BM6" s="25">
        <v>0.0122283</v>
      </c>
      <c r="BN6" s="31" t="s">
        <v>159</v>
      </c>
      <c r="BO6" s="31" t="s">
        <v>159</v>
      </c>
      <c r="BQ6" s="45">
        <v>0.0054241</v>
      </c>
      <c r="BR6" s="8">
        <v>0.00544</v>
      </c>
      <c r="BS6" s="25">
        <v>0.0056618</v>
      </c>
      <c r="BT6" s="31" t="s">
        <v>159</v>
      </c>
      <c r="BU6" s="31" t="s">
        <v>159</v>
      </c>
      <c r="BW6" s="45">
        <v>0.0004603</v>
      </c>
      <c r="BX6" s="8">
        <v>0.0013952</v>
      </c>
      <c r="BY6" s="25">
        <v>0.0027116</v>
      </c>
      <c r="BZ6" s="31" t="s">
        <v>159</v>
      </c>
      <c r="CA6" s="31" t="s">
        <v>159</v>
      </c>
      <c r="CC6" s="45">
        <v>0</v>
      </c>
      <c r="CD6" s="8">
        <v>0</v>
      </c>
      <c r="CE6" s="25">
        <v>0.0004001</v>
      </c>
      <c r="CF6" s="31" t="s">
        <v>159</v>
      </c>
      <c r="CG6" s="31" t="s">
        <v>159</v>
      </c>
      <c r="CI6" s="45">
        <v>0.0008507</v>
      </c>
      <c r="CJ6" s="8">
        <v>0.0015946</v>
      </c>
      <c r="CK6" s="25">
        <v>0.0017739</v>
      </c>
      <c r="CL6" s="31" t="s">
        <v>159</v>
      </c>
      <c r="CM6" s="31" t="s">
        <v>159</v>
      </c>
      <c r="CO6" s="45">
        <v>4.45E-05</v>
      </c>
      <c r="CP6" s="8">
        <v>8.15E-05</v>
      </c>
      <c r="CQ6" s="25">
        <v>0.0002443</v>
      </c>
      <c r="CR6" s="31" t="s">
        <v>159</v>
      </c>
      <c r="CS6" s="31" t="s">
        <v>159</v>
      </c>
      <c r="CU6" s="45">
        <v>0.0001117</v>
      </c>
      <c r="CV6" s="8">
        <v>0.003689</v>
      </c>
      <c r="CW6" s="25">
        <v>0.0050964</v>
      </c>
      <c r="CX6" s="31" t="s">
        <v>159</v>
      </c>
      <c r="CY6" s="31" t="s">
        <v>159</v>
      </c>
      <c r="DA6" s="45">
        <v>0.0005897</v>
      </c>
      <c r="DB6" s="8">
        <v>0.0006701</v>
      </c>
      <c r="DC6" s="25">
        <v>0.0009872</v>
      </c>
      <c r="DD6" s="31" t="s">
        <v>159</v>
      </c>
      <c r="DE6" s="31" t="s">
        <v>159</v>
      </c>
      <c r="DG6" s="45">
        <v>0</v>
      </c>
      <c r="DH6" s="24">
        <v>0.0007801</v>
      </c>
      <c r="DI6" s="25">
        <v>0.0013061</v>
      </c>
      <c r="DJ6" s="31" t="s">
        <v>159</v>
      </c>
      <c r="DK6" s="31" t="s">
        <v>159</v>
      </c>
      <c r="DM6" s="45">
        <v>0.0010986</v>
      </c>
      <c r="DN6" s="24">
        <v>0.0017139</v>
      </c>
      <c r="DO6" s="25">
        <v>0.0042458</v>
      </c>
      <c r="DP6" s="31" t="s">
        <v>159</v>
      </c>
      <c r="DQ6" s="31" t="s">
        <v>159</v>
      </c>
      <c r="DS6" s="45">
        <v>0.0015892</v>
      </c>
      <c r="DT6" s="24">
        <v>0.0015939</v>
      </c>
      <c r="DU6" s="25">
        <v>0.0024961</v>
      </c>
      <c r="DV6" s="31" t="s">
        <v>159</v>
      </c>
      <c r="DW6" s="31" t="s">
        <v>159</v>
      </c>
      <c r="DY6" s="45">
        <v>0.0003515</v>
      </c>
      <c r="DZ6" s="24">
        <v>0.0019244</v>
      </c>
      <c r="EA6" s="25">
        <v>0.0028177</v>
      </c>
      <c r="EB6" s="31" t="s">
        <v>159</v>
      </c>
      <c r="EC6" s="31" t="s">
        <v>159</v>
      </c>
      <c r="EE6" s="45">
        <v>0.0020374</v>
      </c>
      <c r="EF6" s="24">
        <v>0.0271257</v>
      </c>
      <c r="EG6" s="25">
        <v>0.0326233</v>
      </c>
      <c r="EH6" s="31" t="s">
        <v>159</v>
      </c>
      <c r="EI6" s="31" t="s">
        <v>159</v>
      </c>
      <c r="EK6" s="45">
        <v>0.0011508</v>
      </c>
      <c r="EL6" s="24">
        <v>0.0011542</v>
      </c>
      <c r="EM6" s="25">
        <v>0.0012012</v>
      </c>
      <c r="EN6" s="31" t="s">
        <v>159</v>
      </c>
      <c r="EO6" s="31" t="s">
        <v>159</v>
      </c>
      <c r="EP6" s="43"/>
      <c r="EQ6" s="45">
        <v>0.0004515</v>
      </c>
      <c r="ER6" s="24">
        <v>0.0009963</v>
      </c>
      <c r="ES6" s="25">
        <v>0.0010633</v>
      </c>
      <c r="ET6" s="31" t="s">
        <v>159</v>
      </c>
      <c r="EU6" s="31" t="s">
        <v>159</v>
      </c>
      <c r="EV6" s="44"/>
    </row>
    <row r="7" spans="1:153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165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165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165</v>
      </c>
      <c r="U7" s="31" t="s">
        <v>14</v>
      </c>
      <c r="V7" s="31" t="s">
        <v>15</v>
      </c>
      <c r="W7" s="31" t="s">
        <v>16</v>
      </c>
      <c r="X7" s="31" t="s">
        <v>160</v>
      </c>
      <c r="Y7" s="31" t="s">
        <v>165</v>
      </c>
      <c r="AA7" s="31" t="s">
        <v>14</v>
      </c>
      <c r="AB7" s="31" t="s">
        <v>15</v>
      </c>
      <c r="AC7" s="31" t="s">
        <v>16</v>
      </c>
      <c r="AD7" s="31" t="s">
        <v>160</v>
      </c>
      <c r="AE7" s="31" t="s">
        <v>165</v>
      </c>
      <c r="AG7" s="31" t="s">
        <v>14</v>
      </c>
      <c r="AH7" s="31" t="s">
        <v>15</v>
      </c>
      <c r="AI7" s="31" t="s">
        <v>16</v>
      </c>
      <c r="AJ7" s="31" t="s">
        <v>160</v>
      </c>
      <c r="AK7" s="31" t="s">
        <v>165</v>
      </c>
      <c r="AM7" s="31" t="s">
        <v>14</v>
      </c>
      <c r="AN7" s="31" t="s">
        <v>15</v>
      </c>
      <c r="AO7" s="31" t="s">
        <v>16</v>
      </c>
      <c r="AP7" s="31" t="s">
        <v>160</v>
      </c>
      <c r="AQ7" s="31" t="s">
        <v>165</v>
      </c>
      <c r="AS7" s="31" t="s">
        <v>14</v>
      </c>
      <c r="AT7" s="31" t="s">
        <v>15</v>
      </c>
      <c r="AU7" s="31" t="s">
        <v>16</v>
      </c>
      <c r="AV7" s="31" t="s">
        <v>160</v>
      </c>
      <c r="AW7" s="31" t="s">
        <v>165</v>
      </c>
      <c r="AY7" s="31" t="s">
        <v>14</v>
      </c>
      <c r="AZ7" s="31" t="s">
        <v>15</v>
      </c>
      <c r="BA7" s="31" t="s">
        <v>16</v>
      </c>
      <c r="BB7" s="31" t="s">
        <v>160</v>
      </c>
      <c r="BC7" s="31" t="s">
        <v>165</v>
      </c>
      <c r="BE7" s="31" t="s">
        <v>14</v>
      </c>
      <c r="BF7" s="31" t="s">
        <v>15</v>
      </c>
      <c r="BG7" s="31" t="s">
        <v>16</v>
      </c>
      <c r="BH7" s="31" t="s">
        <v>160</v>
      </c>
      <c r="BI7" s="31" t="s">
        <v>165</v>
      </c>
      <c r="BK7" s="31" t="s">
        <v>14</v>
      </c>
      <c r="BL7" s="31" t="s">
        <v>15</v>
      </c>
      <c r="BM7" s="31" t="s">
        <v>16</v>
      </c>
      <c r="BN7" s="31" t="s">
        <v>160</v>
      </c>
      <c r="BO7" s="31" t="s">
        <v>165</v>
      </c>
      <c r="BQ7" s="31" t="s">
        <v>14</v>
      </c>
      <c r="BR7" s="31" t="s">
        <v>15</v>
      </c>
      <c r="BS7" s="31" t="s">
        <v>16</v>
      </c>
      <c r="BT7" s="31" t="s">
        <v>160</v>
      </c>
      <c r="BU7" s="31" t="s">
        <v>165</v>
      </c>
      <c r="BW7" s="31" t="s">
        <v>14</v>
      </c>
      <c r="BX7" s="31" t="s">
        <v>15</v>
      </c>
      <c r="BY7" s="31" t="s">
        <v>16</v>
      </c>
      <c r="BZ7" s="31" t="s">
        <v>160</v>
      </c>
      <c r="CA7" s="31" t="s">
        <v>165</v>
      </c>
      <c r="CC7" s="31" t="s">
        <v>14</v>
      </c>
      <c r="CD7" s="31" t="s">
        <v>15</v>
      </c>
      <c r="CE7" s="31" t="s">
        <v>16</v>
      </c>
      <c r="CF7" s="31" t="s">
        <v>160</v>
      </c>
      <c r="CG7" s="31" t="s">
        <v>165</v>
      </c>
      <c r="CI7" s="31" t="s">
        <v>14</v>
      </c>
      <c r="CJ7" s="31" t="s">
        <v>15</v>
      </c>
      <c r="CK7" s="31" t="s">
        <v>16</v>
      </c>
      <c r="CL7" s="31" t="s">
        <v>160</v>
      </c>
      <c r="CM7" s="31" t="s">
        <v>165</v>
      </c>
      <c r="CO7" s="31" t="s">
        <v>14</v>
      </c>
      <c r="CP7" s="31" t="s">
        <v>15</v>
      </c>
      <c r="CQ7" s="31" t="s">
        <v>16</v>
      </c>
      <c r="CR7" s="31" t="s">
        <v>160</v>
      </c>
      <c r="CS7" s="31" t="s">
        <v>165</v>
      </c>
      <c r="CU7" s="31" t="s">
        <v>14</v>
      </c>
      <c r="CV7" s="31" t="s">
        <v>15</v>
      </c>
      <c r="CW7" s="31" t="s">
        <v>16</v>
      </c>
      <c r="CX7" s="31" t="s">
        <v>160</v>
      </c>
      <c r="CY7" s="31" t="s">
        <v>165</v>
      </c>
      <c r="DA7" s="31" t="s">
        <v>14</v>
      </c>
      <c r="DB7" s="31" t="s">
        <v>15</v>
      </c>
      <c r="DC7" s="31" t="s">
        <v>16</v>
      </c>
      <c r="DD7" s="31" t="s">
        <v>160</v>
      </c>
      <c r="DE7" s="31" t="s">
        <v>165</v>
      </c>
      <c r="DG7" s="31" t="s">
        <v>14</v>
      </c>
      <c r="DH7" s="31" t="s">
        <v>15</v>
      </c>
      <c r="DI7" s="31" t="s">
        <v>16</v>
      </c>
      <c r="DJ7" s="31" t="s">
        <v>160</v>
      </c>
      <c r="DK7" s="31" t="s">
        <v>165</v>
      </c>
      <c r="DM7" s="31" t="s">
        <v>14</v>
      </c>
      <c r="DN7" s="31" t="s">
        <v>15</v>
      </c>
      <c r="DO7" s="31" t="s">
        <v>16</v>
      </c>
      <c r="DP7" s="31" t="s">
        <v>160</v>
      </c>
      <c r="DQ7" s="31" t="s">
        <v>165</v>
      </c>
      <c r="DS7" s="31" t="s">
        <v>14</v>
      </c>
      <c r="DT7" s="31" t="s">
        <v>15</v>
      </c>
      <c r="DU7" s="31" t="s">
        <v>16</v>
      </c>
      <c r="DV7" s="31" t="s">
        <v>160</v>
      </c>
      <c r="DW7" s="31" t="s">
        <v>165</v>
      </c>
      <c r="DY7" s="31" t="s">
        <v>14</v>
      </c>
      <c r="DZ7" s="31" t="s">
        <v>15</v>
      </c>
      <c r="EA7" s="31" t="s">
        <v>16</v>
      </c>
      <c r="EB7" s="31" t="s">
        <v>160</v>
      </c>
      <c r="EC7" s="31" t="s">
        <v>165</v>
      </c>
      <c r="EE7" s="31" t="s">
        <v>14</v>
      </c>
      <c r="EF7" s="31" t="s">
        <v>15</v>
      </c>
      <c r="EG7" s="31" t="s">
        <v>16</v>
      </c>
      <c r="EH7" s="31" t="s">
        <v>160</v>
      </c>
      <c r="EI7" s="31" t="s">
        <v>165</v>
      </c>
      <c r="EK7" s="31" t="s">
        <v>14</v>
      </c>
      <c r="EL7" s="31" t="s">
        <v>15</v>
      </c>
      <c r="EM7" s="31" t="s">
        <v>16</v>
      </c>
      <c r="EN7" s="31" t="s">
        <v>160</v>
      </c>
      <c r="EO7" s="31" t="s">
        <v>165</v>
      </c>
      <c r="EP7" s="46"/>
      <c r="EQ7" s="31" t="s">
        <v>14</v>
      </c>
      <c r="ER7" s="31" t="s">
        <v>15</v>
      </c>
      <c r="ES7" s="31" t="s">
        <v>16</v>
      </c>
      <c r="ET7" s="31" t="s">
        <v>160</v>
      </c>
      <c r="EU7" s="31" t="s">
        <v>165</v>
      </c>
      <c r="EV7" s="73"/>
      <c r="EW7" s="34"/>
    </row>
    <row r="8" spans="1:151" ht="12.75">
      <c r="A8" s="37">
        <v>42278</v>
      </c>
      <c r="E8" s="35">
        <f aca="true" t="shared" si="0" ref="E8:E39">C8+D8</f>
        <v>0</v>
      </c>
      <c r="F8" s="35"/>
      <c r="G8" s="35"/>
      <c r="I8" s="47"/>
      <c r="J8" s="36">
        <f aca="true" t="shared" si="1" ref="J8:J39">P8+V8+AN8+AT8+BL8+BR8+BX8+CJ8+CP8+CV8+DN8+DT8+EL8+AB8+AZ8+BF8+DZ8+EF8+ER8+DB8+DH8+AH8+CD8</f>
        <v>0</v>
      </c>
      <c r="K8" s="36">
        <f aca="true" t="shared" si="2" ref="K8:K39">I8+J8</f>
        <v>0</v>
      </c>
      <c r="L8" s="36">
        <f aca="true" t="shared" si="3" ref="L8:M39">R8+X8+AP8+AV8+BN8+BT8+BZ8+CL8+CR8+CX8+DP8+DV8+EN8+AD8+BB8+BH8+EB8+EH8+ET8+DD8+DJ8+AJ8+CF8</f>
        <v>0</v>
      </c>
      <c r="M8" s="36"/>
      <c r="P8" s="5">
        <f aca="true" t="shared" si="4" ref="P8:P39">D8*$Q$6</f>
        <v>0</v>
      </c>
      <c r="Q8" s="5">
        <f aca="true" t="shared" si="5" ref="Q8:Q39">O8+P8</f>
        <v>0</v>
      </c>
      <c r="R8" s="35">
        <f aca="true" t="shared" si="6" ref="R8:R39">Q$6*$F8</f>
        <v>0</v>
      </c>
      <c r="S8" s="35"/>
      <c r="V8" s="36">
        <f aca="true" t="shared" si="7" ref="V8:V39">D8*$W$6</f>
        <v>0</v>
      </c>
      <c r="W8" s="36">
        <f aca="true" t="shared" si="8" ref="W8:W39">U8+V8</f>
        <v>0</v>
      </c>
      <c r="X8" s="35">
        <f aca="true" t="shared" si="9" ref="X8:X39">W$6*$F8</f>
        <v>0</v>
      </c>
      <c r="Y8" s="35"/>
      <c r="AB8" s="5">
        <f aca="true" t="shared" si="10" ref="AB8:AB39">D8*$AC$6</f>
        <v>0</v>
      </c>
      <c r="AC8" s="5">
        <f aca="true" t="shared" si="11" ref="AC8:AC39">AA8+AB8</f>
        <v>0</v>
      </c>
      <c r="AD8" s="35">
        <f aca="true" t="shared" si="12" ref="AD8:AD39">AC$6*$F8</f>
        <v>0</v>
      </c>
      <c r="AE8" s="35"/>
      <c r="AH8" s="5">
        <f aca="true" t="shared" si="13" ref="AH8:AH39">D8*$AI$6</f>
        <v>0</v>
      </c>
      <c r="AI8" s="5">
        <f aca="true" t="shared" si="14" ref="AI8:AI39">AG8+AH8</f>
        <v>0</v>
      </c>
      <c r="AJ8" s="35">
        <f aca="true" t="shared" si="15" ref="AJ8:AJ39">AI$6*$F8</f>
        <v>0</v>
      </c>
      <c r="AK8" s="35"/>
      <c r="AN8" s="5">
        <f aca="true" t="shared" si="16" ref="AN8:AN39">D8*$AO$6</f>
        <v>0</v>
      </c>
      <c r="AO8" s="5">
        <f aca="true" t="shared" si="17" ref="AO8:AO39">AM8+AN8</f>
        <v>0</v>
      </c>
      <c r="AP8" s="35">
        <f aca="true" t="shared" si="18" ref="AP8:AP39">AO$6*$F8</f>
        <v>0</v>
      </c>
      <c r="AQ8" s="35"/>
      <c r="AT8" s="5">
        <f aca="true" t="shared" si="19" ref="AT8:AT39">D8*$AU$6</f>
        <v>0</v>
      </c>
      <c r="AU8" s="5">
        <f aca="true" t="shared" si="20" ref="AU8:AU39">AS8+AT8</f>
        <v>0</v>
      </c>
      <c r="AV8" s="35">
        <f aca="true" t="shared" si="21" ref="AV8:AV39">AU$6*$F8</f>
        <v>0</v>
      </c>
      <c r="AW8" s="35"/>
      <c r="AZ8" s="5">
        <f aca="true" t="shared" si="22" ref="AZ8:AZ39">D8*$BA$6</f>
        <v>0</v>
      </c>
      <c r="BA8" s="5">
        <f aca="true" t="shared" si="23" ref="BA8:BA39">AY8+AZ8</f>
        <v>0</v>
      </c>
      <c r="BB8" s="35">
        <f aca="true" t="shared" si="24" ref="BB8:BB39">BA$6*$F8</f>
        <v>0</v>
      </c>
      <c r="BC8" s="35"/>
      <c r="BF8" s="5">
        <f aca="true" t="shared" si="25" ref="BF8:BF39">D8*$BG$6</f>
        <v>0</v>
      </c>
      <c r="BG8" s="5">
        <f aca="true" t="shared" si="26" ref="BG8:BG39">BE8+BF8</f>
        <v>0</v>
      </c>
      <c r="BH8" s="35">
        <f aca="true" t="shared" si="27" ref="BH8:BH39">BG$6*$F8</f>
        <v>0</v>
      </c>
      <c r="BI8" s="35"/>
      <c r="BL8" s="5">
        <f aca="true" t="shared" si="28" ref="BL8:BL39">D8*$BM$6</f>
        <v>0</v>
      </c>
      <c r="BM8" s="5">
        <f aca="true" t="shared" si="29" ref="BM8:BM39">BK8+BL8</f>
        <v>0</v>
      </c>
      <c r="BN8" s="35">
        <f aca="true" t="shared" si="30" ref="BN8:BN39">BM$6*$F8</f>
        <v>0</v>
      </c>
      <c r="BO8" s="35"/>
      <c r="BQ8" s="36"/>
      <c r="BR8" s="5">
        <f aca="true" t="shared" si="31" ref="BR8:BR39">D8*$BS$6</f>
        <v>0</v>
      </c>
      <c r="BS8" s="36">
        <f aca="true" t="shared" si="32" ref="BS8:BS39">BQ8+BR8</f>
        <v>0</v>
      </c>
      <c r="BT8" s="35">
        <f aca="true" t="shared" si="33" ref="BT8:BT39">BS$6*$F8</f>
        <v>0</v>
      </c>
      <c r="BU8" s="35"/>
      <c r="BX8" s="5">
        <f aca="true" t="shared" si="34" ref="BX8:BX39">D8*$BY$6</f>
        <v>0</v>
      </c>
      <c r="BY8" s="5">
        <f aca="true" t="shared" si="35" ref="BY8:BY39">BW8+BX8</f>
        <v>0</v>
      </c>
      <c r="BZ8" s="35">
        <f aca="true" t="shared" si="36" ref="BZ8:BZ39">BY$6*$F8</f>
        <v>0</v>
      </c>
      <c r="CA8" s="35"/>
      <c r="CC8" s="5">
        <f aca="true" t="shared" si="37" ref="CC8:CC39">C8*$CE$6</f>
        <v>0</v>
      </c>
      <c r="CD8" s="5">
        <f aca="true" t="shared" si="38" ref="CD8:CD39">D8*$CE$6</f>
        <v>0</v>
      </c>
      <c r="CE8" s="5">
        <f aca="true" t="shared" si="39" ref="CE8:CE39">CC8+CD8</f>
        <v>0</v>
      </c>
      <c r="CF8" s="35">
        <f aca="true" t="shared" si="40" ref="CF8:CF39">CE$6*$F8</f>
        <v>0</v>
      </c>
      <c r="CG8" s="35"/>
      <c r="CJ8" s="5">
        <f aca="true" t="shared" si="41" ref="CJ8:CJ39">D8*$CK$6</f>
        <v>0</v>
      </c>
      <c r="CK8" s="5">
        <f aca="true" t="shared" si="42" ref="CK8:CK39">CI8+CJ8</f>
        <v>0</v>
      </c>
      <c r="CL8" s="35">
        <f aca="true" t="shared" si="43" ref="CL8:CL39">CK$6*$F8</f>
        <v>0</v>
      </c>
      <c r="CM8" s="35"/>
      <c r="CP8" s="5">
        <f aca="true" t="shared" si="44" ref="CP8:CP39">D8*$CQ$6</f>
        <v>0</v>
      </c>
      <c r="CQ8" s="5">
        <f aca="true" t="shared" si="45" ref="CQ8:CQ39">CO8+CP8</f>
        <v>0</v>
      </c>
      <c r="CR8" s="35">
        <f aca="true" t="shared" si="46" ref="CR8:CR39">CQ$6*$F8</f>
        <v>0</v>
      </c>
      <c r="CS8" s="35"/>
      <c r="CV8" s="5">
        <f aca="true" t="shared" si="47" ref="CV8:CV39">D8*$CW$6</f>
        <v>0</v>
      </c>
      <c r="CW8" s="5">
        <f aca="true" t="shared" si="48" ref="CW8:CW39">CU8+CV8</f>
        <v>0</v>
      </c>
      <c r="CX8" s="35">
        <f aca="true" t="shared" si="49" ref="CX8:CX39">CW$6*$F8</f>
        <v>0</v>
      </c>
      <c r="CY8" s="35"/>
      <c r="DB8" s="5">
        <f aca="true" t="shared" si="50" ref="DB8:DB39">D8*$DC$6</f>
        <v>0</v>
      </c>
      <c r="DC8" s="5">
        <f aca="true" t="shared" si="51" ref="DC8:DC39">DA8+DB8</f>
        <v>0</v>
      </c>
      <c r="DD8" s="35">
        <f aca="true" t="shared" si="52" ref="DD8:DD39">DC$6*$F8</f>
        <v>0</v>
      </c>
      <c r="DE8" s="35"/>
      <c r="DH8" s="5">
        <f aca="true" t="shared" si="53" ref="DH8:DH39">D8*$DI$6</f>
        <v>0</v>
      </c>
      <c r="DI8" s="36">
        <f aca="true" t="shared" si="54" ref="DI8:DI39">DG8+DH8</f>
        <v>0</v>
      </c>
      <c r="DJ8" s="35">
        <f aca="true" t="shared" si="55" ref="DJ8:DJ39">DI$6*$F8</f>
        <v>0</v>
      </c>
      <c r="DK8" s="35"/>
      <c r="DN8" s="5">
        <f aca="true" t="shared" si="56" ref="DN8:DN39">D8*$DO$6</f>
        <v>0</v>
      </c>
      <c r="DO8" s="36">
        <f aca="true" t="shared" si="57" ref="DO8:DO39">DM8+DN8</f>
        <v>0</v>
      </c>
      <c r="DP8" s="35">
        <f aca="true" t="shared" si="58" ref="DP8:DP39">DO$6*$F8</f>
        <v>0</v>
      </c>
      <c r="DQ8" s="35"/>
      <c r="DT8" s="5">
        <f aca="true" t="shared" si="59" ref="DT8:DT39">D8*$DU$6</f>
        <v>0</v>
      </c>
      <c r="DU8" s="5">
        <f aca="true" t="shared" si="60" ref="DU8:DU39">DS8+DT8</f>
        <v>0</v>
      </c>
      <c r="DV8" s="35">
        <f aca="true" t="shared" si="61" ref="DV8:DV39">DU$6*$F8</f>
        <v>0</v>
      </c>
      <c r="DW8" s="35"/>
      <c r="DZ8" s="5">
        <f aca="true" t="shared" si="62" ref="DZ8:DZ39">D8*$EA$6</f>
        <v>0</v>
      </c>
      <c r="EA8" s="5">
        <f aca="true" t="shared" si="63" ref="EA8:EA39">DY8+DZ8</f>
        <v>0</v>
      </c>
      <c r="EB8" s="35">
        <f aca="true" t="shared" si="64" ref="EB8:EB39">EA$6*$F8</f>
        <v>0</v>
      </c>
      <c r="EC8" s="35"/>
      <c r="EF8" s="5">
        <f aca="true" t="shared" si="65" ref="EF8:EF39">D8*$EG$6</f>
        <v>0</v>
      </c>
      <c r="EG8" s="5">
        <f aca="true" t="shared" si="66" ref="EG8:EG39">EE8+EF8</f>
        <v>0</v>
      </c>
      <c r="EH8" s="35">
        <f aca="true" t="shared" si="67" ref="EH8:EH39">EG$6*$F8</f>
        <v>0</v>
      </c>
      <c r="EI8" s="35"/>
      <c r="EL8" s="5">
        <f aca="true" t="shared" si="68" ref="EL8:EL39">D8*$EM$6</f>
        <v>0</v>
      </c>
      <c r="EM8" s="36">
        <f aca="true" t="shared" si="69" ref="EM8:EM39">EK8+EL8</f>
        <v>0</v>
      </c>
      <c r="EN8" s="35">
        <f aca="true" t="shared" si="70" ref="EN8:EN39">EM$6*$F8</f>
        <v>0</v>
      </c>
      <c r="EO8" s="35"/>
      <c r="ER8" s="36">
        <f aca="true" t="shared" si="71" ref="ER8:ER39">D8*$ES$6</f>
        <v>0</v>
      </c>
      <c r="ES8" s="36">
        <f aca="true" t="shared" si="72" ref="ES8:ES39">EQ8+ER8</f>
        <v>0</v>
      </c>
      <c r="ET8" s="35">
        <f aca="true" t="shared" si="73" ref="ET8:ET39">ES$6*$F8</f>
        <v>0</v>
      </c>
      <c r="EU8" s="35"/>
    </row>
    <row r="9" spans="1:151" ht="12.75">
      <c r="A9" s="37">
        <v>42461</v>
      </c>
      <c r="E9" s="35">
        <f t="shared" si="0"/>
        <v>0</v>
      </c>
      <c r="F9" s="35"/>
      <c r="G9" s="35"/>
      <c r="I9" s="47">
        <f aca="true" t="shared" si="74" ref="I9:I39">O9+U9+AA9+AM9+AS9+BK9+BQ9+BW9+CI9+CO9+DM9+EK9+AY9+BE9+CU9+DS9+DY9+EE9+EQ9+DA9+DG9+AG9+CC9</f>
        <v>0</v>
      </c>
      <c r="J9" s="36">
        <f t="shared" si="1"/>
        <v>0</v>
      </c>
      <c r="K9" s="36">
        <f t="shared" si="2"/>
        <v>0</v>
      </c>
      <c r="L9" s="36">
        <f t="shared" si="3"/>
        <v>0</v>
      </c>
      <c r="M9" s="36"/>
      <c r="O9" s="5">
        <f aca="true" t="shared" si="75" ref="O9:O39">C9*$Q$6</f>
        <v>0</v>
      </c>
      <c r="P9" s="5">
        <f t="shared" si="4"/>
        <v>0</v>
      </c>
      <c r="Q9" s="5">
        <f t="shared" si="5"/>
        <v>0</v>
      </c>
      <c r="R9" s="35">
        <f t="shared" si="6"/>
        <v>0</v>
      </c>
      <c r="S9" s="35"/>
      <c r="U9" s="5">
        <f aca="true" t="shared" si="76" ref="U9:U39">C9*$W$6</f>
        <v>0</v>
      </c>
      <c r="V9" s="36">
        <f t="shared" si="7"/>
        <v>0</v>
      </c>
      <c r="W9" s="36">
        <f t="shared" si="8"/>
        <v>0</v>
      </c>
      <c r="X9" s="35">
        <f t="shared" si="9"/>
        <v>0</v>
      </c>
      <c r="Y9" s="35"/>
      <c r="AA9" s="5">
        <f aca="true" t="shared" si="77" ref="AA9:AA39">C9*$AC$6</f>
        <v>0</v>
      </c>
      <c r="AB9" s="5">
        <f t="shared" si="10"/>
        <v>0</v>
      </c>
      <c r="AC9" s="5">
        <f t="shared" si="11"/>
        <v>0</v>
      </c>
      <c r="AD9" s="35">
        <f t="shared" si="12"/>
        <v>0</v>
      </c>
      <c r="AE9" s="35"/>
      <c r="AG9" s="5">
        <f aca="true" t="shared" si="78" ref="AG9:AG39">C9*$AI$6</f>
        <v>0</v>
      </c>
      <c r="AH9" s="5">
        <f t="shared" si="13"/>
        <v>0</v>
      </c>
      <c r="AI9" s="5">
        <f t="shared" si="14"/>
        <v>0</v>
      </c>
      <c r="AJ9" s="35">
        <f t="shared" si="15"/>
        <v>0</v>
      </c>
      <c r="AK9" s="35"/>
      <c r="AM9" s="5">
        <f aca="true" t="shared" si="79" ref="AM9:AM39">C9*$AO$6</f>
        <v>0</v>
      </c>
      <c r="AN9" s="5">
        <f t="shared" si="16"/>
        <v>0</v>
      </c>
      <c r="AO9" s="5">
        <f t="shared" si="17"/>
        <v>0</v>
      </c>
      <c r="AP9" s="35">
        <f t="shared" si="18"/>
        <v>0</v>
      </c>
      <c r="AQ9" s="35"/>
      <c r="AS9" s="5">
        <f aca="true" t="shared" si="80" ref="AS9:AS39">C9*$AU$6</f>
        <v>0</v>
      </c>
      <c r="AT9" s="5">
        <f t="shared" si="19"/>
        <v>0</v>
      </c>
      <c r="AU9" s="5">
        <f t="shared" si="20"/>
        <v>0</v>
      </c>
      <c r="AV9" s="35">
        <f t="shared" si="21"/>
        <v>0</v>
      </c>
      <c r="AW9" s="35"/>
      <c r="AY9" s="5">
        <f aca="true" t="shared" si="81" ref="AY9:AY39">C9*$BA$6</f>
        <v>0</v>
      </c>
      <c r="AZ9" s="5">
        <f t="shared" si="22"/>
        <v>0</v>
      </c>
      <c r="BA9" s="5">
        <f t="shared" si="23"/>
        <v>0</v>
      </c>
      <c r="BB9" s="35">
        <f t="shared" si="24"/>
        <v>0</v>
      </c>
      <c r="BC9" s="35"/>
      <c r="BE9" s="5">
        <f aca="true" t="shared" si="82" ref="BE9:BE39">C9*$BG$6</f>
        <v>0</v>
      </c>
      <c r="BF9" s="5">
        <f t="shared" si="25"/>
        <v>0</v>
      </c>
      <c r="BG9" s="5">
        <f t="shared" si="26"/>
        <v>0</v>
      </c>
      <c r="BH9" s="35">
        <f t="shared" si="27"/>
        <v>0</v>
      </c>
      <c r="BI9" s="35"/>
      <c r="BK9" s="5">
        <f aca="true" t="shared" si="83" ref="BK9:BK39">C9*$BM$6</f>
        <v>0</v>
      </c>
      <c r="BL9" s="5">
        <f t="shared" si="28"/>
        <v>0</v>
      </c>
      <c r="BM9" s="5">
        <f t="shared" si="29"/>
        <v>0</v>
      </c>
      <c r="BN9" s="35">
        <f t="shared" si="30"/>
        <v>0</v>
      </c>
      <c r="BO9" s="35"/>
      <c r="BQ9" s="36">
        <f aca="true" t="shared" si="84" ref="BQ9:BQ39">C9*$BS$6</f>
        <v>0</v>
      </c>
      <c r="BR9" s="5">
        <f t="shared" si="31"/>
        <v>0</v>
      </c>
      <c r="BS9" s="36">
        <f t="shared" si="32"/>
        <v>0</v>
      </c>
      <c r="BT9" s="35">
        <f t="shared" si="33"/>
        <v>0</v>
      </c>
      <c r="BU9" s="35"/>
      <c r="BW9" s="5">
        <f aca="true" t="shared" si="85" ref="BW9:BW39">C9*$BY$6</f>
        <v>0</v>
      </c>
      <c r="BX9" s="5">
        <f t="shared" si="34"/>
        <v>0</v>
      </c>
      <c r="BY9" s="5">
        <f t="shared" si="35"/>
        <v>0</v>
      </c>
      <c r="BZ9" s="35">
        <f t="shared" si="36"/>
        <v>0</v>
      </c>
      <c r="CA9" s="35"/>
      <c r="CC9" s="5">
        <f t="shared" si="37"/>
        <v>0</v>
      </c>
      <c r="CD9" s="5">
        <f t="shared" si="38"/>
        <v>0</v>
      </c>
      <c r="CE9" s="5">
        <f t="shared" si="39"/>
        <v>0</v>
      </c>
      <c r="CF9" s="35">
        <f t="shared" si="40"/>
        <v>0</v>
      </c>
      <c r="CG9" s="35"/>
      <c r="CI9" s="5">
        <f aca="true" t="shared" si="86" ref="CI9:CI39">C9*$CK$6</f>
        <v>0</v>
      </c>
      <c r="CJ9" s="5">
        <f t="shared" si="41"/>
        <v>0</v>
      </c>
      <c r="CK9" s="5">
        <f t="shared" si="42"/>
        <v>0</v>
      </c>
      <c r="CL9" s="35">
        <f t="shared" si="43"/>
        <v>0</v>
      </c>
      <c r="CM9" s="35"/>
      <c r="CO9" s="5">
        <f aca="true" t="shared" si="87" ref="CO9:CO39">C9*$CQ$6</f>
        <v>0</v>
      </c>
      <c r="CP9" s="5">
        <f t="shared" si="44"/>
        <v>0</v>
      </c>
      <c r="CQ9" s="5">
        <f t="shared" si="45"/>
        <v>0</v>
      </c>
      <c r="CR9" s="35">
        <f t="shared" si="46"/>
        <v>0</v>
      </c>
      <c r="CS9" s="35"/>
      <c r="CU9" s="5">
        <f aca="true" t="shared" si="88" ref="CU9:CU39">C9*$CW$6</f>
        <v>0</v>
      </c>
      <c r="CV9" s="5">
        <f t="shared" si="47"/>
        <v>0</v>
      </c>
      <c r="CW9" s="5">
        <f t="shared" si="48"/>
        <v>0</v>
      </c>
      <c r="CX9" s="35">
        <f t="shared" si="49"/>
        <v>0</v>
      </c>
      <c r="CY9" s="35"/>
      <c r="DA9" s="5">
        <f aca="true" t="shared" si="89" ref="DA9:DA39">C9*$DC$6</f>
        <v>0</v>
      </c>
      <c r="DB9" s="5">
        <f t="shared" si="50"/>
        <v>0</v>
      </c>
      <c r="DC9" s="5">
        <f t="shared" si="51"/>
        <v>0</v>
      </c>
      <c r="DD9" s="35">
        <f t="shared" si="52"/>
        <v>0</v>
      </c>
      <c r="DE9" s="35"/>
      <c r="DG9" s="5">
        <f aca="true" t="shared" si="90" ref="DG9:DG39">C9*$DI$6</f>
        <v>0</v>
      </c>
      <c r="DH9" s="5">
        <f t="shared" si="53"/>
        <v>0</v>
      </c>
      <c r="DI9" s="36">
        <f t="shared" si="54"/>
        <v>0</v>
      </c>
      <c r="DJ9" s="35">
        <f t="shared" si="55"/>
        <v>0</v>
      </c>
      <c r="DK9" s="35"/>
      <c r="DM9" s="5">
        <f aca="true" t="shared" si="91" ref="DM9:DM39">C9*$DO$6</f>
        <v>0</v>
      </c>
      <c r="DN9" s="5">
        <f t="shared" si="56"/>
        <v>0</v>
      </c>
      <c r="DO9" s="36">
        <f t="shared" si="57"/>
        <v>0</v>
      </c>
      <c r="DP9" s="35">
        <f t="shared" si="58"/>
        <v>0</v>
      </c>
      <c r="DQ9" s="35"/>
      <c r="DS9" s="5">
        <f aca="true" t="shared" si="92" ref="DS9:DS39">C9*$DU$6</f>
        <v>0</v>
      </c>
      <c r="DT9" s="5">
        <f t="shared" si="59"/>
        <v>0</v>
      </c>
      <c r="DU9" s="5">
        <f t="shared" si="60"/>
        <v>0</v>
      </c>
      <c r="DV9" s="35">
        <f t="shared" si="61"/>
        <v>0</v>
      </c>
      <c r="DW9" s="35"/>
      <c r="DY9" s="5">
        <f aca="true" t="shared" si="93" ref="DY9:DY39">C9*$EA$6</f>
        <v>0</v>
      </c>
      <c r="DZ9" s="5">
        <f t="shared" si="62"/>
        <v>0</v>
      </c>
      <c r="EA9" s="5">
        <f t="shared" si="63"/>
        <v>0</v>
      </c>
      <c r="EB9" s="35">
        <f t="shared" si="64"/>
        <v>0</v>
      </c>
      <c r="EC9" s="35"/>
      <c r="EE9" s="5">
        <f aca="true" t="shared" si="94" ref="EE9:EE39">C9*$EG$6</f>
        <v>0</v>
      </c>
      <c r="EF9" s="5">
        <f t="shared" si="65"/>
        <v>0</v>
      </c>
      <c r="EG9" s="5">
        <f t="shared" si="66"/>
        <v>0</v>
      </c>
      <c r="EH9" s="35">
        <f t="shared" si="67"/>
        <v>0</v>
      </c>
      <c r="EI9" s="35"/>
      <c r="EK9" s="5">
        <f aca="true" t="shared" si="95" ref="EK9:EK39">C9*$EM$6</f>
        <v>0</v>
      </c>
      <c r="EL9" s="5">
        <f t="shared" si="68"/>
        <v>0</v>
      </c>
      <c r="EM9" s="36">
        <f t="shared" si="69"/>
        <v>0</v>
      </c>
      <c r="EN9" s="35">
        <f t="shared" si="70"/>
        <v>0</v>
      </c>
      <c r="EO9" s="35"/>
      <c r="EQ9" s="5">
        <f aca="true" t="shared" si="96" ref="EQ9:EQ39">C9*$ES$6</f>
        <v>0</v>
      </c>
      <c r="ER9" s="36">
        <f t="shared" si="71"/>
        <v>0</v>
      </c>
      <c r="ES9" s="36">
        <f t="shared" si="72"/>
        <v>0</v>
      </c>
      <c r="ET9" s="35">
        <f t="shared" si="73"/>
        <v>0</v>
      </c>
      <c r="EU9" s="35"/>
    </row>
    <row r="10" spans="1:151" ht="12.75">
      <c r="A10" s="37">
        <v>42644</v>
      </c>
      <c r="D10" s="3">
        <v>1287349</v>
      </c>
      <c r="E10" s="35">
        <f t="shared" si="0"/>
        <v>1287349</v>
      </c>
      <c r="F10" s="35">
        <f>336483+6</f>
        <v>336489</v>
      </c>
      <c r="G10" s="35">
        <f>179766+8</f>
        <v>179774</v>
      </c>
      <c r="I10" s="47"/>
      <c r="J10" s="36">
        <f t="shared" si="1"/>
        <v>194031.81597799997</v>
      </c>
      <c r="K10" s="36">
        <f t="shared" si="2"/>
        <v>194031.81597799997</v>
      </c>
      <c r="L10" s="36">
        <f t="shared" si="3"/>
        <v>50716.295058</v>
      </c>
      <c r="M10" s="36">
        <f t="shared" si="3"/>
        <v>27095.896828</v>
      </c>
      <c r="P10" s="5">
        <f t="shared" si="4"/>
        <v>80658.0791856</v>
      </c>
      <c r="Q10" s="5">
        <f t="shared" si="5"/>
        <v>80658.0791856</v>
      </c>
      <c r="R10" s="35">
        <f t="shared" si="6"/>
        <v>21082.516401599998</v>
      </c>
      <c r="S10" s="35">
        <f>Q$6*$G10</f>
        <v>11263.6321056</v>
      </c>
      <c r="V10" s="36">
        <f t="shared" si="7"/>
        <v>35.6595673</v>
      </c>
      <c r="W10" s="36">
        <f t="shared" si="8"/>
        <v>35.6595673</v>
      </c>
      <c r="X10" s="35">
        <f t="shared" si="9"/>
        <v>9.3207453</v>
      </c>
      <c r="Y10" s="35">
        <f>W$6*$G10</f>
        <v>4.9797398</v>
      </c>
      <c r="AB10" s="5">
        <f t="shared" si="10"/>
        <v>1596.6989647</v>
      </c>
      <c r="AC10" s="5">
        <f t="shared" si="11"/>
        <v>1596.6989647</v>
      </c>
      <c r="AD10" s="35">
        <f t="shared" si="12"/>
        <v>417.3473067</v>
      </c>
      <c r="AE10" s="35">
        <f>AC$6*$G10</f>
        <v>222.9736922</v>
      </c>
      <c r="AH10" s="5">
        <f t="shared" si="13"/>
        <v>961.5209681</v>
      </c>
      <c r="AI10" s="5">
        <f t="shared" si="14"/>
        <v>961.5209681</v>
      </c>
      <c r="AJ10" s="35">
        <f t="shared" si="15"/>
        <v>251.3236341</v>
      </c>
      <c r="AK10" s="35">
        <f>AI$6*$G10</f>
        <v>134.2732006</v>
      </c>
      <c r="AN10" s="5">
        <f t="shared" si="16"/>
        <v>7146.074299000001</v>
      </c>
      <c r="AO10" s="5">
        <f t="shared" si="17"/>
        <v>7146.074299000001</v>
      </c>
      <c r="AP10" s="35">
        <f t="shared" si="18"/>
        <v>1867.850439</v>
      </c>
      <c r="AQ10" s="35">
        <f>AO$6*$G10</f>
        <v>997.9254740000001</v>
      </c>
      <c r="AT10" s="5">
        <f t="shared" si="19"/>
        <v>2214.4977498000003</v>
      </c>
      <c r="AU10" s="5">
        <f t="shared" si="20"/>
        <v>2214.4977498000003</v>
      </c>
      <c r="AV10" s="35">
        <f t="shared" si="21"/>
        <v>578.8283778</v>
      </c>
      <c r="AW10" s="35">
        <f>AU$6*$G10</f>
        <v>309.2472348</v>
      </c>
      <c r="AZ10" s="5">
        <f t="shared" si="22"/>
        <v>4169.2084714</v>
      </c>
      <c r="BA10" s="5">
        <f t="shared" si="23"/>
        <v>4169.2084714</v>
      </c>
      <c r="BB10" s="35">
        <f t="shared" si="24"/>
        <v>1089.7532754</v>
      </c>
      <c r="BC10" s="35">
        <f>BA$6*$G10</f>
        <v>582.2160764</v>
      </c>
      <c r="BF10" s="5">
        <f t="shared" si="25"/>
        <v>882.8639442</v>
      </c>
      <c r="BG10" s="5">
        <f t="shared" si="26"/>
        <v>882.8639442</v>
      </c>
      <c r="BH10" s="35">
        <f t="shared" si="27"/>
        <v>230.7641562</v>
      </c>
      <c r="BI10" s="35">
        <f>BG$6*$G10</f>
        <v>123.2890092</v>
      </c>
      <c r="BL10" s="5">
        <f t="shared" si="28"/>
        <v>15742.089776699999</v>
      </c>
      <c r="BM10" s="5">
        <f t="shared" si="29"/>
        <v>15742.089776699999</v>
      </c>
      <c r="BN10" s="35">
        <f t="shared" si="30"/>
        <v>4114.6884387</v>
      </c>
      <c r="BO10" s="35">
        <f>BM$6*$G10</f>
        <v>2198.3304042</v>
      </c>
      <c r="BQ10" s="36"/>
      <c r="BR10" s="5">
        <f t="shared" si="31"/>
        <v>7288.7125682</v>
      </c>
      <c r="BS10" s="36">
        <f t="shared" si="32"/>
        <v>7288.7125682</v>
      </c>
      <c r="BT10" s="35">
        <f t="shared" si="33"/>
        <v>1905.1334202</v>
      </c>
      <c r="BU10" s="35">
        <f>BS$6*$G10</f>
        <v>1017.8444331999999</v>
      </c>
      <c r="BX10" s="5">
        <f t="shared" si="34"/>
        <v>3490.7755484000004</v>
      </c>
      <c r="BY10" s="5">
        <f t="shared" si="35"/>
        <v>3490.7755484000004</v>
      </c>
      <c r="BZ10" s="35">
        <f t="shared" si="36"/>
        <v>912.4235724000001</v>
      </c>
      <c r="CA10" s="35">
        <f>BY$6*$G10</f>
        <v>487.47517840000006</v>
      </c>
      <c r="CC10" s="5">
        <f t="shared" si="37"/>
        <v>0</v>
      </c>
      <c r="CD10" s="5">
        <f t="shared" si="38"/>
        <v>515.0683349000001</v>
      </c>
      <c r="CE10" s="5">
        <f t="shared" si="39"/>
        <v>515.0683349000001</v>
      </c>
      <c r="CF10" s="35">
        <f t="shared" si="40"/>
        <v>134.6292489</v>
      </c>
      <c r="CG10" s="35">
        <f>CE$6*$G10</f>
        <v>71.9275774</v>
      </c>
      <c r="CJ10" s="5">
        <f t="shared" si="41"/>
        <v>2283.6283911</v>
      </c>
      <c r="CK10" s="5">
        <f t="shared" si="42"/>
        <v>2283.6283911</v>
      </c>
      <c r="CL10" s="35">
        <f t="shared" si="43"/>
        <v>596.8978371</v>
      </c>
      <c r="CM10" s="35">
        <f>CK$6*$G10</f>
        <v>318.9010986</v>
      </c>
      <c r="CP10" s="5">
        <f t="shared" si="44"/>
        <v>314.49936069999995</v>
      </c>
      <c r="CQ10" s="5">
        <f t="shared" si="45"/>
        <v>314.49936069999995</v>
      </c>
      <c r="CR10" s="35">
        <f t="shared" si="46"/>
        <v>82.20426269999999</v>
      </c>
      <c r="CS10" s="35">
        <f>CQ$6*$G10</f>
        <v>43.918788199999995</v>
      </c>
      <c r="CV10" s="5">
        <f t="shared" si="47"/>
        <v>6560.8454436</v>
      </c>
      <c r="CW10" s="5">
        <f t="shared" si="48"/>
        <v>6560.8454436</v>
      </c>
      <c r="CX10" s="35">
        <f t="shared" si="49"/>
        <v>1714.8825396</v>
      </c>
      <c r="CY10" s="35">
        <f>CW$6*$G10</f>
        <v>916.2002136</v>
      </c>
      <c r="DB10" s="5">
        <f t="shared" si="50"/>
        <v>1270.8709328</v>
      </c>
      <c r="DC10" s="5">
        <f t="shared" si="51"/>
        <v>1270.8709328</v>
      </c>
      <c r="DD10" s="35">
        <f t="shared" si="52"/>
        <v>332.18194079999995</v>
      </c>
      <c r="DE10" s="35">
        <f>DC$6*$G10</f>
        <v>177.47289279999998</v>
      </c>
      <c r="DH10" s="5">
        <f t="shared" si="53"/>
        <v>1681.4065289</v>
      </c>
      <c r="DI10" s="36">
        <f t="shared" si="54"/>
        <v>1681.4065289</v>
      </c>
      <c r="DJ10" s="35">
        <f t="shared" si="55"/>
        <v>439.4882829</v>
      </c>
      <c r="DK10" s="35">
        <f>DI$6*$G10</f>
        <v>234.8028214</v>
      </c>
      <c r="DN10" s="5">
        <f t="shared" si="56"/>
        <v>5465.826384200001</v>
      </c>
      <c r="DO10" s="36">
        <f t="shared" si="57"/>
        <v>5465.826384200001</v>
      </c>
      <c r="DP10" s="35">
        <f t="shared" si="58"/>
        <v>1428.6649962000001</v>
      </c>
      <c r="DQ10" s="35">
        <f>DO$6*$G10</f>
        <v>763.2844492</v>
      </c>
      <c r="DT10" s="5">
        <f t="shared" si="59"/>
        <v>3213.3518388999996</v>
      </c>
      <c r="DU10" s="5">
        <f t="shared" si="60"/>
        <v>3213.3518388999996</v>
      </c>
      <c r="DV10" s="35">
        <f t="shared" si="61"/>
        <v>839.9101929</v>
      </c>
      <c r="DW10" s="35">
        <f>DU$6*$G10</f>
        <v>448.7338814</v>
      </c>
      <c r="DZ10" s="5">
        <f t="shared" si="62"/>
        <v>3627.3632773</v>
      </c>
      <c r="EA10" s="5">
        <f t="shared" si="63"/>
        <v>3627.3632773</v>
      </c>
      <c r="EB10" s="35">
        <f t="shared" si="64"/>
        <v>948.1250553</v>
      </c>
      <c r="EC10" s="35">
        <f>EA$6*$G10</f>
        <v>506.54919979999994</v>
      </c>
      <c r="EF10" s="5">
        <f t="shared" si="65"/>
        <v>41997.5726317</v>
      </c>
      <c r="EG10" s="5">
        <f t="shared" si="66"/>
        <v>41997.5726317</v>
      </c>
      <c r="EH10" s="35">
        <f t="shared" si="67"/>
        <v>10977.3815937</v>
      </c>
      <c r="EI10" s="35">
        <f>EG$6*$G10</f>
        <v>5864.8211342</v>
      </c>
      <c r="EL10" s="5">
        <f t="shared" si="68"/>
        <v>1546.3636187999998</v>
      </c>
      <c r="EM10" s="36">
        <f t="shared" si="69"/>
        <v>1546.3636187999998</v>
      </c>
      <c r="EN10" s="35">
        <f t="shared" si="70"/>
        <v>404.19058679999995</v>
      </c>
      <c r="EO10" s="35">
        <f>EM$6*$G10</f>
        <v>215.9445288</v>
      </c>
      <c r="ER10" s="36">
        <f t="shared" si="71"/>
        <v>1368.8381917000002</v>
      </c>
      <c r="ES10" s="36">
        <f t="shared" si="72"/>
        <v>1368.8381917000002</v>
      </c>
      <c r="ET10" s="35">
        <f t="shared" si="73"/>
        <v>357.78875370000003</v>
      </c>
      <c r="EU10" s="35">
        <f>ES$6*$G10</f>
        <v>191.15369420000002</v>
      </c>
    </row>
    <row r="11" spans="1:151" ht="12.75">
      <c r="A11" s="37">
        <v>42826</v>
      </c>
      <c r="C11" s="3">
        <v>5000</v>
      </c>
      <c r="D11" s="3">
        <v>1039116</v>
      </c>
      <c r="E11" s="35">
        <f t="shared" si="0"/>
        <v>1044116</v>
      </c>
      <c r="F11" s="35">
        <v>336483</v>
      </c>
      <c r="G11" s="35">
        <v>179766</v>
      </c>
      <c r="I11" s="47">
        <f t="shared" si="74"/>
        <v>753.6099999999999</v>
      </c>
      <c r="J11" s="36">
        <f t="shared" si="1"/>
        <v>156617.64175199997</v>
      </c>
      <c r="K11" s="36">
        <f t="shared" si="2"/>
        <v>157371.25175199995</v>
      </c>
      <c r="L11" s="36">
        <f t="shared" si="3"/>
        <v>50715.390726000005</v>
      </c>
      <c r="M11" s="36">
        <f t="shared" si="3"/>
        <v>27094.691052000002</v>
      </c>
      <c r="O11" s="5">
        <f t="shared" si="75"/>
        <v>313.272</v>
      </c>
      <c r="P11" s="5">
        <f t="shared" si="4"/>
        <v>65105.1895104</v>
      </c>
      <c r="Q11" s="5">
        <f t="shared" si="5"/>
        <v>65418.4615104</v>
      </c>
      <c r="R11" s="35">
        <f t="shared" si="6"/>
        <v>21082.140475199998</v>
      </c>
      <c r="S11" s="35">
        <f aca="true" t="shared" si="97" ref="S11:S37">Q$6*$G11</f>
        <v>11263.1308704</v>
      </c>
      <c r="U11" s="5">
        <f t="shared" si="76"/>
        <v>0.13849999999999998</v>
      </c>
      <c r="V11" s="36">
        <f t="shared" si="7"/>
        <v>28.783513199999998</v>
      </c>
      <c r="W11" s="36">
        <f t="shared" si="8"/>
        <v>28.9220132</v>
      </c>
      <c r="X11" s="35">
        <f t="shared" si="9"/>
        <v>9.3205791</v>
      </c>
      <c r="Y11" s="35">
        <f aca="true" t="shared" si="98" ref="Y11:Y37">W$6*$G11</f>
        <v>4.9795182</v>
      </c>
      <c r="AA11" s="5">
        <f t="shared" si="77"/>
        <v>6.201499999999999</v>
      </c>
      <c r="AB11" s="5">
        <f t="shared" si="10"/>
        <v>1288.8155748</v>
      </c>
      <c r="AC11" s="5">
        <f t="shared" si="11"/>
        <v>1295.0170747999998</v>
      </c>
      <c r="AD11" s="35">
        <f t="shared" si="12"/>
        <v>417.3398649</v>
      </c>
      <c r="AE11" s="35">
        <f aca="true" t="shared" si="99" ref="AE11:AE37">AC$6*$G11</f>
        <v>222.9637698</v>
      </c>
      <c r="AG11" s="5">
        <f t="shared" si="78"/>
        <v>3.7345</v>
      </c>
      <c r="AH11" s="5">
        <f t="shared" si="13"/>
        <v>776.1157404</v>
      </c>
      <c r="AI11" s="5">
        <f t="shared" si="14"/>
        <v>779.8502404000001</v>
      </c>
      <c r="AJ11" s="35">
        <f t="shared" si="15"/>
        <v>251.3191527</v>
      </c>
      <c r="AK11" s="35">
        <f aca="true" t="shared" si="100" ref="AK11:AK37">AI$6*$G11</f>
        <v>134.2672254</v>
      </c>
      <c r="AM11" s="5">
        <f t="shared" si="79"/>
        <v>27.755000000000003</v>
      </c>
      <c r="AN11" s="5">
        <f t="shared" si="16"/>
        <v>5768.1329160000005</v>
      </c>
      <c r="AO11" s="5">
        <f t="shared" si="17"/>
        <v>5795.887916000001</v>
      </c>
      <c r="AP11" s="35">
        <f t="shared" si="18"/>
        <v>1867.8171330000002</v>
      </c>
      <c r="AQ11" s="35">
        <f aca="true" t="shared" si="101" ref="AQ11:AQ37">AO$6*$G11</f>
        <v>997.881066</v>
      </c>
      <c r="AS11" s="5">
        <f t="shared" si="80"/>
        <v>8.601</v>
      </c>
      <c r="AT11" s="5">
        <f t="shared" si="19"/>
        <v>1787.4873432000002</v>
      </c>
      <c r="AU11" s="5">
        <f t="shared" si="20"/>
        <v>1796.0883432000003</v>
      </c>
      <c r="AV11" s="35">
        <f t="shared" si="21"/>
        <v>578.8180566</v>
      </c>
      <c r="AW11" s="35">
        <f aca="true" t="shared" si="102" ref="AW11:AW37">AU$6*$G11</f>
        <v>309.2334732</v>
      </c>
      <c r="AY11" s="5">
        <f t="shared" si="81"/>
        <v>16.192999999999998</v>
      </c>
      <c r="AZ11" s="5">
        <f t="shared" si="22"/>
        <v>3365.2810776</v>
      </c>
      <c r="BA11" s="5">
        <f t="shared" si="23"/>
        <v>3381.4740776000003</v>
      </c>
      <c r="BB11" s="35">
        <f t="shared" si="24"/>
        <v>1089.7338438</v>
      </c>
      <c r="BC11" s="35">
        <f aca="true" t="shared" si="103" ref="BC11:BC37">BA$6*$G11</f>
        <v>582.1901676</v>
      </c>
      <c r="BE11" s="5">
        <f t="shared" si="82"/>
        <v>3.429</v>
      </c>
      <c r="BF11" s="5">
        <f t="shared" si="25"/>
        <v>712.6257528</v>
      </c>
      <c r="BG11" s="5">
        <f t="shared" si="26"/>
        <v>716.0547528</v>
      </c>
      <c r="BH11" s="35">
        <f t="shared" si="27"/>
        <v>230.76004139999998</v>
      </c>
      <c r="BI11" s="35">
        <f aca="true" t="shared" si="104" ref="BI11:BI37">BG$6*$G11</f>
        <v>123.2835228</v>
      </c>
      <c r="BK11" s="5">
        <f t="shared" si="83"/>
        <v>61.14149999999999</v>
      </c>
      <c r="BL11" s="5">
        <f t="shared" si="28"/>
        <v>12706.6221828</v>
      </c>
      <c r="BM11" s="5">
        <f t="shared" si="29"/>
        <v>12767.7636828</v>
      </c>
      <c r="BN11" s="35">
        <f t="shared" si="30"/>
        <v>4114.6150689</v>
      </c>
      <c r="BO11" s="35">
        <f aca="true" t="shared" si="105" ref="BO11:BO37">BM$6*$G11</f>
        <v>2198.2325778</v>
      </c>
      <c r="BQ11" s="36">
        <f t="shared" si="84"/>
        <v>28.308999999999997</v>
      </c>
      <c r="BR11" s="5">
        <f t="shared" si="31"/>
        <v>5883.2669688</v>
      </c>
      <c r="BS11" s="36">
        <f t="shared" si="32"/>
        <v>5911.5759688</v>
      </c>
      <c r="BT11" s="35">
        <f t="shared" si="33"/>
        <v>1905.0994494</v>
      </c>
      <c r="BU11" s="35">
        <f aca="true" t="shared" si="106" ref="BU11:BU37">BS$6*$G11</f>
        <v>1017.7991387999999</v>
      </c>
      <c r="BW11" s="5">
        <f t="shared" si="85"/>
        <v>13.558000000000002</v>
      </c>
      <c r="BX11" s="5">
        <f t="shared" si="34"/>
        <v>2817.6669456000004</v>
      </c>
      <c r="BY11" s="5">
        <f t="shared" si="35"/>
        <v>2831.2249456000004</v>
      </c>
      <c r="BZ11" s="35">
        <f t="shared" si="36"/>
        <v>912.4073028</v>
      </c>
      <c r="CA11" s="35">
        <f aca="true" t="shared" si="107" ref="CA11:CA37">BY$6*$G11</f>
        <v>487.4534856</v>
      </c>
      <c r="CC11" s="5">
        <f t="shared" si="37"/>
        <v>2.0005</v>
      </c>
      <c r="CD11" s="5">
        <f t="shared" si="38"/>
        <v>415.75031160000003</v>
      </c>
      <c r="CE11" s="5">
        <f t="shared" si="39"/>
        <v>417.7508116</v>
      </c>
      <c r="CF11" s="35">
        <f t="shared" si="40"/>
        <v>134.6268483</v>
      </c>
      <c r="CG11" s="35">
        <f aca="true" t="shared" si="108" ref="CG11:CG37">CE$6*$G11</f>
        <v>71.9243766</v>
      </c>
      <c r="CI11" s="5">
        <f t="shared" si="86"/>
        <v>8.8695</v>
      </c>
      <c r="CJ11" s="5">
        <f t="shared" si="41"/>
        <v>1843.2878724</v>
      </c>
      <c r="CK11" s="5">
        <f t="shared" si="42"/>
        <v>1852.1573724</v>
      </c>
      <c r="CL11" s="35">
        <f t="shared" si="43"/>
        <v>596.8871937</v>
      </c>
      <c r="CM11" s="35">
        <f aca="true" t="shared" si="109" ref="CM11:CM37">CK$6*$G11</f>
        <v>318.8869074</v>
      </c>
      <c r="CO11" s="5">
        <f t="shared" si="87"/>
        <v>1.2214999999999998</v>
      </c>
      <c r="CP11" s="5">
        <f t="shared" si="44"/>
        <v>253.85603879999996</v>
      </c>
      <c r="CQ11" s="5">
        <f t="shared" si="45"/>
        <v>255.07753879999996</v>
      </c>
      <c r="CR11" s="35">
        <f t="shared" si="46"/>
        <v>82.2027969</v>
      </c>
      <c r="CS11" s="35">
        <f aca="true" t="shared" si="110" ref="CS11:CS37">CQ$6*$G11</f>
        <v>43.91683379999999</v>
      </c>
      <c r="CU11" s="5">
        <f t="shared" si="88"/>
        <v>25.482</v>
      </c>
      <c r="CV11" s="5">
        <f t="shared" si="47"/>
        <v>5295.7507824</v>
      </c>
      <c r="CW11" s="5">
        <f t="shared" si="48"/>
        <v>5321.2327824</v>
      </c>
      <c r="CX11" s="35">
        <f t="shared" si="49"/>
        <v>1714.8519612</v>
      </c>
      <c r="CY11" s="35">
        <f aca="true" t="shared" si="111" ref="CY11:CY37">CW$6*$G11</f>
        <v>916.1594424</v>
      </c>
      <c r="DA11" s="5">
        <f t="shared" si="89"/>
        <v>4.936</v>
      </c>
      <c r="DB11" s="5">
        <f t="shared" si="50"/>
        <v>1025.8153152</v>
      </c>
      <c r="DC11" s="5">
        <f t="shared" si="51"/>
        <v>1030.7513152</v>
      </c>
      <c r="DD11" s="35">
        <f t="shared" si="52"/>
        <v>332.17601759999997</v>
      </c>
      <c r="DE11" s="35">
        <f aca="true" t="shared" si="112" ref="DE11:DE37">DC$6*$G11</f>
        <v>177.46499519999998</v>
      </c>
      <c r="DG11" s="5">
        <f t="shared" si="90"/>
        <v>6.5305</v>
      </c>
      <c r="DH11" s="5">
        <f t="shared" si="53"/>
        <v>1357.1894075999999</v>
      </c>
      <c r="DI11" s="36">
        <f t="shared" si="54"/>
        <v>1363.7199076</v>
      </c>
      <c r="DJ11" s="35">
        <f t="shared" si="55"/>
        <v>439.4804463</v>
      </c>
      <c r="DK11" s="35">
        <f aca="true" t="shared" si="113" ref="DK11:DK37">DI$6*$G11</f>
        <v>234.7923726</v>
      </c>
      <c r="DM11" s="5">
        <f t="shared" si="91"/>
        <v>21.229</v>
      </c>
      <c r="DN11" s="5">
        <f t="shared" si="56"/>
        <v>4411.8787128</v>
      </c>
      <c r="DO11" s="36">
        <f t="shared" si="57"/>
        <v>4433.107712800001</v>
      </c>
      <c r="DP11" s="35">
        <f t="shared" si="58"/>
        <v>1428.6395214</v>
      </c>
      <c r="DQ11" s="35">
        <f aca="true" t="shared" si="114" ref="DQ11:DQ37">DO$6*$G11</f>
        <v>763.2504828</v>
      </c>
      <c r="DS11" s="5">
        <f t="shared" si="92"/>
        <v>12.4805</v>
      </c>
      <c r="DT11" s="5">
        <f t="shared" si="59"/>
        <v>2593.7374476</v>
      </c>
      <c r="DU11" s="5">
        <f t="shared" si="60"/>
        <v>2606.2179476</v>
      </c>
      <c r="DV11" s="35">
        <f t="shared" si="61"/>
        <v>839.8952162999999</v>
      </c>
      <c r="DW11" s="35">
        <f aca="true" t="shared" si="115" ref="DW11:DW37">DU$6*$G11</f>
        <v>448.71391259999996</v>
      </c>
      <c r="DY11" s="5">
        <f t="shared" si="93"/>
        <v>14.0885</v>
      </c>
      <c r="DZ11" s="5">
        <f t="shared" si="62"/>
        <v>2927.9171531999996</v>
      </c>
      <c r="EA11" s="5">
        <f t="shared" si="63"/>
        <v>2942.0056531999994</v>
      </c>
      <c r="EB11" s="35">
        <f t="shared" si="64"/>
        <v>948.1081490999999</v>
      </c>
      <c r="EC11" s="35">
        <f aca="true" t="shared" si="116" ref="EC11:EC37">EA$6*$G11</f>
        <v>506.5266582</v>
      </c>
      <c r="EE11" s="5">
        <f t="shared" si="94"/>
        <v>163.1165</v>
      </c>
      <c r="EF11" s="5">
        <f t="shared" si="65"/>
        <v>33899.3930028</v>
      </c>
      <c r="EG11" s="5">
        <f t="shared" si="66"/>
        <v>34062.5095028</v>
      </c>
      <c r="EH11" s="35">
        <f t="shared" si="67"/>
        <v>10977.1858539</v>
      </c>
      <c r="EI11" s="35">
        <f aca="true" t="shared" si="117" ref="EI11:EI37">EG$6*$G11</f>
        <v>5864.5601478</v>
      </c>
      <c r="EK11" s="5">
        <f t="shared" si="95"/>
        <v>6.005999999999999</v>
      </c>
      <c r="EL11" s="5">
        <f t="shared" si="68"/>
        <v>1248.1861391999998</v>
      </c>
      <c r="EM11" s="36">
        <f t="shared" si="69"/>
        <v>1254.1921392</v>
      </c>
      <c r="EN11" s="35">
        <f t="shared" si="70"/>
        <v>404.18337959999997</v>
      </c>
      <c r="EO11" s="35">
        <f aca="true" t="shared" si="118" ref="EO11:EO37">EM$6*$G11</f>
        <v>215.9349192</v>
      </c>
      <c r="EQ11" s="5">
        <f t="shared" si="96"/>
        <v>5.3165000000000004</v>
      </c>
      <c r="ER11" s="36">
        <f t="shared" si="71"/>
        <v>1104.8920428000001</v>
      </c>
      <c r="ES11" s="36">
        <f t="shared" si="72"/>
        <v>1110.2085428</v>
      </c>
      <c r="ET11" s="35">
        <f t="shared" si="73"/>
        <v>357.78237390000004</v>
      </c>
      <c r="EU11" s="35">
        <f aca="true" t="shared" si="119" ref="EU11:EU37">ES$6*$G11</f>
        <v>191.14518780000003</v>
      </c>
    </row>
    <row r="12" spans="1:151" ht="12.75">
      <c r="A12" s="37">
        <v>43009</v>
      </c>
      <c r="B12" s="38"/>
      <c r="D12" s="3">
        <v>1039066</v>
      </c>
      <c r="E12" s="35">
        <f t="shared" si="0"/>
        <v>1039066</v>
      </c>
      <c r="F12" s="35">
        <v>336483</v>
      </c>
      <c r="G12" s="35">
        <v>179766</v>
      </c>
      <c r="I12" s="47"/>
      <c r="J12" s="36">
        <f t="shared" si="1"/>
        <v>156610.10565200003</v>
      </c>
      <c r="K12" s="36">
        <f t="shared" si="2"/>
        <v>156610.10565200003</v>
      </c>
      <c r="L12" s="36">
        <f t="shared" si="3"/>
        <v>50715.390726000005</v>
      </c>
      <c r="M12" s="36">
        <f t="shared" si="3"/>
        <v>27094.691052000002</v>
      </c>
      <c r="P12" s="5">
        <f t="shared" si="4"/>
        <v>65102.0567904</v>
      </c>
      <c r="Q12" s="5">
        <f t="shared" si="5"/>
        <v>65102.0567904</v>
      </c>
      <c r="R12" s="35">
        <f t="shared" si="6"/>
        <v>21082.140475199998</v>
      </c>
      <c r="S12" s="35">
        <f t="shared" si="97"/>
        <v>11263.1308704</v>
      </c>
      <c r="V12" s="36">
        <f t="shared" si="7"/>
        <v>28.7821282</v>
      </c>
      <c r="W12" s="36">
        <f t="shared" si="8"/>
        <v>28.7821282</v>
      </c>
      <c r="X12" s="35">
        <f t="shared" si="9"/>
        <v>9.3205791</v>
      </c>
      <c r="Y12" s="35">
        <f t="shared" si="98"/>
        <v>4.9795182</v>
      </c>
      <c r="AB12" s="5">
        <f t="shared" si="10"/>
        <v>1288.7535598</v>
      </c>
      <c r="AC12" s="5">
        <f t="shared" si="11"/>
        <v>1288.7535598</v>
      </c>
      <c r="AD12" s="35">
        <f t="shared" si="12"/>
        <v>417.3398649</v>
      </c>
      <c r="AE12" s="35">
        <f t="shared" si="99"/>
        <v>222.9637698</v>
      </c>
      <c r="AH12" s="5">
        <f t="shared" si="13"/>
        <v>776.0783954</v>
      </c>
      <c r="AI12" s="5">
        <f t="shared" si="14"/>
        <v>776.0783954</v>
      </c>
      <c r="AJ12" s="35">
        <f t="shared" si="15"/>
        <v>251.3191527</v>
      </c>
      <c r="AK12" s="35">
        <f t="shared" si="100"/>
        <v>134.2672254</v>
      </c>
      <c r="AN12" s="5">
        <f t="shared" si="16"/>
        <v>5767.855366000001</v>
      </c>
      <c r="AO12" s="5">
        <f t="shared" si="17"/>
        <v>5767.855366000001</v>
      </c>
      <c r="AP12" s="35">
        <f t="shared" si="18"/>
        <v>1867.8171330000002</v>
      </c>
      <c r="AQ12" s="35">
        <f t="shared" si="101"/>
        <v>997.881066</v>
      </c>
      <c r="AT12" s="5">
        <f t="shared" si="19"/>
        <v>1787.4013332000002</v>
      </c>
      <c r="AU12" s="5">
        <f t="shared" si="20"/>
        <v>1787.4013332000002</v>
      </c>
      <c r="AV12" s="35">
        <f t="shared" si="21"/>
        <v>578.8180566</v>
      </c>
      <c r="AW12" s="35">
        <f t="shared" si="102"/>
        <v>309.2334732</v>
      </c>
      <c r="AZ12" s="5">
        <f t="shared" si="22"/>
        <v>3365.1191476</v>
      </c>
      <c r="BA12" s="5">
        <f t="shared" si="23"/>
        <v>3365.1191476</v>
      </c>
      <c r="BB12" s="35">
        <f t="shared" si="24"/>
        <v>1089.7338438</v>
      </c>
      <c r="BC12" s="35">
        <f t="shared" si="103"/>
        <v>582.1901676</v>
      </c>
      <c r="BF12" s="5">
        <f t="shared" si="25"/>
        <v>712.5914627999999</v>
      </c>
      <c r="BG12" s="5">
        <f t="shared" si="26"/>
        <v>712.5914627999999</v>
      </c>
      <c r="BH12" s="35">
        <f t="shared" si="27"/>
        <v>230.76004139999998</v>
      </c>
      <c r="BI12" s="35">
        <f t="shared" si="104"/>
        <v>123.2835228</v>
      </c>
      <c r="BL12" s="5">
        <f t="shared" si="28"/>
        <v>12706.010767799999</v>
      </c>
      <c r="BM12" s="5">
        <f t="shared" si="29"/>
        <v>12706.010767799999</v>
      </c>
      <c r="BN12" s="35">
        <f t="shared" si="30"/>
        <v>4114.6150689</v>
      </c>
      <c r="BO12" s="35">
        <f t="shared" si="105"/>
        <v>2198.2325778</v>
      </c>
      <c r="BQ12" s="36"/>
      <c r="BR12" s="5">
        <f t="shared" si="31"/>
        <v>5882.9838788</v>
      </c>
      <c r="BS12" s="36">
        <f t="shared" si="32"/>
        <v>5882.9838788</v>
      </c>
      <c r="BT12" s="35">
        <f t="shared" si="33"/>
        <v>1905.0994494</v>
      </c>
      <c r="BU12" s="35">
        <f t="shared" si="106"/>
        <v>1017.7991387999999</v>
      </c>
      <c r="BX12" s="5">
        <f t="shared" si="34"/>
        <v>2817.5313656000003</v>
      </c>
      <c r="BY12" s="5">
        <f t="shared" si="35"/>
        <v>2817.5313656000003</v>
      </c>
      <c r="BZ12" s="35">
        <f t="shared" si="36"/>
        <v>912.4073028</v>
      </c>
      <c r="CA12" s="35">
        <f t="shared" si="107"/>
        <v>487.4534856</v>
      </c>
      <c r="CC12" s="5">
        <f t="shared" si="37"/>
        <v>0</v>
      </c>
      <c r="CD12" s="5">
        <f t="shared" si="38"/>
        <v>415.7303066</v>
      </c>
      <c r="CE12" s="5">
        <f t="shared" si="39"/>
        <v>415.7303066</v>
      </c>
      <c r="CF12" s="35">
        <f t="shared" si="40"/>
        <v>134.6268483</v>
      </c>
      <c r="CG12" s="35">
        <f t="shared" si="108"/>
        <v>71.9243766</v>
      </c>
      <c r="CJ12" s="5">
        <f t="shared" si="41"/>
        <v>1843.1991773999998</v>
      </c>
      <c r="CK12" s="5">
        <f t="shared" si="42"/>
        <v>1843.1991773999998</v>
      </c>
      <c r="CL12" s="35">
        <f t="shared" si="43"/>
        <v>596.8871937</v>
      </c>
      <c r="CM12" s="35">
        <f t="shared" si="109"/>
        <v>318.8869074</v>
      </c>
      <c r="CP12" s="5">
        <f t="shared" si="44"/>
        <v>253.84382379999997</v>
      </c>
      <c r="CQ12" s="5">
        <f t="shared" si="45"/>
        <v>253.84382379999997</v>
      </c>
      <c r="CR12" s="35">
        <f t="shared" si="46"/>
        <v>82.2027969</v>
      </c>
      <c r="CS12" s="35">
        <f t="shared" si="110"/>
        <v>43.91683379999999</v>
      </c>
      <c r="CV12" s="5">
        <f t="shared" si="47"/>
        <v>5295.4959624</v>
      </c>
      <c r="CW12" s="5">
        <f t="shared" si="48"/>
        <v>5295.4959624</v>
      </c>
      <c r="CX12" s="35">
        <f t="shared" si="49"/>
        <v>1714.8519612</v>
      </c>
      <c r="CY12" s="35">
        <f t="shared" si="111"/>
        <v>916.1594424</v>
      </c>
      <c r="DB12" s="5">
        <f t="shared" si="50"/>
        <v>1025.7659552</v>
      </c>
      <c r="DC12" s="5">
        <f t="shared" si="51"/>
        <v>1025.7659552</v>
      </c>
      <c r="DD12" s="35">
        <f t="shared" si="52"/>
        <v>332.17601759999997</v>
      </c>
      <c r="DE12" s="35">
        <f t="shared" si="112"/>
        <v>177.46499519999998</v>
      </c>
      <c r="DH12" s="5">
        <f t="shared" si="53"/>
        <v>1357.1241026</v>
      </c>
      <c r="DI12" s="36">
        <f t="shared" si="54"/>
        <v>1357.1241026</v>
      </c>
      <c r="DJ12" s="35">
        <f t="shared" si="55"/>
        <v>439.4804463</v>
      </c>
      <c r="DK12" s="35">
        <f t="shared" si="113"/>
        <v>234.7923726</v>
      </c>
      <c r="DN12" s="5">
        <f t="shared" si="56"/>
        <v>4411.6664228</v>
      </c>
      <c r="DO12" s="36">
        <f t="shared" si="57"/>
        <v>4411.6664228</v>
      </c>
      <c r="DP12" s="35">
        <f t="shared" si="58"/>
        <v>1428.6395214</v>
      </c>
      <c r="DQ12" s="35">
        <f t="shared" si="114"/>
        <v>763.2504828</v>
      </c>
      <c r="DT12" s="5">
        <f t="shared" si="59"/>
        <v>2593.6126425999996</v>
      </c>
      <c r="DU12" s="5">
        <f t="shared" si="60"/>
        <v>2593.6126425999996</v>
      </c>
      <c r="DV12" s="35">
        <f t="shared" si="61"/>
        <v>839.8952162999999</v>
      </c>
      <c r="DW12" s="35">
        <f t="shared" si="115"/>
        <v>448.71391259999996</v>
      </c>
      <c r="DZ12" s="5">
        <f t="shared" si="62"/>
        <v>2927.7762682</v>
      </c>
      <c r="EA12" s="5">
        <f t="shared" si="63"/>
        <v>2927.7762682</v>
      </c>
      <c r="EB12" s="35">
        <f t="shared" si="64"/>
        <v>948.1081490999999</v>
      </c>
      <c r="EC12" s="35">
        <f t="shared" si="116"/>
        <v>506.5266582</v>
      </c>
      <c r="EF12" s="5">
        <f t="shared" si="65"/>
        <v>33897.761837800004</v>
      </c>
      <c r="EG12" s="5">
        <f t="shared" si="66"/>
        <v>33897.761837800004</v>
      </c>
      <c r="EH12" s="35">
        <f t="shared" si="67"/>
        <v>10977.1858539</v>
      </c>
      <c r="EI12" s="35">
        <f t="shared" si="117"/>
        <v>5864.5601478</v>
      </c>
      <c r="EL12" s="5">
        <f t="shared" si="68"/>
        <v>1248.1260791999998</v>
      </c>
      <c r="EM12" s="36">
        <f t="shared" si="69"/>
        <v>1248.1260791999998</v>
      </c>
      <c r="EN12" s="35">
        <f t="shared" si="70"/>
        <v>404.18337959999997</v>
      </c>
      <c r="EO12" s="35">
        <f t="shared" si="118"/>
        <v>215.9349192</v>
      </c>
      <c r="ER12" s="36">
        <f t="shared" si="71"/>
        <v>1104.8388778</v>
      </c>
      <c r="ES12" s="36">
        <f t="shared" si="72"/>
        <v>1104.8388778</v>
      </c>
      <c r="ET12" s="35">
        <f t="shared" si="73"/>
        <v>357.78237390000004</v>
      </c>
      <c r="EU12" s="35">
        <f t="shared" si="119"/>
        <v>191.14518780000003</v>
      </c>
    </row>
    <row r="13" spans="1:151" ht="12.75">
      <c r="A13" s="37">
        <v>43191</v>
      </c>
      <c r="C13" s="3">
        <v>10000</v>
      </c>
      <c r="D13" s="3">
        <v>1039066</v>
      </c>
      <c r="E13" s="35">
        <f t="shared" si="0"/>
        <v>1049066</v>
      </c>
      <c r="F13" s="35">
        <v>336483</v>
      </c>
      <c r="G13" s="35">
        <v>179766</v>
      </c>
      <c r="I13" s="47">
        <f t="shared" si="74"/>
        <v>1507.2199999999998</v>
      </c>
      <c r="J13" s="36">
        <f t="shared" si="1"/>
        <v>156610.10565200003</v>
      </c>
      <c r="K13" s="36">
        <f t="shared" si="2"/>
        <v>158117.32565200003</v>
      </c>
      <c r="L13" s="36">
        <f t="shared" si="3"/>
        <v>50715.390726000005</v>
      </c>
      <c r="M13" s="36">
        <f t="shared" si="3"/>
        <v>27094.691052000002</v>
      </c>
      <c r="O13" s="5">
        <f t="shared" si="75"/>
        <v>626.544</v>
      </c>
      <c r="P13" s="5">
        <f t="shared" si="4"/>
        <v>65102.0567904</v>
      </c>
      <c r="Q13" s="5">
        <f t="shared" si="5"/>
        <v>65728.6007904</v>
      </c>
      <c r="R13" s="35">
        <f t="shared" si="6"/>
        <v>21082.140475199998</v>
      </c>
      <c r="S13" s="35">
        <f t="shared" si="97"/>
        <v>11263.1308704</v>
      </c>
      <c r="U13" s="5">
        <f t="shared" si="76"/>
        <v>0.27699999999999997</v>
      </c>
      <c r="V13" s="36">
        <f t="shared" si="7"/>
        <v>28.7821282</v>
      </c>
      <c r="W13" s="36">
        <f t="shared" si="8"/>
        <v>29.0591282</v>
      </c>
      <c r="X13" s="35">
        <f t="shared" si="9"/>
        <v>9.3205791</v>
      </c>
      <c r="Y13" s="35">
        <f t="shared" si="98"/>
        <v>4.9795182</v>
      </c>
      <c r="AA13" s="5">
        <f t="shared" si="77"/>
        <v>12.402999999999999</v>
      </c>
      <c r="AB13" s="5">
        <f t="shared" si="10"/>
        <v>1288.7535598</v>
      </c>
      <c r="AC13" s="5">
        <f t="shared" si="11"/>
        <v>1301.1565598</v>
      </c>
      <c r="AD13" s="35">
        <f t="shared" si="12"/>
        <v>417.3398649</v>
      </c>
      <c r="AE13" s="35">
        <f t="shared" si="99"/>
        <v>222.9637698</v>
      </c>
      <c r="AG13" s="5">
        <f t="shared" si="78"/>
        <v>7.469</v>
      </c>
      <c r="AH13" s="5">
        <f t="shared" si="13"/>
        <v>776.0783954</v>
      </c>
      <c r="AI13" s="5">
        <f t="shared" si="14"/>
        <v>783.5473954</v>
      </c>
      <c r="AJ13" s="35">
        <f t="shared" si="15"/>
        <v>251.3191527</v>
      </c>
      <c r="AK13" s="35">
        <f t="shared" si="100"/>
        <v>134.2672254</v>
      </c>
      <c r="AM13" s="5">
        <f t="shared" si="79"/>
        <v>55.510000000000005</v>
      </c>
      <c r="AN13" s="5">
        <f t="shared" si="16"/>
        <v>5767.855366000001</v>
      </c>
      <c r="AO13" s="5">
        <f t="shared" si="17"/>
        <v>5823.365366000001</v>
      </c>
      <c r="AP13" s="35">
        <f t="shared" si="18"/>
        <v>1867.8171330000002</v>
      </c>
      <c r="AQ13" s="35">
        <f t="shared" si="101"/>
        <v>997.881066</v>
      </c>
      <c r="AS13" s="5">
        <f t="shared" si="80"/>
        <v>17.202</v>
      </c>
      <c r="AT13" s="5">
        <f t="shared" si="19"/>
        <v>1787.4013332000002</v>
      </c>
      <c r="AU13" s="5">
        <f t="shared" si="20"/>
        <v>1804.6033332000002</v>
      </c>
      <c r="AV13" s="35">
        <f t="shared" si="21"/>
        <v>578.8180566</v>
      </c>
      <c r="AW13" s="35">
        <f t="shared" si="102"/>
        <v>309.2334732</v>
      </c>
      <c r="AY13" s="5">
        <f t="shared" si="81"/>
        <v>32.385999999999996</v>
      </c>
      <c r="AZ13" s="5">
        <f t="shared" si="22"/>
        <v>3365.1191476</v>
      </c>
      <c r="BA13" s="5">
        <f t="shared" si="23"/>
        <v>3397.5051476</v>
      </c>
      <c r="BB13" s="35">
        <f t="shared" si="24"/>
        <v>1089.7338438</v>
      </c>
      <c r="BC13" s="35">
        <f t="shared" si="103"/>
        <v>582.1901676</v>
      </c>
      <c r="BE13" s="5">
        <f t="shared" si="82"/>
        <v>6.858</v>
      </c>
      <c r="BF13" s="5">
        <f t="shared" si="25"/>
        <v>712.5914627999999</v>
      </c>
      <c r="BG13" s="5">
        <f t="shared" si="26"/>
        <v>719.4494627999999</v>
      </c>
      <c r="BH13" s="35">
        <f t="shared" si="27"/>
        <v>230.76004139999998</v>
      </c>
      <c r="BI13" s="35">
        <f t="shared" si="104"/>
        <v>123.2835228</v>
      </c>
      <c r="BK13" s="5">
        <f t="shared" si="83"/>
        <v>122.28299999999999</v>
      </c>
      <c r="BL13" s="5">
        <f t="shared" si="28"/>
        <v>12706.010767799999</v>
      </c>
      <c r="BM13" s="5">
        <f t="shared" si="29"/>
        <v>12828.293767799998</v>
      </c>
      <c r="BN13" s="35">
        <f t="shared" si="30"/>
        <v>4114.6150689</v>
      </c>
      <c r="BO13" s="35">
        <f t="shared" si="105"/>
        <v>2198.2325778</v>
      </c>
      <c r="BQ13" s="36">
        <f t="shared" si="84"/>
        <v>56.617999999999995</v>
      </c>
      <c r="BR13" s="5">
        <f t="shared" si="31"/>
        <v>5882.9838788</v>
      </c>
      <c r="BS13" s="36">
        <f t="shared" si="32"/>
        <v>5939.6018788</v>
      </c>
      <c r="BT13" s="35">
        <f t="shared" si="33"/>
        <v>1905.0994494</v>
      </c>
      <c r="BU13" s="35">
        <f t="shared" si="106"/>
        <v>1017.7991387999999</v>
      </c>
      <c r="BW13" s="5">
        <f t="shared" si="85"/>
        <v>27.116000000000003</v>
      </c>
      <c r="BX13" s="5">
        <f t="shared" si="34"/>
        <v>2817.5313656000003</v>
      </c>
      <c r="BY13" s="5">
        <f t="shared" si="35"/>
        <v>2844.6473656000003</v>
      </c>
      <c r="BZ13" s="35">
        <f t="shared" si="36"/>
        <v>912.4073028</v>
      </c>
      <c r="CA13" s="35">
        <f t="shared" si="107"/>
        <v>487.4534856</v>
      </c>
      <c r="CC13" s="5">
        <f t="shared" si="37"/>
        <v>4.001</v>
      </c>
      <c r="CD13" s="5">
        <f t="shared" si="38"/>
        <v>415.7303066</v>
      </c>
      <c r="CE13" s="5">
        <f t="shared" si="39"/>
        <v>419.7313066</v>
      </c>
      <c r="CF13" s="35">
        <f t="shared" si="40"/>
        <v>134.6268483</v>
      </c>
      <c r="CG13" s="35">
        <f t="shared" si="108"/>
        <v>71.9243766</v>
      </c>
      <c r="CI13" s="5">
        <f t="shared" si="86"/>
        <v>17.739</v>
      </c>
      <c r="CJ13" s="5">
        <f t="shared" si="41"/>
        <v>1843.1991773999998</v>
      </c>
      <c r="CK13" s="5">
        <f t="shared" si="42"/>
        <v>1860.9381773999999</v>
      </c>
      <c r="CL13" s="35">
        <f t="shared" si="43"/>
        <v>596.8871937</v>
      </c>
      <c r="CM13" s="35">
        <f t="shared" si="109"/>
        <v>318.8869074</v>
      </c>
      <c r="CO13" s="5">
        <f t="shared" si="87"/>
        <v>2.4429999999999996</v>
      </c>
      <c r="CP13" s="5">
        <f t="shared" si="44"/>
        <v>253.84382379999997</v>
      </c>
      <c r="CQ13" s="5">
        <f t="shared" si="45"/>
        <v>256.2868238</v>
      </c>
      <c r="CR13" s="35">
        <f t="shared" si="46"/>
        <v>82.2027969</v>
      </c>
      <c r="CS13" s="35">
        <f t="shared" si="110"/>
        <v>43.91683379999999</v>
      </c>
      <c r="CU13" s="5">
        <f t="shared" si="88"/>
        <v>50.964</v>
      </c>
      <c r="CV13" s="5">
        <f t="shared" si="47"/>
        <v>5295.4959624</v>
      </c>
      <c r="CW13" s="5">
        <f t="shared" si="48"/>
        <v>5346.4599624</v>
      </c>
      <c r="CX13" s="35">
        <f t="shared" si="49"/>
        <v>1714.8519612</v>
      </c>
      <c r="CY13" s="35">
        <f t="shared" si="111"/>
        <v>916.1594424</v>
      </c>
      <c r="DA13" s="5">
        <f t="shared" si="89"/>
        <v>9.872</v>
      </c>
      <c r="DB13" s="5">
        <f t="shared" si="50"/>
        <v>1025.7659552</v>
      </c>
      <c r="DC13" s="5">
        <f t="shared" si="51"/>
        <v>1035.6379552</v>
      </c>
      <c r="DD13" s="35">
        <f t="shared" si="52"/>
        <v>332.17601759999997</v>
      </c>
      <c r="DE13" s="35">
        <f t="shared" si="112"/>
        <v>177.46499519999998</v>
      </c>
      <c r="DG13" s="5">
        <f t="shared" si="90"/>
        <v>13.061</v>
      </c>
      <c r="DH13" s="5">
        <f t="shared" si="53"/>
        <v>1357.1241026</v>
      </c>
      <c r="DI13" s="36">
        <f t="shared" si="54"/>
        <v>1370.1851026</v>
      </c>
      <c r="DJ13" s="35">
        <f t="shared" si="55"/>
        <v>439.4804463</v>
      </c>
      <c r="DK13" s="35">
        <f t="shared" si="113"/>
        <v>234.7923726</v>
      </c>
      <c r="DM13" s="5">
        <f t="shared" si="91"/>
        <v>42.458</v>
      </c>
      <c r="DN13" s="5">
        <f t="shared" si="56"/>
        <v>4411.6664228</v>
      </c>
      <c r="DO13" s="36">
        <f t="shared" si="57"/>
        <v>4454.1244228</v>
      </c>
      <c r="DP13" s="35">
        <f t="shared" si="58"/>
        <v>1428.6395214</v>
      </c>
      <c r="DQ13" s="35">
        <f t="shared" si="114"/>
        <v>763.2504828</v>
      </c>
      <c r="DS13" s="5">
        <f t="shared" si="92"/>
        <v>24.961</v>
      </c>
      <c r="DT13" s="5">
        <f t="shared" si="59"/>
        <v>2593.6126425999996</v>
      </c>
      <c r="DU13" s="5">
        <f t="shared" si="60"/>
        <v>2618.5736425999994</v>
      </c>
      <c r="DV13" s="35">
        <f t="shared" si="61"/>
        <v>839.8952162999999</v>
      </c>
      <c r="DW13" s="35">
        <f t="shared" si="115"/>
        <v>448.71391259999996</v>
      </c>
      <c r="DY13" s="5">
        <f t="shared" si="93"/>
        <v>28.177</v>
      </c>
      <c r="DZ13" s="5">
        <f t="shared" si="62"/>
        <v>2927.7762682</v>
      </c>
      <c r="EA13" s="5">
        <f t="shared" si="63"/>
        <v>2955.9532682</v>
      </c>
      <c r="EB13" s="35">
        <f t="shared" si="64"/>
        <v>948.1081490999999</v>
      </c>
      <c r="EC13" s="35">
        <f t="shared" si="116"/>
        <v>506.5266582</v>
      </c>
      <c r="EE13" s="5">
        <f t="shared" si="94"/>
        <v>326.233</v>
      </c>
      <c r="EF13" s="5">
        <f t="shared" si="65"/>
        <v>33897.761837800004</v>
      </c>
      <c r="EG13" s="5">
        <f t="shared" si="66"/>
        <v>34223.994837800004</v>
      </c>
      <c r="EH13" s="35">
        <f t="shared" si="67"/>
        <v>10977.1858539</v>
      </c>
      <c r="EI13" s="35">
        <f t="shared" si="117"/>
        <v>5864.5601478</v>
      </c>
      <c r="EK13" s="5">
        <f t="shared" si="95"/>
        <v>12.011999999999999</v>
      </c>
      <c r="EL13" s="5">
        <f t="shared" si="68"/>
        <v>1248.1260791999998</v>
      </c>
      <c r="EM13" s="36">
        <f t="shared" si="69"/>
        <v>1260.1380791999998</v>
      </c>
      <c r="EN13" s="35">
        <f t="shared" si="70"/>
        <v>404.18337959999997</v>
      </c>
      <c r="EO13" s="35">
        <f t="shared" si="118"/>
        <v>215.9349192</v>
      </c>
      <c r="EQ13" s="5">
        <f t="shared" si="96"/>
        <v>10.633000000000001</v>
      </c>
      <c r="ER13" s="36">
        <f t="shared" si="71"/>
        <v>1104.8388778</v>
      </c>
      <c r="ES13" s="36">
        <f t="shared" si="72"/>
        <v>1115.4718778000001</v>
      </c>
      <c r="ET13" s="35">
        <f t="shared" si="73"/>
        <v>357.78237390000004</v>
      </c>
      <c r="EU13" s="35">
        <f t="shared" si="119"/>
        <v>191.14518780000003</v>
      </c>
    </row>
    <row r="14" spans="1:151" ht="12.75">
      <c r="A14" s="37">
        <v>43374</v>
      </c>
      <c r="D14" s="3">
        <v>1038966</v>
      </c>
      <c r="E14" s="35">
        <f t="shared" si="0"/>
        <v>1038966</v>
      </c>
      <c r="F14" s="35">
        <v>336483</v>
      </c>
      <c r="G14" s="35">
        <v>179766</v>
      </c>
      <c r="I14" s="47"/>
      <c r="J14" s="36">
        <f t="shared" si="1"/>
        <v>156595.03345200003</v>
      </c>
      <c r="K14" s="36">
        <f t="shared" si="2"/>
        <v>156595.03345200003</v>
      </c>
      <c r="L14" s="36">
        <f t="shared" si="3"/>
        <v>50715.390726000005</v>
      </c>
      <c r="M14" s="36">
        <f t="shared" si="3"/>
        <v>27094.691052000002</v>
      </c>
      <c r="P14" s="5">
        <f t="shared" si="4"/>
        <v>65095.7913504</v>
      </c>
      <c r="Q14" s="5">
        <f t="shared" si="5"/>
        <v>65095.7913504</v>
      </c>
      <c r="R14" s="35">
        <f t="shared" si="6"/>
        <v>21082.140475199998</v>
      </c>
      <c r="S14" s="35">
        <f t="shared" si="97"/>
        <v>11263.1308704</v>
      </c>
      <c r="V14" s="36">
        <f t="shared" si="7"/>
        <v>28.7793582</v>
      </c>
      <c r="W14" s="36">
        <f t="shared" si="8"/>
        <v>28.7793582</v>
      </c>
      <c r="X14" s="35">
        <f t="shared" si="9"/>
        <v>9.3205791</v>
      </c>
      <c r="Y14" s="35">
        <f t="shared" si="98"/>
        <v>4.9795182</v>
      </c>
      <c r="AB14" s="5">
        <f t="shared" si="10"/>
        <v>1288.6295298</v>
      </c>
      <c r="AC14" s="5">
        <f t="shared" si="11"/>
        <v>1288.6295298</v>
      </c>
      <c r="AD14" s="35">
        <f t="shared" si="12"/>
        <v>417.3398649</v>
      </c>
      <c r="AE14" s="35">
        <f t="shared" si="99"/>
        <v>222.9637698</v>
      </c>
      <c r="AH14" s="5">
        <f t="shared" si="13"/>
        <v>776.0037054</v>
      </c>
      <c r="AI14" s="5">
        <f t="shared" si="14"/>
        <v>776.0037054</v>
      </c>
      <c r="AJ14" s="35">
        <f t="shared" si="15"/>
        <v>251.3191527</v>
      </c>
      <c r="AK14" s="35">
        <f t="shared" si="100"/>
        <v>134.2672254</v>
      </c>
      <c r="AN14" s="5">
        <f t="shared" si="16"/>
        <v>5767.300266</v>
      </c>
      <c r="AO14" s="5">
        <f t="shared" si="17"/>
        <v>5767.300266</v>
      </c>
      <c r="AP14" s="35">
        <f t="shared" si="18"/>
        <v>1867.8171330000002</v>
      </c>
      <c r="AQ14" s="35">
        <f t="shared" si="101"/>
        <v>997.881066</v>
      </c>
      <c r="AT14" s="5">
        <f t="shared" si="19"/>
        <v>1787.2293132</v>
      </c>
      <c r="AU14" s="5">
        <f t="shared" si="20"/>
        <v>1787.2293132</v>
      </c>
      <c r="AV14" s="35">
        <f t="shared" si="21"/>
        <v>578.8180566</v>
      </c>
      <c r="AW14" s="35">
        <f t="shared" si="102"/>
        <v>309.2334732</v>
      </c>
      <c r="AZ14" s="5">
        <f t="shared" si="22"/>
        <v>3364.7952876</v>
      </c>
      <c r="BA14" s="5">
        <f t="shared" si="23"/>
        <v>3364.7952876</v>
      </c>
      <c r="BB14" s="35">
        <f t="shared" si="24"/>
        <v>1089.7338438</v>
      </c>
      <c r="BC14" s="35">
        <f t="shared" si="103"/>
        <v>582.1901676</v>
      </c>
      <c r="BF14" s="5">
        <f t="shared" si="25"/>
        <v>712.5228827999999</v>
      </c>
      <c r="BG14" s="5">
        <f t="shared" si="26"/>
        <v>712.5228827999999</v>
      </c>
      <c r="BH14" s="35">
        <f t="shared" si="27"/>
        <v>230.76004139999998</v>
      </c>
      <c r="BI14" s="35">
        <f t="shared" si="104"/>
        <v>123.2835228</v>
      </c>
      <c r="BL14" s="5">
        <f t="shared" si="28"/>
        <v>12704.7879378</v>
      </c>
      <c r="BM14" s="5">
        <f t="shared" si="29"/>
        <v>12704.7879378</v>
      </c>
      <c r="BN14" s="35">
        <f t="shared" si="30"/>
        <v>4114.6150689</v>
      </c>
      <c r="BO14" s="35">
        <f t="shared" si="105"/>
        <v>2198.2325778</v>
      </c>
      <c r="BQ14" s="36"/>
      <c r="BR14" s="5">
        <f t="shared" si="31"/>
        <v>5882.4176988</v>
      </c>
      <c r="BS14" s="36">
        <f t="shared" si="32"/>
        <v>5882.4176988</v>
      </c>
      <c r="BT14" s="35">
        <f t="shared" si="33"/>
        <v>1905.0994494</v>
      </c>
      <c r="BU14" s="35">
        <f t="shared" si="106"/>
        <v>1017.7991387999999</v>
      </c>
      <c r="BX14" s="5">
        <f t="shared" si="34"/>
        <v>2817.2602056</v>
      </c>
      <c r="BY14" s="5">
        <f t="shared" si="35"/>
        <v>2817.2602056</v>
      </c>
      <c r="BZ14" s="35">
        <f t="shared" si="36"/>
        <v>912.4073028</v>
      </c>
      <c r="CA14" s="35">
        <f t="shared" si="107"/>
        <v>487.4534856</v>
      </c>
      <c r="CC14" s="5">
        <f t="shared" si="37"/>
        <v>0</v>
      </c>
      <c r="CD14" s="5">
        <f t="shared" si="38"/>
        <v>415.6902966</v>
      </c>
      <c r="CE14" s="5">
        <f t="shared" si="39"/>
        <v>415.6902966</v>
      </c>
      <c r="CF14" s="35">
        <f t="shared" si="40"/>
        <v>134.6268483</v>
      </c>
      <c r="CG14" s="35">
        <f t="shared" si="108"/>
        <v>71.9243766</v>
      </c>
      <c r="CJ14" s="5">
        <f t="shared" si="41"/>
        <v>1843.0217874</v>
      </c>
      <c r="CK14" s="5">
        <f t="shared" si="42"/>
        <v>1843.0217874</v>
      </c>
      <c r="CL14" s="35">
        <f t="shared" si="43"/>
        <v>596.8871937</v>
      </c>
      <c r="CM14" s="35">
        <f t="shared" si="109"/>
        <v>318.8869074</v>
      </c>
      <c r="CP14" s="5">
        <f t="shared" si="44"/>
        <v>253.81939379999997</v>
      </c>
      <c r="CQ14" s="5">
        <f t="shared" si="45"/>
        <v>253.81939379999997</v>
      </c>
      <c r="CR14" s="35">
        <f t="shared" si="46"/>
        <v>82.2027969</v>
      </c>
      <c r="CS14" s="35">
        <f t="shared" si="110"/>
        <v>43.91683379999999</v>
      </c>
      <c r="CV14" s="5">
        <f t="shared" si="47"/>
        <v>5294.9863224</v>
      </c>
      <c r="CW14" s="5">
        <f t="shared" si="48"/>
        <v>5294.9863224</v>
      </c>
      <c r="CX14" s="35">
        <f t="shared" si="49"/>
        <v>1714.8519612</v>
      </c>
      <c r="CY14" s="35">
        <f t="shared" si="111"/>
        <v>916.1594424</v>
      </c>
      <c r="DB14" s="5">
        <f t="shared" si="50"/>
        <v>1025.6672351999998</v>
      </c>
      <c r="DC14" s="5">
        <f t="shared" si="51"/>
        <v>1025.6672351999998</v>
      </c>
      <c r="DD14" s="35">
        <f t="shared" si="52"/>
        <v>332.17601759999997</v>
      </c>
      <c r="DE14" s="35">
        <f t="shared" si="112"/>
        <v>177.46499519999998</v>
      </c>
      <c r="DH14" s="5">
        <f t="shared" si="53"/>
        <v>1356.9934925999999</v>
      </c>
      <c r="DI14" s="36">
        <f t="shared" si="54"/>
        <v>1356.9934925999999</v>
      </c>
      <c r="DJ14" s="35">
        <f t="shared" si="55"/>
        <v>439.4804463</v>
      </c>
      <c r="DK14" s="35">
        <f t="shared" si="113"/>
        <v>234.7923726</v>
      </c>
      <c r="DN14" s="5">
        <f t="shared" si="56"/>
        <v>4411.2418428</v>
      </c>
      <c r="DO14" s="36">
        <f t="shared" si="57"/>
        <v>4411.2418428</v>
      </c>
      <c r="DP14" s="35">
        <f t="shared" si="58"/>
        <v>1428.6395214</v>
      </c>
      <c r="DQ14" s="35">
        <f t="shared" si="114"/>
        <v>763.2504828</v>
      </c>
      <c r="DT14" s="5">
        <f t="shared" si="59"/>
        <v>2593.3630325999998</v>
      </c>
      <c r="DU14" s="5">
        <f t="shared" si="60"/>
        <v>2593.3630325999998</v>
      </c>
      <c r="DV14" s="35">
        <f t="shared" si="61"/>
        <v>839.8952162999999</v>
      </c>
      <c r="DW14" s="35">
        <f t="shared" si="115"/>
        <v>448.71391259999996</v>
      </c>
      <c r="DZ14" s="5">
        <f t="shared" si="62"/>
        <v>2927.4944981999997</v>
      </c>
      <c r="EA14" s="5">
        <f t="shared" si="63"/>
        <v>2927.4944981999997</v>
      </c>
      <c r="EB14" s="35">
        <f t="shared" si="64"/>
        <v>948.1081490999999</v>
      </c>
      <c r="EC14" s="35">
        <f t="shared" si="116"/>
        <v>506.5266582</v>
      </c>
      <c r="EF14" s="5">
        <f t="shared" si="65"/>
        <v>33894.4995078</v>
      </c>
      <c r="EG14" s="5">
        <f t="shared" si="66"/>
        <v>33894.4995078</v>
      </c>
      <c r="EH14" s="35">
        <f t="shared" si="67"/>
        <v>10977.1858539</v>
      </c>
      <c r="EI14" s="35">
        <f t="shared" si="117"/>
        <v>5864.5601478</v>
      </c>
      <c r="EL14" s="5">
        <f t="shared" si="68"/>
        <v>1248.0059592</v>
      </c>
      <c r="EM14" s="36">
        <f t="shared" si="69"/>
        <v>1248.0059592</v>
      </c>
      <c r="EN14" s="35">
        <f t="shared" si="70"/>
        <v>404.18337959999997</v>
      </c>
      <c r="EO14" s="35">
        <f t="shared" si="118"/>
        <v>215.9349192</v>
      </c>
      <c r="ER14" s="36">
        <f t="shared" si="71"/>
        <v>1104.7325478</v>
      </c>
      <c r="ES14" s="36">
        <f t="shared" si="72"/>
        <v>1104.7325478</v>
      </c>
      <c r="ET14" s="35">
        <f t="shared" si="73"/>
        <v>357.78237390000004</v>
      </c>
      <c r="EU14" s="35">
        <f t="shared" si="119"/>
        <v>191.14518780000003</v>
      </c>
    </row>
    <row r="15" spans="1:151" ht="12.75">
      <c r="A15" s="37">
        <v>43556</v>
      </c>
      <c r="C15" s="3">
        <v>10000</v>
      </c>
      <c r="D15" s="3">
        <v>1038966</v>
      </c>
      <c r="E15" s="35">
        <f t="shared" si="0"/>
        <v>1048966</v>
      </c>
      <c r="F15" s="35">
        <v>336483</v>
      </c>
      <c r="G15" s="35">
        <v>179766</v>
      </c>
      <c r="I15" s="47">
        <f t="shared" si="74"/>
        <v>1507.2199999999998</v>
      </c>
      <c r="J15" s="36">
        <f t="shared" si="1"/>
        <v>156595.03345200003</v>
      </c>
      <c r="K15" s="36">
        <f t="shared" si="2"/>
        <v>158102.25345200003</v>
      </c>
      <c r="L15" s="36">
        <f t="shared" si="3"/>
        <v>50715.390726000005</v>
      </c>
      <c r="M15" s="36">
        <f t="shared" si="3"/>
        <v>27094.691052000002</v>
      </c>
      <c r="O15" s="5">
        <f t="shared" si="75"/>
        <v>626.544</v>
      </c>
      <c r="P15" s="5">
        <f t="shared" si="4"/>
        <v>65095.7913504</v>
      </c>
      <c r="Q15" s="5">
        <f t="shared" si="5"/>
        <v>65722.3353504</v>
      </c>
      <c r="R15" s="35">
        <f t="shared" si="6"/>
        <v>21082.140475199998</v>
      </c>
      <c r="S15" s="35">
        <f t="shared" si="97"/>
        <v>11263.1308704</v>
      </c>
      <c r="U15" s="5">
        <f t="shared" si="76"/>
        <v>0.27699999999999997</v>
      </c>
      <c r="V15" s="36">
        <f t="shared" si="7"/>
        <v>28.7793582</v>
      </c>
      <c r="W15" s="36">
        <f t="shared" si="8"/>
        <v>29.056358200000002</v>
      </c>
      <c r="X15" s="35">
        <f t="shared" si="9"/>
        <v>9.3205791</v>
      </c>
      <c r="Y15" s="35">
        <f t="shared" si="98"/>
        <v>4.9795182</v>
      </c>
      <c r="AA15" s="5">
        <f t="shared" si="77"/>
        <v>12.402999999999999</v>
      </c>
      <c r="AB15" s="5">
        <f t="shared" si="10"/>
        <v>1288.6295298</v>
      </c>
      <c r="AC15" s="5">
        <f t="shared" si="11"/>
        <v>1301.0325298</v>
      </c>
      <c r="AD15" s="35">
        <f t="shared" si="12"/>
        <v>417.3398649</v>
      </c>
      <c r="AE15" s="35">
        <f t="shared" si="99"/>
        <v>222.9637698</v>
      </c>
      <c r="AG15" s="5">
        <f t="shared" si="78"/>
        <v>7.469</v>
      </c>
      <c r="AH15" s="5">
        <f t="shared" si="13"/>
        <v>776.0037054</v>
      </c>
      <c r="AI15" s="5">
        <f t="shared" si="14"/>
        <v>783.4727054</v>
      </c>
      <c r="AJ15" s="35">
        <f t="shared" si="15"/>
        <v>251.3191527</v>
      </c>
      <c r="AK15" s="35">
        <f t="shared" si="100"/>
        <v>134.2672254</v>
      </c>
      <c r="AM15" s="5">
        <f t="shared" si="79"/>
        <v>55.510000000000005</v>
      </c>
      <c r="AN15" s="5">
        <f t="shared" si="16"/>
        <v>5767.300266</v>
      </c>
      <c r="AO15" s="5">
        <f t="shared" si="17"/>
        <v>5822.810266</v>
      </c>
      <c r="AP15" s="35">
        <f t="shared" si="18"/>
        <v>1867.8171330000002</v>
      </c>
      <c r="AQ15" s="35">
        <f t="shared" si="101"/>
        <v>997.881066</v>
      </c>
      <c r="AS15" s="5">
        <f t="shared" si="80"/>
        <v>17.202</v>
      </c>
      <c r="AT15" s="5">
        <f t="shared" si="19"/>
        <v>1787.2293132</v>
      </c>
      <c r="AU15" s="5">
        <f t="shared" si="20"/>
        <v>1804.4313132</v>
      </c>
      <c r="AV15" s="35">
        <f t="shared" si="21"/>
        <v>578.8180566</v>
      </c>
      <c r="AW15" s="35">
        <f t="shared" si="102"/>
        <v>309.2334732</v>
      </c>
      <c r="AY15" s="5">
        <f t="shared" si="81"/>
        <v>32.385999999999996</v>
      </c>
      <c r="AZ15" s="5">
        <f t="shared" si="22"/>
        <v>3364.7952876</v>
      </c>
      <c r="BA15" s="5">
        <f t="shared" si="23"/>
        <v>3397.1812876</v>
      </c>
      <c r="BB15" s="35">
        <f t="shared" si="24"/>
        <v>1089.7338438</v>
      </c>
      <c r="BC15" s="35">
        <f t="shared" si="103"/>
        <v>582.1901676</v>
      </c>
      <c r="BE15" s="5">
        <f t="shared" si="82"/>
        <v>6.858</v>
      </c>
      <c r="BF15" s="5">
        <f t="shared" si="25"/>
        <v>712.5228827999999</v>
      </c>
      <c r="BG15" s="5">
        <f t="shared" si="26"/>
        <v>719.3808827999999</v>
      </c>
      <c r="BH15" s="35">
        <f t="shared" si="27"/>
        <v>230.76004139999998</v>
      </c>
      <c r="BI15" s="35">
        <f t="shared" si="104"/>
        <v>123.2835228</v>
      </c>
      <c r="BK15" s="5">
        <f t="shared" si="83"/>
        <v>122.28299999999999</v>
      </c>
      <c r="BL15" s="5">
        <f t="shared" si="28"/>
        <v>12704.7879378</v>
      </c>
      <c r="BM15" s="5">
        <f t="shared" si="29"/>
        <v>12827.0709378</v>
      </c>
      <c r="BN15" s="35">
        <f t="shared" si="30"/>
        <v>4114.6150689</v>
      </c>
      <c r="BO15" s="35">
        <f t="shared" si="105"/>
        <v>2198.2325778</v>
      </c>
      <c r="BQ15" s="36">
        <f t="shared" si="84"/>
        <v>56.617999999999995</v>
      </c>
      <c r="BR15" s="5">
        <f t="shared" si="31"/>
        <v>5882.4176988</v>
      </c>
      <c r="BS15" s="36">
        <f t="shared" si="32"/>
        <v>5939.0356988</v>
      </c>
      <c r="BT15" s="35">
        <f t="shared" si="33"/>
        <v>1905.0994494</v>
      </c>
      <c r="BU15" s="35">
        <f t="shared" si="106"/>
        <v>1017.7991387999999</v>
      </c>
      <c r="BW15" s="5">
        <f t="shared" si="85"/>
        <v>27.116000000000003</v>
      </c>
      <c r="BX15" s="5">
        <f t="shared" si="34"/>
        <v>2817.2602056</v>
      </c>
      <c r="BY15" s="5">
        <f t="shared" si="35"/>
        <v>2844.3762056</v>
      </c>
      <c r="BZ15" s="35">
        <f t="shared" si="36"/>
        <v>912.4073028</v>
      </c>
      <c r="CA15" s="35">
        <f t="shared" si="107"/>
        <v>487.4534856</v>
      </c>
      <c r="CC15" s="5">
        <f t="shared" si="37"/>
        <v>4.001</v>
      </c>
      <c r="CD15" s="5">
        <f t="shared" si="38"/>
        <v>415.6902966</v>
      </c>
      <c r="CE15" s="5">
        <f t="shared" si="39"/>
        <v>419.6912966</v>
      </c>
      <c r="CF15" s="35">
        <f t="shared" si="40"/>
        <v>134.6268483</v>
      </c>
      <c r="CG15" s="35">
        <f t="shared" si="108"/>
        <v>71.9243766</v>
      </c>
      <c r="CI15" s="5">
        <f t="shared" si="86"/>
        <v>17.739</v>
      </c>
      <c r="CJ15" s="5">
        <f t="shared" si="41"/>
        <v>1843.0217874</v>
      </c>
      <c r="CK15" s="5">
        <f t="shared" si="42"/>
        <v>1860.7607874</v>
      </c>
      <c r="CL15" s="35">
        <f t="shared" si="43"/>
        <v>596.8871937</v>
      </c>
      <c r="CM15" s="35">
        <f t="shared" si="109"/>
        <v>318.8869074</v>
      </c>
      <c r="CO15" s="5">
        <f t="shared" si="87"/>
        <v>2.4429999999999996</v>
      </c>
      <c r="CP15" s="5">
        <f t="shared" si="44"/>
        <v>253.81939379999997</v>
      </c>
      <c r="CQ15" s="5">
        <f t="shared" si="45"/>
        <v>256.2623938</v>
      </c>
      <c r="CR15" s="35">
        <f t="shared" si="46"/>
        <v>82.2027969</v>
      </c>
      <c r="CS15" s="35">
        <f t="shared" si="110"/>
        <v>43.91683379999999</v>
      </c>
      <c r="CU15" s="5">
        <f t="shared" si="88"/>
        <v>50.964</v>
      </c>
      <c r="CV15" s="5">
        <f t="shared" si="47"/>
        <v>5294.9863224</v>
      </c>
      <c r="CW15" s="5">
        <f t="shared" si="48"/>
        <v>5345.9503224</v>
      </c>
      <c r="CX15" s="35">
        <f t="shared" si="49"/>
        <v>1714.8519612</v>
      </c>
      <c r="CY15" s="35">
        <f t="shared" si="111"/>
        <v>916.1594424</v>
      </c>
      <c r="DA15" s="5">
        <f t="shared" si="89"/>
        <v>9.872</v>
      </c>
      <c r="DB15" s="5">
        <f t="shared" si="50"/>
        <v>1025.6672351999998</v>
      </c>
      <c r="DC15" s="5">
        <f t="shared" si="51"/>
        <v>1035.5392352</v>
      </c>
      <c r="DD15" s="35">
        <f t="shared" si="52"/>
        <v>332.17601759999997</v>
      </c>
      <c r="DE15" s="35">
        <f t="shared" si="112"/>
        <v>177.46499519999998</v>
      </c>
      <c r="DG15" s="5">
        <f t="shared" si="90"/>
        <v>13.061</v>
      </c>
      <c r="DH15" s="5">
        <f t="shared" si="53"/>
        <v>1356.9934925999999</v>
      </c>
      <c r="DI15" s="36">
        <f t="shared" si="54"/>
        <v>1370.0544925999998</v>
      </c>
      <c r="DJ15" s="35">
        <f t="shared" si="55"/>
        <v>439.4804463</v>
      </c>
      <c r="DK15" s="35">
        <f t="shared" si="113"/>
        <v>234.7923726</v>
      </c>
      <c r="DM15" s="5">
        <f t="shared" si="91"/>
        <v>42.458</v>
      </c>
      <c r="DN15" s="5">
        <f t="shared" si="56"/>
        <v>4411.2418428</v>
      </c>
      <c r="DO15" s="36">
        <f t="shared" si="57"/>
        <v>4453.6998428</v>
      </c>
      <c r="DP15" s="35">
        <f t="shared" si="58"/>
        <v>1428.6395214</v>
      </c>
      <c r="DQ15" s="35">
        <f t="shared" si="114"/>
        <v>763.2504828</v>
      </c>
      <c r="DS15" s="5">
        <f t="shared" si="92"/>
        <v>24.961</v>
      </c>
      <c r="DT15" s="5">
        <f t="shared" si="59"/>
        <v>2593.3630325999998</v>
      </c>
      <c r="DU15" s="5">
        <f t="shared" si="60"/>
        <v>2618.3240325999996</v>
      </c>
      <c r="DV15" s="35">
        <f t="shared" si="61"/>
        <v>839.8952162999999</v>
      </c>
      <c r="DW15" s="35">
        <f t="shared" si="115"/>
        <v>448.71391259999996</v>
      </c>
      <c r="DY15" s="5">
        <f t="shared" si="93"/>
        <v>28.177</v>
      </c>
      <c r="DZ15" s="5">
        <f t="shared" si="62"/>
        <v>2927.4944981999997</v>
      </c>
      <c r="EA15" s="5">
        <f t="shared" si="63"/>
        <v>2955.6714982</v>
      </c>
      <c r="EB15" s="35">
        <f t="shared" si="64"/>
        <v>948.1081490999999</v>
      </c>
      <c r="EC15" s="35">
        <f t="shared" si="116"/>
        <v>506.5266582</v>
      </c>
      <c r="EE15" s="5">
        <f t="shared" si="94"/>
        <v>326.233</v>
      </c>
      <c r="EF15" s="5">
        <f t="shared" si="65"/>
        <v>33894.4995078</v>
      </c>
      <c r="EG15" s="5">
        <f t="shared" si="66"/>
        <v>34220.7325078</v>
      </c>
      <c r="EH15" s="35">
        <f t="shared" si="67"/>
        <v>10977.1858539</v>
      </c>
      <c r="EI15" s="35">
        <f t="shared" si="117"/>
        <v>5864.5601478</v>
      </c>
      <c r="EK15" s="5">
        <f t="shared" si="95"/>
        <v>12.011999999999999</v>
      </c>
      <c r="EL15" s="5">
        <f t="shared" si="68"/>
        <v>1248.0059592</v>
      </c>
      <c r="EM15" s="36">
        <f t="shared" si="69"/>
        <v>1260.0179592</v>
      </c>
      <c r="EN15" s="35">
        <f t="shared" si="70"/>
        <v>404.18337959999997</v>
      </c>
      <c r="EO15" s="35">
        <f t="shared" si="118"/>
        <v>215.9349192</v>
      </c>
      <c r="EQ15" s="5">
        <f t="shared" si="96"/>
        <v>10.633000000000001</v>
      </c>
      <c r="ER15" s="36">
        <f t="shared" si="71"/>
        <v>1104.7325478</v>
      </c>
      <c r="ES15" s="36">
        <f t="shared" si="72"/>
        <v>1115.3655478</v>
      </c>
      <c r="ET15" s="35">
        <f t="shared" si="73"/>
        <v>357.78237390000004</v>
      </c>
      <c r="EU15" s="35">
        <f t="shared" si="119"/>
        <v>191.14518780000003</v>
      </c>
    </row>
    <row r="16" spans="1:151" ht="12.75">
      <c r="A16" s="37">
        <v>43739</v>
      </c>
      <c r="D16" s="3">
        <v>1038866</v>
      </c>
      <c r="E16" s="35">
        <f t="shared" si="0"/>
        <v>1038866</v>
      </c>
      <c r="F16" s="35">
        <v>336483</v>
      </c>
      <c r="G16" s="35">
        <v>179766</v>
      </c>
      <c r="I16" s="47"/>
      <c r="J16" s="36">
        <f t="shared" si="1"/>
        <v>156579.96125199998</v>
      </c>
      <c r="K16" s="36">
        <f t="shared" si="2"/>
        <v>156579.96125199998</v>
      </c>
      <c r="L16" s="36">
        <f t="shared" si="3"/>
        <v>50715.390726000005</v>
      </c>
      <c r="M16" s="36">
        <f t="shared" si="3"/>
        <v>27094.691052000002</v>
      </c>
      <c r="P16" s="5">
        <f t="shared" si="4"/>
        <v>65089.5259104</v>
      </c>
      <c r="Q16" s="5">
        <f t="shared" si="5"/>
        <v>65089.5259104</v>
      </c>
      <c r="R16" s="35">
        <f t="shared" si="6"/>
        <v>21082.140475199998</v>
      </c>
      <c r="S16" s="35">
        <f t="shared" si="97"/>
        <v>11263.1308704</v>
      </c>
      <c r="V16" s="36">
        <f t="shared" si="7"/>
        <v>28.7765882</v>
      </c>
      <c r="W16" s="36">
        <f t="shared" si="8"/>
        <v>28.7765882</v>
      </c>
      <c r="X16" s="35">
        <f t="shared" si="9"/>
        <v>9.3205791</v>
      </c>
      <c r="Y16" s="35">
        <f t="shared" si="98"/>
        <v>4.9795182</v>
      </c>
      <c r="AB16" s="5">
        <f t="shared" si="10"/>
        <v>1288.5054998</v>
      </c>
      <c r="AC16" s="5">
        <f t="shared" si="11"/>
        <v>1288.5054998</v>
      </c>
      <c r="AD16" s="35">
        <f t="shared" si="12"/>
        <v>417.3398649</v>
      </c>
      <c r="AE16" s="35">
        <f t="shared" si="99"/>
        <v>222.9637698</v>
      </c>
      <c r="AH16" s="5">
        <f t="shared" si="13"/>
        <v>775.9290154</v>
      </c>
      <c r="AI16" s="5">
        <f t="shared" si="14"/>
        <v>775.9290154</v>
      </c>
      <c r="AJ16" s="35">
        <f t="shared" si="15"/>
        <v>251.3191527</v>
      </c>
      <c r="AK16" s="35">
        <f t="shared" si="100"/>
        <v>134.2672254</v>
      </c>
      <c r="AN16" s="5">
        <f t="shared" si="16"/>
        <v>5766.745166000001</v>
      </c>
      <c r="AO16" s="5">
        <f t="shared" si="17"/>
        <v>5766.745166000001</v>
      </c>
      <c r="AP16" s="35">
        <f t="shared" si="18"/>
        <v>1867.8171330000002</v>
      </c>
      <c r="AQ16" s="35">
        <f t="shared" si="101"/>
        <v>997.881066</v>
      </c>
      <c r="AT16" s="5">
        <f t="shared" si="19"/>
        <v>1787.0572932</v>
      </c>
      <c r="AU16" s="5">
        <f t="shared" si="20"/>
        <v>1787.0572932</v>
      </c>
      <c r="AV16" s="35">
        <f t="shared" si="21"/>
        <v>578.8180566</v>
      </c>
      <c r="AW16" s="35">
        <f t="shared" si="102"/>
        <v>309.2334732</v>
      </c>
      <c r="AZ16" s="5">
        <f t="shared" si="22"/>
        <v>3364.4714276</v>
      </c>
      <c r="BA16" s="5">
        <f t="shared" si="23"/>
        <v>3364.4714276</v>
      </c>
      <c r="BB16" s="35">
        <f t="shared" si="24"/>
        <v>1089.7338438</v>
      </c>
      <c r="BC16" s="35">
        <f t="shared" si="103"/>
        <v>582.1901676</v>
      </c>
      <c r="BF16" s="5">
        <f t="shared" si="25"/>
        <v>712.4543027999999</v>
      </c>
      <c r="BG16" s="5">
        <f t="shared" si="26"/>
        <v>712.4543027999999</v>
      </c>
      <c r="BH16" s="35">
        <f t="shared" si="27"/>
        <v>230.76004139999998</v>
      </c>
      <c r="BI16" s="35">
        <f t="shared" si="104"/>
        <v>123.2835228</v>
      </c>
      <c r="BL16" s="5">
        <f t="shared" si="28"/>
        <v>12703.5651078</v>
      </c>
      <c r="BM16" s="5">
        <f t="shared" si="29"/>
        <v>12703.5651078</v>
      </c>
      <c r="BN16" s="35">
        <f t="shared" si="30"/>
        <v>4114.6150689</v>
      </c>
      <c r="BO16" s="35">
        <f t="shared" si="105"/>
        <v>2198.2325778</v>
      </c>
      <c r="BQ16" s="36"/>
      <c r="BR16" s="5">
        <f t="shared" si="31"/>
        <v>5881.8515188</v>
      </c>
      <c r="BS16" s="36">
        <f t="shared" si="32"/>
        <v>5881.8515188</v>
      </c>
      <c r="BT16" s="35">
        <f t="shared" si="33"/>
        <v>1905.0994494</v>
      </c>
      <c r="BU16" s="35">
        <f t="shared" si="106"/>
        <v>1017.7991387999999</v>
      </c>
      <c r="BX16" s="5">
        <f t="shared" si="34"/>
        <v>2816.9890456000003</v>
      </c>
      <c r="BY16" s="5">
        <f t="shared" si="35"/>
        <v>2816.9890456000003</v>
      </c>
      <c r="BZ16" s="35">
        <f t="shared" si="36"/>
        <v>912.4073028</v>
      </c>
      <c r="CA16" s="35">
        <f t="shared" si="107"/>
        <v>487.4534856</v>
      </c>
      <c r="CC16" s="5">
        <f t="shared" si="37"/>
        <v>0</v>
      </c>
      <c r="CD16" s="5">
        <f t="shared" si="38"/>
        <v>415.6502866</v>
      </c>
      <c r="CE16" s="5">
        <f t="shared" si="39"/>
        <v>415.6502866</v>
      </c>
      <c r="CF16" s="35">
        <f t="shared" si="40"/>
        <v>134.6268483</v>
      </c>
      <c r="CG16" s="35">
        <f t="shared" si="108"/>
        <v>71.9243766</v>
      </c>
      <c r="CJ16" s="5">
        <f t="shared" si="41"/>
        <v>1842.8443974</v>
      </c>
      <c r="CK16" s="5">
        <f t="shared" si="42"/>
        <v>1842.8443974</v>
      </c>
      <c r="CL16" s="35">
        <f t="shared" si="43"/>
        <v>596.8871937</v>
      </c>
      <c r="CM16" s="35">
        <f t="shared" si="109"/>
        <v>318.8869074</v>
      </c>
      <c r="CP16" s="5">
        <f t="shared" si="44"/>
        <v>253.79496379999998</v>
      </c>
      <c r="CQ16" s="5">
        <f t="shared" si="45"/>
        <v>253.79496379999998</v>
      </c>
      <c r="CR16" s="35">
        <f t="shared" si="46"/>
        <v>82.2027969</v>
      </c>
      <c r="CS16" s="35">
        <f t="shared" si="110"/>
        <v>43.91683379999999</v>
      </c>
      <c r="CV16" s="5">
        <f t="shared" si="47"/>
        <v>5294.4766824</v>
      </c>
      <c r="CW16" s="5">
        <f t="shared" si="48"/>
        <v>5294.4766824</v>
      </c>
      <c r="CX16" s="35">
        <f t="shared" si="49"/>
        <v>1714.8519612</v>
      </c>
      <c r="CY16" s="35">
        <f t="shared" si="111"/>
        <v>916.1594424</v>
      </c>
      <c r="DB16" s="5">
        <f t="shared" si="50"/>
        <v>1025.5685151999999</v>
      </c>
      <c r="DC16" s="5">
        <f t="shared" si="51"/>
        <v>1025.5685151999999</v>
      </c>
      <c r="DD16" s="35">
        <f t="shared" si="52"/>
        <v>332.17601759999997</v>
      </c>
      <c r="DE16" s="35">
        <f t="shared" si="112"/>
        <v>177.46499519999998</v>
      </c>
      <c r="DH16" s="5">
        <f t="shared" si="53"/>
        <v>1356.8628826</v>
      </c>
      <c r="DI16" s="36">
        <f t="shared" si="54"/>
        <v>1356.8628826</v>
      </c>
      <c r="DJ16" s="35">
        <f t="shared" si="55"/>
        <v>439.4804463</v>
      </c>
      <c r="DK16" s="35">
        <f t="shared" si="113"/>
        <v>234.7923726</v>
      </c>
      <c r="DN16" s="5">
        <f t="shared" si="56"/>
        <v>4410.8172628</v>
      </c>
      <c r="DO16" s="36">
        <f t="shared" si="57"/>
        <v>4410.8172628</v>
      </c>
      <c r="DP16" s="35">
        <f t="shared" si="58"/>
        <v>1428.6395214</v>
      </c>
      <c r="DQ16" s="35">
        <f t="shared" si="114"/>
        <v>763.2504828</v>
      </c>
      <c r="DT16" s="5">
        <f t="shared" si="59"/>
        <v>2593.1134226</v>
      </c>
      <c r="DU16" s="5">
        <f t="shared" si="60"/>
        <v>2593.1134226</v>
      </c>
      <c r="DV16" s="35">
        <f t="shared" si="61"/>
        <v>839.8952162999999</v>
      </c>
      <c r="DW16" s="35">
        <f t="shared" si="115"/>
        <v>448.71391259999996</v>
      </c>
      <c r="DZ16" s="5">
        <f t="shared" si="62"/>
        <v>2927.2127281999997</v>
      </c>
      <c r="EA16" s="5">
        <f t="shared" si="63"/>
        <v>2927.2127281999997</v>
      </c>
      <c r="EB16" s="35">
        <f t="shared" si="64"/>
        <v>948.1081490999999</v>
      </c>
      <c r="EC16" s="35">
        <f t="shared" si="116"/>
        <v>506.5266582</v>
      </c>
      <c r="EF16" s="5">
        <f t="shared" si="65"/>
        <v>33891.2371778</v>
      </c>
      <c r="EG16" s="5">
        <f t="shared" si="66"/>
        <v>33891.2371778</v>
      </c>
      <c r="EH16" s="35">
        <f t="shared" si="67"/>
        <v>10977.1858539</v>
      </c>
      <c r="EI16" s="35">
        <f t="shared" si="117"/>
        <v>5864.5601478</v>
      </c>
      <c r="EL16" s="5">
        <f t="shared" si="68"/>
        <v>1247.8858392</v>
      </c>
      <c r="EM16" s="36">
        <f t="shared" si="69"/>
        <v>1247.8858392</v>
      </c>
      <c r="EN16" s="35">
        <f t="shared" si="70"/>
        <v>404.18337959999997</v>
      </c>
      <c r="EO16" s="35">
        <f t="shared" si="118"/>
        <v>215.9349192</v>
      </c>
      <c r="ER16" s="36">
        <f t="shared" si="71"/>
        <v>1104.6262178000002</v>
      </c>
      <c r="ES16" s="36">
        <f t="shared" si="72"/>
        <v>1104.6262178000002</v>
      </c>
      <c r="ET16" s="35">
        <f t="shared" si="73"/>
        <v>357.78237390000004</v>
      </c>
      <c r="EU16" s="35">
        <f t="shared" si="119"/>
        <v>191.14518780000003</v>
      </c>
    </row>
    <row r="17" spans="1:152" ht="12.75">
      <c r="A17" s="37">
        <v>43922</v>
      </c>
      <c r="C17" s="3">
        <v>0</v>
      </c>
      <c r="D17" s="3">
        <v>1038866</v>
      </c>
      <c r="E17" s="35">
        <f t="shared" si="0"/>
        <v>1038866</v>
      </c>
      <c r="F17" s="35">
        <v>336483</v>
      </c>
      <c r="G17" s="35">
        <v>179766</v>
      </c>
      <c r="I17" s="47">
        <f t="shared" si="74"/>
        <v>0</v>
      </c>
      <c r="J17" s="36">
        <f t="shared" si="1"/>
        <v>156579.96125199998</v>
      </c>
      <c r="K17" s="36">
        <f t="shared" si="2"/>
        <v>156579.96125199998</v>
      </c>
      <c r="L17" s="36">
        <f t="shared" si="3"/>
        <v>50715.390726000005</v>
      </c>
      <c r="M17" s="36">
        <f t="shared" si="3"/>
        <v>27094.691052000002</v>
      </c>
      <c r="O17" s="5">
        <f t="shared" si="75"/>
        <v>0</v>
      </c>
      <c r="P17" s="5">
        <f t="shared" si="4"/>
        <v>65089.5259104</v>
      </c>
      <c r="Q17" s="5">
        <f t="shared" si="5"/>
        <v>65089.5259104</v>
      </c>
      <c r="R17" s="35">
        <f t="shared" si="6"/>
        <v>21082.140475199998</v>
      </c>
      <c r="S17" s="35">
        <f t="shared" si="97"/>
        <v>11263.1308704</v>
      </c>
      <c r="U17" s="5">
        <f t="shared" si="76"/>
        <v>0</v>
      </c>
      <c r="V17" s="36">
        <f t="shared" si="7"/>
        <v>28.7765882</v>
      </c>
      <c r="W17" s="36">
        <f t="shared" si="8"/>
        <v>28.7765882</v>
      </c>
      <c r="X17" s="35">
        <f t="shared" si="9"/>
        <v>9.3205791</v>
      </c>
      <c r="Y17" s="35">
        <f t="shared" si="98"/>
        <v>4.9795182</v>
      </c>
      <c r="AA17" s="5">
        <f t="shared" si="77"/>
        <v>0</v>
      </c>
      <c r="AB17" s="5">
        <f t="shared" si="10"/>
        <v>1288.5054998</v>
      </c>
      <c r="AC17" s="5">
        <f t="shared" si="11"/>
        <v>1288.5054998</v>
      </c>
      <c r="AD17" s="35">
        <f t="shared" si="12"/>
        <v>417.3398649</v>
      </c>
      <c r="AE17" s="35">
        <f t="shared" si="99"/>
        <v>222.9637698</v>
      </c>
      <c r="AG17" s="5">
        <f t="shared" si="78"/>
        <v>0</v>
      </c>
      <c r="AH17" s="5">
        <f t="shared" si="13"/>
        <v>775.9290154</v>
      </c>
      <c r="AI17" s="5">
        <f t="shared" si="14"/>
        <v>775.9290154</v>
      </c>
      <c r="AJ17" s="35">
        <f t="shared" si="15"/>
        <v>251.3191527</v>
      </c>
      <c r="AK17" s="35">
        <f t="shared" si="100"/>
        <v>134.2672254</v>
      </c>
      <c r="AM17" s="5">
        <f t="shared" si="79"/>
        <v>0</v>
      </c>
      <c r="AN17" s="5">
        <f t="shared" si="16"/>
        <v>5766.745166000001</v>
      </c>
      <c r="AO17" s="5">
        <f t="shared" si="17"/>
        <v>5766.745166000001</v>
      </c>
      <c r="AP17" s="35">
        <f t="shared" si="18"/>
        <v>1867.8171330000002</v>
      </c>
      <c r="AQ17" s="35">
        <f t="shared" si="101"/>
        <v>997.881066</v>
      </c>
      <c r="AS17" s="5">
        <f t="shared" si="80"/>
        <v>0</v>
      </c>
      <c r="AT17" s="5">
        <f t="shared" si="19"/>
        <v>1787.0572932</v>
      </c>
      <c r="AU17" s="5">
        <f t="shared" si="20"/>
        <v>1787.0572932</v>
      </c>
      <c r="AV17" s="35">
        <f t="shared" si="21"/>
        <v>578.8180566</v>
      </c>
      <c r="AW17" s="35">
        <f t="shared" si="102"/>
        <v>309.2334732</v>
      </c>
      <c r="AY17" s="5">
        <f t="shared" si="81"/>
        <v>0</v>
      </c>
      <c r="AZ17" s="5">
        <f t="shared" si="22"/>
        <v>3364.4714276</v>
      </c>
      <c r="BA17" s="5">
        <f t="shared" si="23"/>
        <v>3364.4714276</v>
      </c>
      <c r="BB17" s="35">
        <f t="shared" si="24"/>
        <v>1089.7338438</v>
      </c>
      <c r="BC17" s="35">
        <f t="shared" si="103"/>
        <v>582.1901676</v>
      </c>
      <c r="BE17" s="5">
        <f t="shared" si="82"/>
        <v>0</v>
      </c>
      <c r="BF17" s="5">
        <f t="shared" si="25"/>
        <v>712.4543027999999</v>
      </c>
      <c r="BG17" s="5">
        <f t="shared" si="26"/>
        <v>712.4543027999999</v>
      </c>
      <c r="BH17" s="35">
        <f t="shared" si="27"/>
        <v>230.76004139999998</v>
      </c>
      <c r="BI17" s="35">
        <f t="shared" si="104"/>
        <v>123.2835228</v>
      </c>
      <c r="BK17" s="5">
        <f t="shared" si="83"/>
        <v>0</v>
      </c>
      <c r="BL17" s="5">
        <f t="shared" si="28"/>
        <v>12703.5651078</v>
      </c>
      <c r="BM17" s="5">
        <f t="shared" si="29"/>
        <v>12703.5651078</v>
      </c>
      <c r="BN17" s="35">
        <f t="shared" si="30"/>
        <v>4114.6150689</v>
      </c>
      <c r="BO17" s="35">
        <f t="shared" si="105"/>
        <v>2198.2325778</v>
      </c>
      <c r="BQ17" s="36">
        <f t="shared" si="84"/>
        <v>0</v>
      </c>
      <c r="BR17" s="5">
        <f t="shared" si="31"/>
        <v>5881.8515188</v>
      </c>
      <c r="BS17" s="36">
        <f t="shared" si="32"/>
        <v>5881.8515188</v>
      </c>
      <c r="BT17" s="35">
        <f t="shared" si="33"/>
        <v>1905.0994494</v>
      </c>
      <c r="BU17" s="35">
        <f t="shared" si="106"/>
        <v>1017.7991387999999</v>
      </c>
      <c r="BW17" s="5">
        <f t="shared" si="85"/>
        <v>0</v>
      </c>
      <c r="BX17" s="5">
        <f t="shared" si="34"/>
        <v>2816.9890456000003</v>
      </c>
      <c r="BY17" s="5">
        <f t="shared" si="35"/>
        <v>2816.9890456000003</v>
      </c>
      <c r="BZ17" s="35">
        <f t="shared" si="36"/>
        <v>912.4073028</v>
      </c>
      <c r="CA17" s="35">
        <f t="shared" si="107"/>
        <v>487.4534856</v>
      </c>
      <c r="CC17" s="5">
        <f t="shared" si="37"/>
        <v>0</v>
      </c>
      <c r="CD17" s="5">
        <f t="shared" si="38"/>
        <v>415.6502866</v>
      </c>
      <c r="CE17" s="5">
        <f t="shared" si="39"/>
        <v>415.6502866</v>
      </c>
      <c r="CF17" s="35">
        <f t="shared" si="40"/>
        <v>134.6268483</v>
      </c>
      <c r="CG17" s="35">
        <f t="shared" si="108"/>
        <v>71.9243766</v>
      </c>
      <c r="CI17" s="5">
        <f t="shared" si="86"/>
        <v>0</v>
      </c>
      <c r="CJ17" s="5">
        <f t="shared" si="41"/>
        <v>1842.8443974</v>
      </c>
      <c r="CK17" s="5">
        <f t="shared" si="42"/>
        <v>1842.8443974</v>
      </c>
      <c r="CL17" s="35">
        <f t="shared" si="43"/>
        <v>596.8871937</v>
      </c>
      <c r="CM17" s="35">
        <f t="shared" si="109"/>
        <v>318.8869074</v>
      </c>
      <c r="CO17" s="5">
        <f t="shared" si="87"/>
        <v>0</v>
      </c>
      <c r="CP17" s="5">
        <f t="shared" si="44"/>
        <v>253.79496379999998</v>
      </c>
      <c r="CQ17" s="5">
        <f t="shared" si="45"/>
        <v>253.79496379999998</v>
      </c>
      <c r="CR17" s="35">
        <f t="shared" si="46"/>
        <v>82.2027969</v>
      </c>
      <c r="CS17" s="35">
        <f t="shared" si="110"/>
        <v>43.91683379999999</v>
      </c>
      <c r="CU17" s="5">
        <f t="shared" si="88"/>
        <v>0</v>
      </c>
      <c r="CV17" s="5">
        <f t="shared" si="47"/>
        <v>5294.4766824</v>
      </c>
      <c r="CW17" s="5">
        <f t="shared" si="48"/>
        <v>5294.4766824</v>
      </c>
      <c r="CX17" s="35">
        <f t="shared" si="49"/>
        <v>1714.8519612</v>
      </c>
      <c r="CY17" s="35">
        <f t="shared" si="111"/>
        <v>916.1594424</v>
      </c>
      <c r="DA17" s="5">
        <f t="shared" si="89"/>
        <v>0</v>
      </c>
      <c r="DB17" s="5">
        <f t="shared" si="50"/>
        <v>1025.5685151999999</v>
      </c>
      <c r="DC17" s="5">
        <f t="shared" si="51"/>
        <v>1025.5685151999999</v>
      </c>
      <c r="DD17" s="35">
        <f t="shared" si="52"/>
        <v>332.17601759999997</v>
      </c>
      <c r="DE17" s="35">
        <f t="shared" si="112"/>
        <v>177.46499519999998</v>
      </c>
      <c r="DG17" s="5">
        <f t="shared" si="90"/>
        <v>0</v>
      </c>
      <c r="DH17" s="5">
        <f t="shared" si="53"/>
        <v>1356.8628826</v>
      </c>
      <c r="DI17" s="36">
        <f t="shared" si="54"/>
        <v>1356.8628826</v>
      </c>
      <c r="DJ17" s="35">
        <f t="shared" si="55"/>
        <v>439.4804463</v>
      </c>
      <c r="DK17" s="35">
        <f t="shared" si="113"/>
        <v>234.7923726</v>
      </c>
      <c r="DM17" s="5">
        <f t="shared" si="91"/>
        <v>0</v>
      </c>
      <c r="DN17" s="5">
        <f t="shared" si="56"/>
        <v>4410.8172628</v>
      </c>
      <c r="DO17" s="36">
        <f t="shared" si="57"/>
        <v>4410.8172628</v>
      </c>
      <c r="DP17" s="35">
        <f t="shared" si="58"/>
        <v>1428.6395214</v>
      </c>
      <c r="DQ17" s="35">
        <f t="shared" si="114"/>
        <v>763.2504828</v>
      </c>
      <c r="DS17" s="5">
        <f t="shared" si="92"/>
        <v>0</v>
      </c>
      <c r="DT17" s="5">
        <f t="shared" si="59"/>
        <v>2593.1134226</v>
      </c>
      <c r="DU17" s="5">
        <f t="shared" si="60"/>
        <v>2593.1134226</v>
      </c>
      <c r="DV17" s="35">
        <f t="shared" si="61"/>
        <v>839.8952162999999</v>
      </c>
      <c r="DW17" s="35">
        <f t="shared" si="115"/>
        <v>448.71391259999996</v>
      </c>
      <c r="DY17" s="5">
        <f t="shared" si="93"/>
        <v>0</v>
      </c>
      <c r="DZ17" s="5">
        <f t="shared" si="62"/>
        <v>2927.2127281999997</v>
      </c>
      <c r="EA17" s="5">
        <f t="shared" si="63"/>
        <v>2927.2127281999997</v>
      </c>
      <c r="EB17" s="35">
        <f t="shared" si="64"/>
        <v>948.1081490999999</v>
      </c>
      <c r="EC17" s="35">
        <f t="shared" si="116"/>
        <v>506.5266582</v>
      </c>
      <c r="EE17" s="5">
        <f t="shared" si="94"/>
        <v>0</v>
      </c>
      <c r="EF17" s="5">
        <f t="shared" si="65"/>
        <v>33891.2371778</v>
      </c>
      <c r="EG17" s="5">
        <f t="shared" si="66"/>
        <v>33891.2371778</v>
      </c>
      <c r="EH17" s="35">
        <f t="shared" si="67"/>
        <v>10977.1858539</v>
      </c>
      <c r="EI17" s="35">
        <f t="shared" si="117"/>
        <v>5864.5601478</v>
      </c>
      <c r="EK17" s="5">
        <f t="shared" si="95"/>
        <v>0</v>
      </c>
      <c r="EL17" s="5">
        <f t="shared" si="68"/>
        <v>1247.8858392</v>
      </c>
      <c r="EM17" s="36">
        <f t="shared" si="69"/>
        <v>1247.8858392</v>
      </c>
      <c r="EN17" s="35">
        <f t="shared" si="70"/>
        <v>404.18337959999997</v>
      </c>
      <c r="EO17" s="35">
        <f t="shared" si="118"/>
        <v>215.9349192</v>
      </c>
      <c r="EQ17" s="5">
        <f t="shared" si="96"/>
        <v>0</v>
      </c>
      <c r="ER17" s="36">
        <f t="shared" si="71"/>
        <v>1104.6262178000002</v>
      </c>
      <c r="ES17" s="36">
        <f t="shared" si="72"/>
        <v>1104.6262178000002</v>
      </c>
      <c r="ET17" s="35">
        <f t="shared" si="73"/>
        <v>357.78237390000004</v>
      </c>
      <c r="EU17" s="35">
        <f t="shared" si="119"/>
        <v>191.14518780000003</v>
      </c>
      <c r="EV17"/>
    </row>
    <row r="18" spans="1:152" ht="12.75">
      <c r="A18" s="37">
        <v>44105</v>
      </c>
      <c r="D18" s="3">
        <v>1038866</v>
      </c>
      <c r="E18" s="35">
        <f t="shared" si="0"/>
        <v>1038866</v>
      </c>
      <c r="F18" s="35">
        <v>336483</v>
      </c>
      <c r="G18" s="35">
        <v>179766</v>
      </c>
      <c r="I18" s="47"/>
      <c r="J18" s="36">
        <f t="shared" si="1"/>
        <v>156579.96125199998</v>
      </c>
      <c r="K18" s="36">
        <f t="shared" si="2"/>
        <v>156579.96125199998</v>
      </c>
      <c r="L18" s="36">
        <f t="shared" si="3"/>
        <v>50715.390726000005</v>
      </c>
      <c r="M18" s="36">
        <f t="shared" si="3"/>
        <v>27094.691052000002</v>
      </c>
      <c r="P18" s="5">
        <f t="shared" si="4"/>
        <v>65089.5259104</v>
      </c>
      <c r="Q18" s="5">
        <f t="shared" si="5"/>
        <v>65089.5259104</v>
      </c>
      <c r="R18" s="35">
        <f t="shared" si="6"/>
        <v>21082.140475199998</v>
      </c>
      <c r="S18" s="35">
        <f t="shared" si="97"/>
        <v>11263.1308704</v>
      </c>
      <c r="V18" s="36">
        <f t="shared" si="7"/>
        <v>28.7765882</v>
      </c>
      <c r="W18" s="36">
        <f t="shared" si="8"/>
        <v>28.7765882</v>
      </c>
      <c r="X18" s="35">
        <f t="shared" si="9"/>
        <v>9.3205791</v>
      </c>
      <c r="Y18" s="35">
        <f t="shared" si="98"/>
        <v>4.9795182</v>
      </c>
      <c r="AB18" s="5">
        <f t="shared" si="10"/>
        <v>1288.5054998</v>
      </c>
      <c r="AC18" s="5">
        <f t="shared" si="11"/>
        <v>1288.5054998</v>
      </c>
      <c r="AD18" s="35">
        <f t="shared" si="12"/>
        <v>417.3398649</v>
      </c>
      <c r="AE18" s="35">
        <f t="shared" si="99"/>
        <v>222.9637698</v>
      </c>
      <c r="AH18" s="5">
        <f t="shared" si="13"/>
        <v>775.9290154</v>
      </c>
      <c r="AI18" s="5">
        <f t="shared" si="14"/>
        <v>775.9290154</v>
      </c>
      <c r="AJ18" s="35">
        <f t="shared" si="15"/>
        <v>251.3191527</v>
      </c>
      <c r="AK18" s="35">
        <f t="shared" si="100"/>
        <v>134.2672254</v>
      </c>
      <c r="AN18" s="5">
        <f t="shared" si="16"/>
        <v>5766.745166000001</v>
      </c>
      <c r="AO18" s="5">
        <f t="shared" si="17"/>
        <v>5766.745166000001</v>
      </c>
      <c r="AP18" s="35">
        <f t="shared" si="18"/>
        <v>1867.8171330000002</v>
      </c>
      <c r="AQ18" s="35">
        <f t="shared" si="101"/>
        <v>997.881066</v>
      </c>
      <c r="AT18" s="5">
        <f t="shared" si="19"/>
        <v>1787.0572932</v>
      </c>
      <c r="AU18" s="5">
        <f t="shared" si="20"/>
        <v>1787.0572932</v>
      </c>
      <c r="AV18" s="35">
        <f t="shared" si="21"/>
        <v>578.8180566</v>
      </c>
      <c r="AW18" s="35">
        <f t="shared" si="102"/>
        <v>309.2334732</v>
      </c>
      <c r="AZ18" s="5">
        <f t="shared" si="22"/>
        <v>3364.4714276</v>
      </c>
      <c r="BA18" s="5">
        <f t="shared" si="23"/>
        <v>3364.4714276</v>
      </c>
      <c r="BB18" s="35">
        <f t="shared" si="24"/>
        <v>1089.7338438</v>
      </c>
      <c r="BC18" s="35">
        <f t="shared" si="103"/>
        <v>582.1901676</v>
      </c>
      <c r="BF18" s="5">
        <f t="shared" si="25"/>
        <v>712.4543027999999</v>
      </c>
      <c r="BG18" s="5">
        <f t="shared" si="26"/>
        <v>712.4543027999999</v>
      </c>
      <c r="BH18" s="35">
        <f t="shared" si="27"/>
        <v>230.76004139999998</v>
      </c>
      <c r="BI18" s="35">
        <f t="shared" si="104"/>
        <v>123.2835228</v>
      </c>
      <c r="BL18" s="5">
        <f t="shared" si="28"/>
        <v>12703.5651078</v>
      </c>
      <c r="BM18" s="5">
        <f t="shared" si="29"/>
        <v>12703.5651078</v>
      </c>
      <c r="BN18" s="35">
        <f t="shared" si="30"/>
        <v>4114.6150689</v>
      </c>
      <c r="BO18" s="35">
        <f t="shared" si="105"/>
        <v>2198.2325778</v>
      </c>
      <c r="BQ18" s="36"/>
      <c r="BR18" s="5">
        <f t="shared" si="31"/>
        <v>5881.8515188</v>
      </c>
      <c r="BS18" s="36">
        <f t="shared" si="32"/>
        <v>5881.8515188</v>
      </c>
      <c r="BT18" s="35">
        <f t="shared" si="33"/>
        <v>1905.0994494</v>
      </c>
      <c r="BU18" s="35">
        <f t="shared" si="106"/>
        <v>1017.7991387999999</v>
      </c>
      <c r="BX18" s="5">
        <f t="shared" si="34"/>
        <v>2816.9890456000003</v>
      </c>
      <c r="BY18" s="5">
        <f t="shared" si="35"/>
        <v>2816.9890456000003</v>
      </c>
      <c r="BZ18" s="35">
        <f t="shared" si="36"/>
        <v>912.4073028</v>
      </c>
      <c r="CA18" s="35">
        <f t="shared" si="107"/>
        <v>487.4534856</v>
      </c>
      <c r="CC18" s="5">
        <f t="shared" si="37"/>
        <v>0</v>
      </c>
      <c r="CD18" s="5">
        <f t="shared" si="38"/>
        <v>415.6502866</v>
      </c>
      <c r="CE18" s="5">
        <f t="shared" si="39"/>
        <v>415.6502866</v>
      </c>
      <c r="CF18" s="35">
        <f t="shared" si="40"/>
        <v>134.6268483</v>
      </c>
      <c r="CG18" s="35">
        <f t="shared" si="108"/>
        <v>71.9243766</v>
      </c>
      <c r="CJ18" s="5">
        <f t="shared" si="41"/>
        <v>1842.8443974</v>
      </c>
      <c r="CK18" s="5">
        <f t="shared" si="42"/>
        <v>1842.8443974</v>
      </c>
      <c r="CL18" s="35">
        <f t="shared" si="43"/>
        <v>596.8871937</v>
      </c>
      <c r="CM18" s="35">
        <f t="shared" si="109"/>
        <v>318.8869074</v>
      </c>
      <c r="CP18" s="5">
        <f t="shared" si="44"/>
        <v>253.79496379999998</v>
      </c>
      <c r="CQ18" s="5">
        <f t="shared" si="45"/>
        <v>253.79496379999998</v>
      </c>
      <c r="CR18" s="35">
        <f t="shared" si="46"/>
        <v>82.2027969</v>
      </c>
      <c r="CS18" s="35">
        <f t="shared" si="110"/>
        <v>43.91683379999999</v>
      </c>
      <c r="CV18" s="5">
        <f t="shared" si="47"/>
        <v>5294.4766824</v>
      </c>
      <c r="CW18" s="5">
        <f t="shared" si="48"/>
        <v>5294.4766824</v>
      </c>
      <c r="CX18" s="35">
        <f t="shared" si="49"/>
        <v>1714.8519612</v>
      </c>
      <c r="CY18" s="35">
        <f t="shared" si="111"/>
        <v>916.1594424</v>
      </c>
      <c r="DB18" s="5">
        <f t="shared" si="50"/>
        <v>1025.5685151999999</v>
      </c>
      <c r="DC18" s="5">
        <f t="shared" si="51"/>
        <v>1025.5685151999999</v>
      </c>
      <c r="DD18" s="35">
        <f t="shared" si="52"/>
        <v>332.17601759999997</v>
      </c>
      <c r="DE18" s="35">
        <f t="shared" si="112"/>
        <v>177.46499519999998</v>
      </c>
      <c r="DH18" s="5">
        <f t="shared" si="53"/>
        <v>1356.8628826</v>
      </c>
      <c r="DI18" s="36">
        <f t="shared" si="54"/>
        <v>1356.8628826</v>
      </c>
      <c r="DJ18" s="35">
        <f t="shared" si="55"/>
        <v>439.4804463</v>
      </c>
      <c r="DK18" s="35">
        <f t="shared" si="113"/>
        <v>234.7923726</v>
      </c>
      <c r="DN18" s="5">
        <f t="shared" si="56"/>
        <v>4410.8172628</v>
      </c>
      <c r="DO18" s="36">
        <f t="shared" si="57"/>
        <v>4410.8172628</v>
      </c>
      <c r="DP18" s="35">
        <f t="shared" si="58"/>
        <v>1428.6395214</v>
      </c>
      <c r="DQ18" s="35">
        <f t="shared" si="114"/>
        <v>763.2504828</v>
      </c>
      <c r="DT18" s="5">
        <f t="shared" si="59"/>
        <v>2593.1134226</v>
      </c>
      <c r="DU18" s="5">
        <f t="shared" si="60"/>
        <v>2593.1134226</v>
      </c>
      <c r="DV18" s="35">
        <f t="shared" si="61"/>
        <v>839.8952162999999</v>
      </c>
      <c r="DW18" s="35">
        <f t="shared" si="115"/>
        <v>448.71391259999996</v>
      </c>
      <c r="DZ18" s="5">
        <f t="shared" si="62"/>
        <v>2927.2127281999997</v>
      </c>
      <c r="EA18" s="5">
        <f t="shared" si="63"/>
        <v>2927.2127281999997</v>
      </c>
      <c r="EB18" s="35">
        <f t="shared" si="64"/>
        <v>948.1081490999999</v>
      </c>
      <c r="EC18" s="35">
        <f t="shared" si="116"/>
        <v>506.5266582</v>
      </c>
      <c r="EF18" s="5">
        <f t="shared" si="65"/>
        <v>33891.2371778</v>
      </c>
      <c r="EG18" s="5">
        <f t="shared" si="66"/>
        <v>33891.2371778</v>
      </c>
      <c r="EH18" s="35">
        <f t="shared" si="67"/>
        <v>10977.1858539</v>
      </c>
      <c r="EI18" s="35">
        <f t="shared" si="117"/>
        <v>5864.5601478</v>
      </c>
      <c r="EL18" s="5">
        <f t="shared" si="68"/>
        <v>1247.8858392</v>
      </c>
      <c r="EM18" s="36">
        <f t="shared" si="69"/>
        <v>1247.8858392</v>
      </c>
      <c r="EN18" s="35">
        <f t="shared" si="70"/>
        <v>404.18337959999997</v>
      </c>
      <c r="EO18" s="35">
        <f t="shared" si="118"/>
        <v>215.9349192</v>
      </c>
      <c r="ER18" s="36">
        <f t="shared" si="71"/>
        <v>1104.6262178000002</v>
      </c>
      <c r="ES18" s="36">
        <f t="shared" si="72"/>
        <v>1104.6262178000002</v>
      </c>
      <c r="ET18" s="35">
        <f t="shared" si="73"/>
        <v>357.78237390000004</v>
      </c>
      <c r="EU18" s="35">
        <f t="shared" si="119"/>
        <v>191.14518780000003</v>
      </c>
      <c r="EV18"/>
    </row>
    <row r="19" spans="1:152" ht="12.75">
      <c r="A19" s="37">
        <v>44287</v>
      </c>
      <c r="C19" s="3">
        <v>0</v>
      </c>
      <c r="D19" s="3">
        <v>1038866</v>
      </c>
      <c r="E19" s="35">
        <f t="shared" si="0"/>
        <v>1038866</v>
      </c>
      <c r="F19" s="35">
        <v>336483</v>
      </c>
      <c r="G19" s="35">
        <v>179766</v>
      </c>
      <c r="I19" s="47">
        <f t="shared" si="74"/>
        <v>0</v>
      </c>
      <c r="J19" s="36">
        <f t="shared" si="1"/>
        <v>156579.96125199998</v>
      </c>
      <c r="K19" s="36">
        <f t="shared" si="2"/>
        <v>156579.96125199998</v>
      </c>
      <c r="L19" s="36">
        <f t="shared" si="3"/>
        <v>50715.390726000005</v>
      </c>
      <c r="M19" s="36">
        <f t="shared" si="3"/>
        <v>27094.691052000002</v>
      </c>
      <c r="O19" s="5">
        <f t="shared" si="75"/>
        <v>0</v>
      </c>
      <c r="P19" s="5">
        <f t="shared" si="4"/>
        <v>65089.5259104</v>
      </c>
      <c r="Q19" s="5">
        <f t="shared" si="5"/>
        <v>65089.5259104</v>
      </c>
      <c r="R19" s="35">
        <f t="shared" si="6"/>
        <v>21082.140475199998</v>
      </c>
      <c r="S19" s="35">
        <f t="shared" si="97"/>
        <v>11263.1308704</v>
      </c>
      <c r="U19" s="5">
        <f t="shared" si="76"/>
        <v>0</v>
      </c>
      <c r="V19" s="36">
        <f t="shared" si="7"/>
        <v>28.7765882</v>
      </c>
      <c r="W19" s="36">
        <f t="shared" si="8"/>
        <v>28.7765882</v>
      </c>
      <c r="X19" s="35">
        <f t="shared" si="9"/>
        <v>9.3205791</v>
      </c>
      <c r="Y19" s="35">
        <f t="shared" si="98"/>
        <v>4.9795182</v>
      </c>
      <c r="AA19" s="5">
        <f t="shared" si="77"/>
        <v>0</v>
      </c>
      <c r="AB19" s="5">
        <f t="shared" si="10"/>
        <v>1288.5054998</v>
      </c>
      <c r="AC19" s="5">
        <f t="shared" si="11"/>
        <v>1288.5054998</v>
      </c>
      <c r="AD19" s="35">
        <f t="shared" si="12"/>
        <v>417.3398649</v>
      </c>
      <c r="AE19" s="35">
        <f t="shared" si="99"/>
        <v>222.9637698</v>
      </c>
      <c r="AG19" s="5">
        <f t="shared" si="78"/>
        <v>0</v>
      </c>
      <c r="AH19" s="5">
        <f t="shared" si="13"/>
        <v>775.9290154</v>
      </c>
      <c r="AI19" s="5">
        <f t="shared" si="14"/>
        <v>775.9290154</v>
      </c>
      <c r="AJ19" s="35">
        <f t="shared" si="15"/>
        <v>251.3191527</v>
      </c>
      <c r="AK19" s="35">
        <f t="shared" si="100"/>
        <v>134.2672254</v>
      </c>
      <c r="AM19" s="5">
        <f t="shared" si="79"/>
        <v>0</v>
      </c>
      <c r="AN19" s="5">
        <f t="shared" si="16"/>
        <v>5766.745166000001</v>
      </c>
      <c r="AO19" s="5">
        <f t="shared" si="17"/>
        <v>5766.745166000001</v>
      </c>
      <c r="AP19" s="35">
        <f t="shared" si="18"/>
        <v>1867.8171330000002</v>
      </c>
      <c r="AQ19" s="35">
        <f t="shared" si="101"/>
        <v>997.881066</v>
      </c>
      <c r="AS19" s="5">
        <f t="shared" si="80"/>
        <v>0</v>
      </c>
      <c r="AT19" s="5">
        <f t="shared" si="19"/>
        <v>1787.0572932</v>
      </c>
      <c r="AU19" s="5">
        <f t="shared" si="20"/>
        <v>1787.0572932</v>
      </c>
      <c r="AV19" s="35">
        <f t="shared" si="21"/>
        <v>578.8180566</v>
      </c>
      <c r="AW19" s="35">
        <f t="shared" si="102"/>
        <v>309.2334732</v>
      </c>
      <c r="AY19" s="5">
        <f t="shared" si="81"/>
        <v>0</v>
      </c>
      <c r="AZ19" s="5">
        <f t="shared" si="22"/>
        <v>3364.4714276</v>
      </c>
      <c r="BA19" s="5">
        <f t="shared" si="23"/>
        <v>3364.4714276</v>
      </c>
      <c r="BB19" s="35">
        <f t="shared" si="24"/>
        <v>1089.7338438</v>
      </c>
      <c r="BC19" s="35">
        <f t="shared" si="103"/>
        <v>582.1901676</v>
      </c>
      <c r="BE19" s="5">
        <f t="shared" si="82"/>
        <v>0</v>
      </c>
      <c r="BF19" s="5">
        <f t="shared" si="25"/>
        <v>712.4543027999999</v>
      </c>
      <c r="BG19" s="5">
        <f t="shared" si="26"/>
        <v>712.4543027999999</v>
      </c>
      <c r="BH19" s="35">
        <f t="shared" si="27"/>
        <v>230.76004139999998</v>
      </c>
      <c r="BI19" s="35">
        <f t="shared" si="104"/>
        <v>123.2835228</v>
      </c>
      <c r="BK19" s="5">
        <f t="shared" si="83"/>
        <v>0</v>
      </c>
      <c r="BL19" s="5">
        <f t="shared" si="28"/>
        <v>12703.5651078</v>
      </c>
      <c r="BM19" s="5">
        <f t="shared" si="29"/>
        <v>12703.5651078</v>
      </c>
      <c r="BN19" s="35">
        <f t="shared" si="30"/>
        <v>4114.6150689</v>
      </c>
      <c r="BO19" s="35">
        <f t="shared" si="105"/>
        <v>2198.2325778</v>
      </c>
      <c r="BQ19" s="36">
        <f t="shared" si="84"/>
        <v>0</v>
      </c>
      <c r="BR19" s="5">
        <f t="shared" si="31"/>
        <v>5881.8515188</v>
      </c>
      <c r="BS19" s="36">
        <f t="shared" si="32"/>
        <v>5881.8515188</v>
      </c>
      <c r="BT19" s="35">
        <f t="shared" si="33"/>
        <v>1905.0994494</v>
      </c>
      <c r="BU19" s="35">
        <f t="shared" si="106"/>
        <v>1017.7991387999999</v>
      </c>
      <c r="BW19" s="5">
        <f t="shared" si="85"/>
        <v>0</v>
      </c>
      <c r="BX19" s="5">
        <f t="shared" si="34"/>
        <v>2816.9890456000003</v>
      </c>
      <c r="BY19" s="5">
        <f t="shared" si="35"/>
        <v>2816.9890456000003</v>
      </c>
      <c r="BZ19" s="35">
        <f t="shared" si="36"/>
        <v>912.4073028</v>
      </c>
      <c r="CA19" s="35">
        <f t="shared" si="107"/>
        <v>487.4534856</v>
      </c>
      <c r="CC19" s="5">
        <f t="shared" si="37"/>
        <v>0</v>
      </c>
      <c r="CD19" s="5">
        <f t="shared" si="38"/>
        <v>415.6502866</v>
      </c>
      <c r="CE19" s="5">
        <f t="shared" si="39"/>
        <v>415.6502866</v>
      </c>
      <c r="CF19" s="35">
        <f t="shared" si="40"/>
        <v>134.6268483</v>
      </c>
      <c r="CG19" s="35">
        <f t="shared" si="108"/>
        <v>71.9243766</v>
      </c>
      <c r="CI19" s="5">
        <f t="shared" si="86"/>
        <v>0</v>
      </c>
      <c r="CJ19" s="5">
        <f t="shared" si="41"/>
        <v>1842.8443974</v>
      </c>
      <c r="CK19" s="5">
        <f t="shared" si="42"/>
        <v>1842.8443974</v>
      </c>
      <c r="CL19" s="35">
        <f t="shared" si="43"/>
        <v>596.8871937</v>
      </c>
      <c r="CM19" s="35">
        <f t="shared" si="109"/>
        <v>318.8869074</v>
      </c>
      <c r="CO19" s="5">
        <f t="shared" si="87"/>
        <v>0</v>
      </c>
      <c r="CP19" s="5">
        <f t="shared" si="44"/>
        <v>253.79496379999998</v>
      </c>
      <c r="CQ19" s="5">
        <f t="shared" si="45"/>
        <v>253.79496379999998</v>
      </c>
      <c r="CR19" s="35">
        <f t="shared" si="46"/>
        <v>82.2027969</v>
      </c>
      <c r="CS19" s="35">
        <f t="shared" si="110"/>
        <v>43.91683379999999</v>
      </c>
      <c r="CU19" s="5">
        <f t="shared" si="88"/>
        <v>0</v>
      </c>
      <c r="CV19" s="5">
        <f t="shared" si="47"/>
        <v>5294.4766824</v>
      </c>
      <c r="CW19" s="5">
        <f t="shared" si="48"/>
        <v>5294.4766824</v>
      </c>
      <c r="CX19" s="35">
        <f t="shared" si="49"/>
        <v>1714.8519612</v>
      </c>
      <c r="CY19" s="35">
        <f t="shared" si="111"/>
        <v>916.1594424</v>
      </c>
      <c r="DA19" s="5">
        <f t="shared" si="89"/>
        <v>0</v>
      </c>
      <c r="DB19" s="5">
        <f t="shared" si="50"/>
        <v>1025.5685151999999</v>
      </c>
      <c r="DC19" s="5">
        <f t="shared" si="51"/>
        <v>1025.5685151999999</v>
      </c>
      <c r="DD19" s="35">
        <f t="shared" si="52"/>
        <v>332.17601759999997</v>
      </c>
      <c r="DE19" s="35">
        <f t="shared" si="112"/>
        <v>177.46499519999998</v>
      </c>
      <c r="DG19" s="5">
        <f t="shared" si="90"/>
        <v>0</v>
      </c>
      <c r="DH19" s="5">
        <f t="shared" si="53"/>
        <v>1356.8628826</v>
      </c>
      <c r="DI19" s="36">
        <f t="shared" si="54"/>
        <v>1356.8628826</v>
      </c>
      <c r="DJ19" s="35">
        <f t="shared" si="55"/>
        <v>439.4804463</v>
      </c>
      <c r="DK19" s="35">
        <f t="shared" si="113"/>
        <v>234.7923726</v>
      </c>
      <c r="DM19" s="5">
        <f t="shared" si="91"/>
        <v>0</v>
      </c>
      <c r="DN19" s="5">
        <f t="shared" si="56"/>
        <v>4410.8172628</v>
      </c>
      <c r="DO19" s="36">
        <f t="shared" si="57"/>
        <v>4410.8172628</v>
      </c>
      <c r="DP19" s="35">
        <f t="shared" si="58"/>
        <v>1428.6395214</v>
      </c>
      <c r="DQ19" s="35">
        <f t="shared" si="114"/>
        <v>763.2504828</v>
      </c>
      <c r="DS19" s="5">
        <f t="shared" si="92"/>
        <v>0</v>
      </c>
      <c r="DT19" s="5">
        <f t="shared" si="59"/>
        <v>2593.1134226</v>
      </c>
      <c r="DU19" s="5">
        <f t="shared" si="60"/>
        <v>2593.1134226</v>
      </c>
      <c r="DV19" s="35">
        <f t="shared" si="61"/>
        <v>839.8952162999999</v>
      </c>
      <c r="DW19" s="35">
        <f t="shared" si="115"/>
        <v>448.71391259999996</v>
      </c>
      <c r="DY19" s="5">
        <f t="shared" si="93"/>
        <v>0</v>
      </c>
      <c r="DZ19" s="5">
        <f t="shared" si="62"/>
        <v>2927.2127281999997</v>
      </c>
      <c r="EA19" s="5">
        <f t="shared" si="63"/>
        <v>2927.2127281999997</v>
      </c>
      <c r="EB19" s="35">
        <f t="shared" si="64"/>
        <v>948.1081490999999</v>
      </c>
      <c r="EC19" s="35">
        <f t="shared" si="116"/>
        <v>506.5266582</v>
      </c>
      <c r="EE19" s="5">
        <f t="shared" si="94"/>
        <v>0</v>
      </c>
      <c r="EF19" s="5">
        <f t="shared" si="65"/>
        <v>33891.2371778</v>
      </c>
      <c r="EG19" s="5">
        <f t="shared" si="66"/>
        <v>33891.2371778</v>
      </c>
      <c r="EH19" s="35">
        <f t="shared" si="67"/>
        <v>10977.1858539</v>
      </c>
      <c r="EI19" s="35">
        <f t="shared" si="117"/>
        <v>5864.5601478</v>
      </c>
      <c r="EK19" s="5">
        <f t="shared" si="95"/>
        <v>0</v>
      </c>
      <c r="EL19" s="5">
        <f t="shared" si="68"/>
        <v>1247.8858392</v>
      </c>
      <c r="EM19" s="36">
        <f t="shared" si="69"/>
        <v>1247.8858392</v>
      </c>
      <c r="EN19" s="35">
        <f t="shared" si="70"/>
        <v>404.18337959999997</v>
      </c>
      <c r="EO19" s="35">
        <f t="shared" si="118"/>
        <v>215.9349192</v>
      </c>
      <c r="EQ19" s="5">
        <f t="shared" si="96"/>
        <v>0</v>
      </c>
      <c r="ER19" s="36">
        <f t="shared" si="71"/>
        <v>1104.6262178000002</v>
      </c>
      <c r="ES19" s="36">
        <f t="shared" si="72"/>
        <v>1104.6262178000002</v>
      </c>
      <c r="ET19" s="35">
        <f t="shared" si="73"/>
        <v>357.78237390000004</v>
      </c>
      <c r="EU19" s="35">
        <f t="shared" si="119"/>
        <v>191.14518780000003</v>
      </c>
      <c r="EV19"/>
    </row>
    <row r="20" spans="1:152" ht="12.75">
      <c r="A20" s="37">
        <v>44470</v>
      </c>
      <c r="D20" s="3">
        <v>1038866</v>
      </c>
      <c r="E20" s="35">
        <f t="shared" si="0"/>
        <v>1038866</v>
      </c>
      <c r="F20" s="35">
        <v>336483</v>
      </c>
      <c r="G20" s="35">
        <v>179766</v>
      </c>
      <c r="I20" s="47"/>
      <c r="J20" s="36">
        <f t="shared" si="1"/>
        <v>156579.96125199998</v>
      </c>
      <c r="K20" s="36">
        <f t="shared" si="2"/>
        <v>156579.96125199998</v>
      </c>
      <c r="L20" s="36">
        <f t="shared" si="3"/>
        <v>50715.390726000005</v>
      </c>
      <c r="M20" s="36">
        <f t="shared" si="3"/>
        <v>27094.691052000002</v>
      </c>
      <c r="P20" s="5">
        <f t="shared" si="4"/>
        <v>65089.5259104</v>
      </c>
      <c r="Q20" s="5">
        <f t="shared" si="5"/>
        <v>65089.5259104</v>
      </c>
      <c r="R20" s="35">
        <f t="shared" si="6"/>
        <v>21082.140475199998</v>
      </c>
      <c r="S20" s="35">
        <f t="shared" si="97"/>
        <v>11263.1308704</v>
      </c>
      <c r="V20" s="36">
        <f t="shared" si="7"/>
        <v>28.7765882</v>
      </c>
      <c r="W20" s="36">
        <f t="shared" si="8"/>
        <v>28.7765882</v>
      </c>
      <c r="X20" s="35">
        <f t="shared" si="9"/>
        <v>9.3205791</v>
      </c>
      <c r="Y20" s="35">
        <f t="shared" si="98"/>
        <v>4.9795182</v>
      </c>
      <c r="AB20" s="5">
        <f t="shared" si="10"/>
        <v>1288.5054998</v>
      </c>
      <c r="AC20" s="5">
        <f t="shared" si="11"/>
        <v>1288.5054998</v>
      </c>
      <c r="AD20" s="35">
        <f t="shared" si="12"/>
        <v>417.3398649</v>
      </c>
      <c r="AE20" s="35">
        <f t="shared" si="99"/>
        <v>222.9637698</v>
      </c>
      <c r="AH20" s="5">
        <f t="shared" si="13"/>
        <v>775.9290154</v>
      </c>
      <c r="AI20" s="5">
        <f t="shared" si="14"/>
        <v>775.9290154</v>
      </c>
      <c r="AJ20" s="35">
        <f t="shared" si="15"/>
        <v>251.3191527</v>
      </c>
      <c r="AK20" s="35">
        <f t="shared" si="100"/>
        <v>134.2672254</v>
      </c>
      <c r="AN20" s="5">
        <f t="shared" si="16"/>
        <v>5766.745166000001</v>
      </c>
      <c r="AO20" s="5">
        <f t="shared" si="17"/>
        <v>5766.745166000001</v>
      </c>
      <c r="AP20" s="35">
        <f t="shared" si="18"/>
        <v>1867.8171330000002</v>
      </c>
      <c r="AQ20" s="35">
        <f t="shared" si="101"/>
        <v>997.881066</v>
      </c>
      <c r="AT20" s="5">
        <f t="shared" si="19"/>
        <v>1787.0572932</v>
      </c>
      <c r="AU20" s="5">
        <f t="shared" si="20"/>
        <v>1787.0572932</v>
      </c>
      <c r="AV20" s="35">
        <f t="shared" si="21"/>
        <v>578.8180566</v>
      </c>
      <c r="AW20" s="35">
        <f t="shared" si="102"/>
        <v>309.2334732</v>
      </c>
      <c r="AZ20" s="5">
        <f t="shared" si="22"/>
        <v>3364.4714276</v>
      </c>
      <c r="BA20" s="5">
        <f t="shared" si="23"/>
        <v>3364.4714276</v>
      </c>
      <c r="BB20" s="35">
        <f t="shared" si="24"/>
        <v>1089.7338438</v>
      </c>
      <c r="BC20" s="35">
        <f t="shared" si="103"/>
        <v>582.1901676</v>
      </c>
      <c r="BF20" s="5">
        <f t="shared" si="25"/>
        <v>712.4543027999999</v>
      </c>
      <c r="BG20" s="5">
        <f t="shared" si="26"/>
        <v>712.4543027999999</v>
      </c>
      <c r="BH20" s="35">
        <f t="shared" si="27"/>
        <v>230.76004139999998</v>
      </c>
      <c r="BI20" s="35">
        <f t="shared" si="104"/>
        <v>123.2835228</v>
      </c>
      <c r="BL20" s="5">
        <f t="shared" si="28"/>
        <v>12703.5651078</v>
      </c>
      <c r="BM20" s="5">
        <f t="shared" si="29"/>
        <v>12703.5651078</v>
      </c>
      <c r="BN20" s="35">
        <f t="shared" si="30"/>
        <v>4114.6150689</v>
      </c>
      <c r="BO20" s="35">
        <f t="shared" si="105"/>
        <v>2198.2325778</v>
      </c>
      <c r="BQ20" s="36"/>
      <c r="BR20" s="5">
        <f t="shared" si="31"/>
        <v>5881.8515188</v>
      </c>
      <c r="BS20" s="36">
        <f t="shared" si="32"/>
        <v>5881.8515188</v>
      </c>
      <c r="BT20" s="35">
        <f t="shared" si="33"/>
        <v>1905.0994494</v>
      </c>
      <c r="BU20" s="35">
        <f t="shared" si="106"/>
        <v>1017.7991387999999</v>
      </c>
      <c r="BX20" s="5">
        <f t="shared" si="34"/>
        <v>2816.9890456000003</v>
      </c>
      <c r="BY20" s="5">
        <f t="shared" si="35"/>
        <v>2816.9890456000003</v>
      </c>
      <c r="BZ20" s="35">
        <f t="shared" si="36"/>
        <v>912.4073028</v>
      </c>
      <c r="CA20" s="35">
        <f t="shared" si="107"/>
        <v>487.4534856</v>
      </c>
      <c r="CC20" s="5">
        <f t="shared" si="37"/>
        <v>0</v>
      </c>
      <c r="CD20" s="5">
        <f t="shared" si="38"/>
        <v>415.6502866</v>
      </c>
      <c r="CE20" s="5">
        <f t="shared" si="39"/>
        <v>415.6502866</v>
      </c>
      <c r="CF20" s="35">
        <f t="shared" si="40"/>
        <v>134.6268483</v>
      </c>
      <c r="CG20" s="35">
        <f t="shared" si="108"/>
        <v>71.9243766</v>
      </c>
      <c r="CJ20" s="5">
        <f t="shared" si="41"/>
        <v>1842.8443974</v>
      </c>
      <c r="CK20" s="5">
        <f t="shared" si="42"/>
        <v>1842.8443974</v>
      </c>
      <c r="CL20" s="35">
        <f t="shared" si="43"/>
        <v>596.8871937</v>
      </c>
      <c r="CM20" s="35">
        <f t="shared" si="109"/>
        <v>318.8869074</v>
      </c>
      <c r="CP20" s="5">
        <f t="shared" si="44"/>
        <v>253.79496379999998</v>
      </c>
      <c r="CQ20" s="5">
        <f t="shared" si="45"/>
        <v>253.79496379999998</v>
      </c>
      <c r="CR20" s="35">
        <f t="shared" si="46"/>
        <v>82.2027969</v>
      </c>
      <c r="CS20" s="35">
        <f t="shared" si="110"/>
        <v>43.91683379999999</v>
      </c>
      <c r="CV20" s="5">
        <f t="shared" si="47"/>
        <v>5294.4766824</v>
      </c>
      <c r="CW20" s="5">
        <f t="shared" si="48"/>
        <v>5294.4766824</v>
      </c>
      <c r="CX20" s="35">
        <f t="shared" si="49"/>
        <v>1714.8519612</v>
      </c>
      <c r="CY20" s="35">
        <f t="shared" si="111"/>
        <v>916.1594424</v>
      </c>
      <c r="DB20" s="5">
        <f t="shared" si="50"/>
        <v>1025.5685151999999</v>
      </c>
      <c r="DC20" s="5">
        <f t="shared" si="51"/>
        <v>1025.5685151999999</v>
      </c>
      <c r="DD20" s="35">
        <f t="shared" si="52"/>
        <v>332.17601759999997</v>
      </c>
      <c r="DE20" s="35">
        <f t="shared" si="112"/>
        <v>177.46499519999998</v>
      </c>
      <c r="DH20" s="5">
        <f t="shared" si="53"/>
        <v>1356.8628826</v>
      </c>
      <c r="DI20" s="36">
        <f t="shared" si="54"/>
        <v>1356.8628826</v>
      </c>
      <c r="DJ20" s="35">
        <f t="shared" si="55"/>
        <v>439.4804463</v>
      </c>
      <c r="DK20" s="35">
        <f t="shared" si="113"/>
        <v>234.7923726</v>
      </c>
      <c r="DN20" s="5">
        <f t="shared" si="56"/>
        <v>4410.8172628</v>
      </c>
      <c r="DO20" s="36">
        <f t="shared" si="57"/>
        <v>4410.8172628</v>
      </c>
      <c r="DP20" s="35">
        <f t="shared" si="58"/>
        <v>1428.6395214</v>
      </c>
      <c r="DQ20" s="35">
        <f t="shared" si="114"/>
        <v>763.2504828</v>
      </c>
      <c r="DT20" s="5">
        <f t="shared" si="59"/>
        <v>2593.1134226</v>
      </c>
      <c r="DU20" s="5">
        <f t="shared" si="60"/>
        <v>2593.1134226</v>
      </c>
      <c r="DV20" s="35">
        <f t="shared" si="61"/>
        <v>839.8952162999999</v>
      </c>
      <c r="DW20" s="35">
        <f t="shared" si="115"/>
        <v>448.71391259999996</v>
      </c>
      <c r="DZ20" s="5">
        <f t="shared" si="62"/>
        <v>2927.2127281999997</v>
      </c>
      <c r="EA20" s="5">
        <f t="shared" si="63"/>
        <v>2927.2127281999997</v>
      </c>
      <c r="EB20" s="35">
        <f t="shared" si="64"/>
        <v>948.1081490999999</v>
      </c>
      <c r="EC20" s="35">
        <f t="shared" si="116"/>
        <v>506.5266582</v>
      </c>
      <c r="EF20" s="5">
        <f t="shared" si="65"/>
        <v>33891.2371778</v>
      </c>
      <c r="EG20" s="5">
        <f t="shared" si="66"/>
        <v>33891.2371778</v>
      </c>
      <c r="EH20" s="35">
        <f t="shared" si="67"/>
        <v>10977.1858539</v>
      </c>
      <c r="EI20" s="35">
        <f t="shared" si="117"/>
        <v>5864.5601478</v>
      </c>
      <c r="EL20" s="5">
        <f t="shared" si="68"/>
        <v>1247.8858392</v>
      </c>
      <c r="EM20" s="36">
        <f t="shared" si="69"/>
        <v>1247.8858392</v>
      </c>
      <c r="EN20" s="35">
        <f t="shared" si="70"/>
        <v>404.18337959999997</v>
      </c>
      <c r="EO20" s="35">
        <f t="shared" si="118"/>
        <v>215.9349192</v>
      </c>
      <c r="ER20" s="36">
        <f t="shared" si="71"/>
        <v>1104.6262178000002</v>
      </c>
      <c r="ES20" s="36">
        <f t="shared" si="72"/>
        <v>1104.6262178000002</v>
      </c>
      <c r="ET20" s="35">
        <f t="shared" si="73"/>
        <v>357.78237390000004</v>
      </c>
      <c r="EU20" s="35">
        <f t="shared" si="119"/>
        <v>191.14518780000003</v>
      </c>
      <c r="EV20"/>
    </row>
    <row r="21" spans="1:152" ht="12.75">
      <c r="A21" s="37">
        <v>44652</v>
      </c>
      <c r="C21" s="3">
        <v>5645000</v>
      </c>
      <c r="D21" s="3">
        <v>1038866</v>
      </c>
      <c r="E21" s="35">
        <f t="shared" si="0"/>
        <v>6683866</v>
      </c>
      <c r="F21" s="35">
        <v>336483</v>
      </c>
      <c r="G21" s="35">
        <v>179766</v>
      </c>
      <c r="I21" s="47">
        <f t="shared" si="74"/>
        <v>850825.6899999998</v>
      </c>
      <c r="J21" s="36">
        <f t="shared" si="1"/>
        <v>156579.96125199998</v>
      </c>
      <c r="K21" s="36">
        <f t="shared" si="2"/>
        <v>1007405.6512519998</v>
      </c>
      <c r="L21" s="36">
        <f t="shared" si="3"/>
        <v>50715.390726000005</v>
      </c>
      <c r="M21" s="36">
        <f t="shared" si="3"/>
        <v>27094.691052000002</v>
      </c>
      <c r="O21" s="5">
        <f t="shared" si="75"/>
        <v>353684.088</v>
      </c>
      <c r="P21" s="5">
        <f t="shared" si="4"/>
        <v>65089.5259104</v>
      </c>
      <c r="Q21" s="5">
        <f t="shared" si="5"/>
        <v>418773.61391039996</v>
      </c>
      <c r="R21" s="35">
        <f t="shared" si="6"/>
        <v>21082.140475199998</v>
      </c>
      <c r="S21" s="35">
        <f t="shared" si="97"/>
        <v>11263.1308704</v>
      </c>
      <c r="U21" s="5">
        <f t="shared" si="76"/>
        <v>156.3665</v>
      </c>
      <c r="V21" s="36">
        <f t="shared" si="7"/>
        <v>28.7765882</v>
      </c>
      <c r="W21" s="36">
        <f t="shared" si="8"/>
        <v>185.1430882</v>
      </c>
      <c r="X21" s="35">
        <f t="shared" si="9"/>
        <v>9.3205791</v>
      </c>
      <c r="Y21" s="35">
        <f t="shared" si="98"/>
        <v>4.9795182</v>
      </c>
      <c r="AA21" s="5">
        <f t="shared" si="77"/>
        <v>7001.4935</v>
      </c>
      <c r="AB21" s="5">
        <f t="shared" si="10"/>
        <v>1288.5054998</v>
      </c>
      <c r="AC21" s="5">
        <f t="shared" si="11"/>
        <v>8289.9989998</v>
      </c>
      <c r="AD21" s="35">
        <f t="shared" si="12"/>
        <v>417.3398649</v>
      </c>
      <c r="AE21" s="35">
        <f t="shared" si="99"/>
        <v>222.9637698</v>
      </c>
      <c r="AG21" s="5">
        <f t="shared" si="78"/>
        <v>4216.2505</v>
      </c>
      <c r="AH21" s="5">
        <f t="shared" si="13"/>
        <v>775.9290154</v>
      </c>
      <c r="AI21" s="5">
        <f t="shared" si="14"/>
        <v>4992.1795154</v>
      </c>
      <c r="AJ21" s="35">
        <f t="shared" si="15"/>
        <v>251.3191527</v>
      </c>
      <c r="AK21" s="35">
        <f t="shared" si="100"/>
        <v>134.2672254</v>
      </c>
      <c r="AM21" s="5">
        <f t="shared" si="79"/>
        <v>31335.395</v>
      </c>
      <c r="AN21" s="5">
        <f t="shared" si="16"/>
        <v>5766.745166000001</v>
      </c>
      <c r="AO21" s="5">
        <f t="shared" si="17"/>
        <v>37102.140166</v>
      </c>
      <c r="AP21" s="35">
        <f t="shared" si="18"/>
        <v>1867.8171330000002</v>
      </c>
      <c r="AQ21" s="35">
        <f t="shared" si="101"/>
        <v>997.881066</v>
      </c>
      <c r="AS21" s="5">
        <f t="shared" si="80"/>
        <v>9710.529</v>
      </c>
      <c r="AT21" s="5">
        <f t="shared" si="19"/>
        <v>1787.0572932</v>
      </c>
      <c r="AU21" s="5">
        <f t="shared" si="20"/>
        <v>11497.5862932</v>
      </c>
      <c r="AV21" s="35">
        <f t="shared" si="21"/>
        <v>578.8180566</v>
      </c>
      <c r="AW21" s="35">
        <f t="shared" si="102"/>
        <v>309.2334732</v>
      </c>
      <c r="AY21" s="5">
        <f t="shared" si="81"/>
        <v>18281.897</v>
      </c>
      <c r="AZ21" s="5">
        <f t="shared" si="22"/>
        <v>3364.4714276</v>
      </c>
      <c r="BA21" s="5">
        <f t="shared" si="23"/>
        <v>21646.368427600002</v>
      </c>
      <c r="BB21" s="35">
        <f t="shared" si="24"/>
        <v>1089.7338438</v>
      </c>
      <c r="BC21" s="35">
        <f t="shared" si="103"/>
        <v>582.1901676</v>
      </c>
      <c r="BE21" s="5">
        <f t="shared" si="82"/>
        <v>3871.341</v>
      </c>
      <c r="BF21" s="5">
        <f t="shared" si="25"/>
        <v>712.4543027999999</v>
      </c>
      <c r="BG21" s="5">
        <f t="shared" si="26"/>
        <v>4583.7953028</v>
      </c>
      <c r="BH21" s="35">
        <f t="shared" si="27"/>
        <v>230.76004139999998</v>
      </c>
      <c r="BI21" s="35">
        <f t="shared" si="104"/>
        <v>123.2835228</v>
      </c>
      <c r="BK21" s="5">
        <f t="shared" si="83"/>
        <v>69028.75349999999</v>
      </c>
      <c r="BL21" s="5">
        <f t="shared" si="28"/>
        <v>12703.5651078</v>
      </c>
      <c r="BM21" s="5">
        <f t="shared" si="29"/>
        <v>81732.31860779999</v>
      </c>
      <c r="BN21" s="35">
        <f t="shared" si="30"/>
        <v>4114.6150689</v>
      </c>
      <c r="BO21" s="35">
        <f t="shared" si="105"/>
        <v>2198.2325778</v>
      </c>
      <c r="BQ21" s="36">
        <f t="shared" si="84"/>
        <v>31960.861</v>
      </c>
      <c r="BR21" s="5">
        <f t="shared" si="31"/>
        <v>5881.8515188</v>
      </c>
      <c r="BS21" s="36">
        <f t="shared" si="32"/>
        <v>37842.7125188</v>
      </c>
      <c r="BT21" s="35">
        <f t="shared" si="33"/>
        <v>1905.0994494</v>
      </c>
      <c r="BU21" s="35">
        <f t="shared" si="106"/>
        <v>1017.7991387999999</v>
      </c>
      <c r="BW21" s="5">
        <f t="shared" si="85"/>
        <v>15306.982000000002</v>
      </c>
      <c r="BX21" s="5">
        <f t="shared" si="34"/>
        <v>2816.9890456000003</v>
      </c>
      <c r="BY21" s="5">
        <f t="shared" si="35"/>
        <v>18123.971045600003</v>
      </c>
      <c r="BZ21" s="35">
        <f t="shared" si="36"/>
        <v>912.4073028</v>
      </c>
      <c r="CA21" s="35">
        <f t="shared" si="107"/>
        <v>487.4534856</v>
      </c>
      <c r="CC21" s="5">
        <f t="shared" si="37"/>
        <v>2258.5645</v>
      </c>
      <c r="CD21" s="5">
        <f t="shared" si="38"/>
        <v>415.6502866</v>
      </c>
      <c r="CE21" s="5">
        <f t="shared" si="39"/>
        <v>2674.2147866</v>
      </c>
      <c r="CF21" s="35">
        <f t="shared" si="40"/>
        <v>134.6268483</v>
      </c>
      <c r="CG21" s="35">
        <f t="shared" si="108"/>
        <v>71.9243766</v>
      </c>
      <c r="CI21" s="5">
        <f t="shared" si="86"/>
        <v>10013.6655</v>
      </c>
      <c r="CJ21" s="5">
        <f t="shared" si="41"/>
        <v>1842.8443974</v>
      </c>
      <c r="CK21" s="5">
        <f t="shared" si="42"/>
        <v>11856.5098974</v>
      </c>
      <c r="CL21" s="35">
        <f t="shared" si="43"/>
        <v>596.8871937</v>
      </c>
      <c r="CM21" s="35">
        <f t="shared" si="109"/>
        <v>318.8869074</v>
      </c>
      <c r="CO21" s="5">
        <f t="shared" si="87"/>
        <v>1379.0735</v>
      </c>
      <c r="CP21" s="5">
        <f t="shared" si="44"/>
        <v>253.79496379999998</v>
      </c>
      <c r="CQ21" s="5">
        <f t="shared" si="45"/>
        <v>1632.8684638</v>
      </c>
      <c r="CR21" s="35">
        <f t="shared" si="46"/>
        <v>82.2027969</v>
      </c>
      <c r="CS21" s="35">
        <f t="shared" si="110"/>
        <v>43.91683379999999</v>
      </c>
      <c r="CU21" s="5">
        <f t="shared" si="88"/>
        <v>28769.178</v>
      </c>
      <c r="CV21" s="5">
        <f t="shared" si="47"/>
        <v>5294.4766824</v>
      </c>
      <c r="CW21" s="5">
        <f t="shared" si="48"/>
        <v>34063.654682399996</v>
      </c>
      <c r="CX21" s="35">
        <f t="shared" si="49"/>
        <v>1714.8519612</v>
      </c>
      <c r="CY21" s="35">
        <f t="shared" si="111"/>
        <v>916.1594424</v>
      </c>
      <c r="DA21" s="5">
        <f t="shared" si="89"/>
        <v>5572.744</v>
      </c>
      <c r="DB21" s="5">
        <f t="shared" si="50"/>
        <v>1025.5685151999999</v>
      </c>
      <c r="DC21" s="5">
        <f t="shared" si="51"/>
        <v>6598.312515199999</v>
      </c>
      <c r="DD21" s="35">
        <f t="shared" si="52"/>
        <v>332.17601759999997</v>
      </c>
      <c r="DE21" s="35">
        <f t="shared" si="112"/>
        <v>177.46499519999998</v>
      </c>
      <c r="DG21" s="5">
        <f t="shared" si="90"/>
        <v>7372.934499999999</v>
      </c>
      <c r="DH21" s="5">
        <f t="shared" si="53"/>
        <v>1356.8628826</v>
      </c>
      <c r="DI21" s="36">
        <f t="shared" si="54"/>
        <v>8729.7973826</v>
      </c>
      <c r="DJ21" s="35">
        <f t="shared" si="55"/>
        <v>439.4804463</v>
      </c>
      <c r="DK21" s="35">
        <f t="shared" si="113"/>
        <v>234.7923726</v>
      </c>
      <c r="DM21" s="5">
        <f t="shared" si="91"/>
        <v>23967.541</v>
      </c>
      <c r="DN21" s="5">
        <f t="shared" si="56"/>
        <v>4410.8172628</v>
      </c>
      <c r="DO21" s="36">
        <f t="shared" si="57"/>
        <v>28378.3582628</v>
      </c>
      <c r="DP21" s="35">
        <f t="shared" si="58"/>
        <v>1428.6395214</v>
      </c>
      <c r="DQ21" s="35">
        <f t="shared" si="114"/>
        <v>763.2504828</v>
      </c>
      <c r="DS21" s="5">
        <f t="shared" si="92"/>
        <v>14090.484499999999</v>
      </c>
      <c r="DT21" s="5">
        <f t="shared" si="59"/>
        <v>2593.1134226</v>
      </c>
      <c r="DU21" s="5">
        <f t="shared" si="60"/>
        <v>16683.597922599998</v>
      </c>
      <c r="DV21" s="35">
        <f t="shared" si="61"/>
        <v>839.8952162999999</v>
      </c>
      <c r="DW21" s="35">
        <f t="shared" si="115"/>
        <v>448.71391259999996</v>
      </c>
      <c r="DY21" s="5">
        <f t="shared" si="93"/>
        <v>15905.9165</v>
      </c>
      <c r="DZ21" s="5">
        <f t="shared" si="62"/>
        <v>2927.2127281999997</v>
      </c>
      <c r="EA21" s="5">
        <f t="shared" si="63"/>
        <v>18833.1292282</v>
      </c>
      <c r="EB21" s="35">
        <f t="shared" si="64"/>
        <v>948.1081490999999</v>
      </c>
      <c r="EC21" s="35">
        <f t="shared" si="116"/>
        <v>506.5266582</v>
      </c>
      <c r="EE21" s="5">
        <f t="shared" si="94"/>
        <v>184158.52850000001</v>
      </c>
      <c r="EF21" s="5">
        <f t="shared" si="65"/>
        <v>33891.2371778</v>
      </c>
      <c r="EG21" s="5">
        <f t="shared" si="66"/>
        <v>218049.76567780002</v>
      </c>
      <c r="EH21" s="35">
        <f t="shared" si="67"/>
        <v>10977.1858539</v>
      </c>
      <c r="EI21" s="35">
        <f t="shared" si="117"/>
        <v>5864.5601478</v>
      </c>
      <c r="EK21" s="5">
        <f t="shared" si="95"/>
        <v>6780.773999999999</v>
      </c>
      <c r="EL21" s="5">
        <f t="shared" si="68"/>
        <v>1247.8858392</v>
      </c>
      <c r="EM21" s="36">
        <f t="shared" si="69"/>
        <v>8028.6598392</v>
      </c>
      <c r="EN21" s="35">
        <f t="shared" si="70"/>
        <v>404.18337959999997</v>
      </c>
      <c r="EO21" s="35">
        <f t="shared" si="118"/>
        <v>215.9349192</v>
      </c>
      <c r="EQ21" s="5">
        <f t="shared" si="96"/>
        <v>6002.3285000000005</v>
      </c>
      <c r="ER21" s="36">
        <f t="shared" si="71"/>
        <v>1104.6262178000002</v>
      </c>
      <c r="ES21" s="36">
        <f t="shared" si="72"/>
        <v>7106.954717800001</v>
      </c>
      <c r="ET21" s="35">
        <f t="shared" si="73"/>
        <v>357.78237390000004</v>
      </c>
      <c r="EU21" s="35">
        <f t="shared" si="119"/>
        <v>191.14518780000003</v>
      </c>
      <c r="EV21"/>
    </row>
    <row r="22" spans="1:152" ht="12.75">
      <c r="A22" s="37">
        <v>44835</v>
      </c>
      <c r="D22" s="3">
        <v>897741</v>
      </c>
      <c r="E22" s="35">
        <f t="shared" si="0"/>
        <v>897741</v>
      </c>
      <c r="F22" s="35">
        <v>336483</v>
      </c>
      <c r="G22" s="35">
        <v>179766</v>
      </c>
      <c r="I22" s="47"/>
      <c r="J22" s="36">
        <f t="shared" si="1"/>
        <v>135309.31900199997</v>
      </c>
      <c r="K22" s="36">
        <f t="shared" si="2"/>
        <v>135309.31900199997</v>
      </c>
      <c r="L22" s="36">
        <f t="shared" si="3"/>
        <v>50715.390726000005</v>
      </c>
      <c r="M22" s="36">
        <f t="shared" si="3"/>
        <v>27094.691052000002</v>
      </c>
      <c r="P22" s="5">
        <f t="shared" si="4"/>
        <v>56247.4237104</v>
      </c>
      <c r="Q22" s="5">
        <f t="shared" si="5"/>
        <v>56247.4237104</v>
      </c>
      <c r="R22" s="35">
        <f t="shared" si="6"/>
        <v>21082.140475199998</v>
      </c>
      <c r="S22" s="35">
        <f t="shared" si="97"/>
        <v>11263.1308704</v>
      </c>
      <c r="V22" s="36">
        <f t="shared" si="7"/>
        <v>24.8674257</v>
      </c>
      <c r="W22" s="36">
        <f t="shared" si="8"/>
        <v>24.8674257</v>
      </c>
      <c r="X22" s="35">
        <f t="shared" si="9"/>
        <v>9.3205791</v>
      </c>
      <c r="Y22" s="35">
        <f t="shared" si="98"/>
        <v>4.9795182</v>
      </c>
      <c r="AB22" s="5">
        <f t="shared" si="10"/>
        <v>1113.4681623</v>
      </c>
      <c r="AC22" s="5">
        <f t="shared" si="11"/>
        <v>1113.4681623</v>
      </c>
      <c r="AD22" s="35">
        <f t="shared" si="12"/>
        <v>417.3398649</v>
      </c>
      <c r="AE22" s="35">
        <f t="shared" si="99"/>
        <v>222.9637698</v>
      </c>
      <c r="AH22" s="5">
        <f t="shared" si="13"/>
        <v>670.5227529</v>
      </c>
      <c r="AI22" s="5">
        <f t="shared" si="14"/>
        <v>670.5227529</v>
      </c>
      <c r="AJ22" s="35">
        <f t="shared" si="15"/>
        <v>251.3191527</v>
      </c>
      <c r="AK22" s="35">
        <f t="shared" si="100"/>
        <v>134.2672254</v>
      </c>
      <c r="AN22" s="5">
        <f t="shared" si="16"/>
        <v>4983.360291</v>
      </c>
      <c r="AO22" s="5">
        <f t="shared" si="17"/>
        <v>4983.360291</v>
      </c>
      <c r="AP22" s="35">
        <f t="shared" si="18"/>
        <v>1867.8171330000002</v>
      </c>
      <c r="AQ22" s="35">
        <f t="shared" si="101"/>
        <v>997.881066</v>
      </c>
      <c r="AT22" s="5">
        <f t="shared" si="19"/>
        <v>1544.2940682</v>
      </c>
      <c r="AU22" s="5">
        <f t="shared" si="20"/>
        <v>1544.2940682</v>
      </c>
      <c r="AV22" s="35">
        <f t="shared" si="21"/>
        <v>578.8180566</v>
      </c>
      <c r="AW22" s="35">
        <f t="shared" si="102"/>
        <v>309.2334732</v>
      </c>
      <c r="AZ22" s="5">
        <f t="shared" si="22"/>
        <v>2907.4240025999998</v>
      </c>
      <c r="BA22" s="5">
        <f t="shared" si="23"/>
        <v>2907.4240025999998</v>
      </c>
      <c r="BB22" s="35">
        <f t="shared" si="24"/>
        <v>1089.7338438</v>
      </c>
      <c r="BC22" s="35">
        <f t="shared" si="103"/>
        <v>582.1901676</v>
      </c>
      <c r="BF22" s="5">
        <f t="shared" si="25"/>
        <v>615.6707778</v>
      </c>
      <c r="BG22" s="5">
        <f t="shared" si="26"/>
        <v>615.6707778</v>
      </c>
      <c r="BH22" s="35">
        <f t="shared" si="27"/>
        <v>230.76004139999998</v>
      </c>
      <c r="BI22" s="35">
        <f t="shared" si="104"/>
        <v>123.2835228</v>
      </c>
      <c r="BL22" s="5">
        <f t="shared" si="28"/>
        <v>10977.846270299999</v>
      </c>
      <c r="BM22" s="5">
        <f t="shared" si="29"/>
        <v>10977.846270299999</v>
      </c>
      <c r="BN22" s="35">
        <f t="shared" si="30"/>
        <v>4114.6150689</v>
      </c>
      <c r="BO22" s="35">
        <f t="shared" si="105"/>
        <v>2198.2325778</v>
      </c>
      <c r="BQ22" s="36"/>
      <c r="BR22" s="5">
        <f t="shared" si="31"/>
        <v>5082.8299938</v>
      </c>
      <c r="BS22" s="36">
        <f t="shared" si="32"/>
        <v>5082.8299938</v>
      </c>
      <c r="BT22" s="35">
        <f t="shared" si="33"/>
        <v>1905.0994494</v>
      </c>
      <c r="BU22" s="35">
        <f t="shared" si="106"/>
        <v>1017.7991387999999</v>
      </c>
      <c r="BX22" s="5">
        <f t="shared" si="34"/>
        <v>2434.3144956</v>
      </c>
      <c r="BY22" s="5">
        <f t="shared" si="35"/>
        <v>2434.3144956</v>
      </c>
      <c r="BZ22" s="35">
        <f t="shared" si="36"/>
        <v>912.4073028</v>
      </c>
      <c r="CA22" s="35">
        <f t="shared" si="107"/>
        <v>487.4534856</v>
      </c>
      <c r="CC22" s="5">
        <f t="shared" si="37"/>
        <v>0</v>
      </c>
      <c r="CD22" s="5">
        <f t="shared" si="38"/>
        <v>359.1861741</v>
      </c>
      <c r="CE22" s="5">
        <f t="shared" si="39"/>
        <v>359.1861741</v>
      </c>
      <c r="CF22" s="35">
        <f t="shared" si="40"/>
        <v>134.6268483</v>
      </c>
      <c r="CG22" s="35">
        <f t="shared" si="108"/>
        <v>71.9243766</v>
      </c>
      <c r="CJ22" s="5">
        <f t="shared" si="41"/>
        <v>1592.5027599</v>
      </c>
      <c r="CK22" s="5">
        <f t="shared" si="42"/>
        <v>1592.5027599</v>
      </c>
      <c r="CL22" s="35">
        <f t="shared" si="43"/>
        <v>596.8871937</v>
      </c>
      <c r="CM22" s="35">
        <f t="shared" si="109"/>
        <v>318.8869074</v>
      </c>
      <c r="CP22" s="5">
        <f t="shared" si="44"/>
        <v>219.3181263</v>
      </c>
      <c r="CQ22" s="5">
        <f t="shared" si="45"/>
        <v>219.3181263</v>
      </c>
      <c r="CR22" s="35">
        <f t="shared" si="46"/>
        <v>82.2027969</v>
      </c>
      <c r="CS22" s="35">
        <f t="shared" si="110"/>
        <v>43.91683379999999</v>
      </c>
      <c r="CV22" s="5">
        <f t="shared" si="47"/>
        <v>4575.2472324</v>
      </c>
      <c r="CW22" s="5">
        <f t="shared" si="48"/>
        <v>4575.2472324</v>
      </c>
      <c r="CX22" s="35">
        <f t="shared" si="49"/>
        <v>1714.8519612</v>
      </c>
      <c r="CY22" s="35">
        <f t="shared" si="111"/>
        <v>916.1594424</v>
      </c>
      <c r="DB22" s="5">
        <f t="shared" si="50"/>
        <v>886.2499151999999</v>
      </c>
      <c r="DC22" s="5">
        <f t="shared" si="51"/>
        <v>886.2499151999999</v>
      </c>
      <c r="DD22" s="35">
        <f t="shared" si="52"/>
        <v>332.17601759999997</v>
      </c>
      <c r="DE22" s="35">
        <f t="shared" si="112"/>
        <v>177.46499519999998</v>
      </c>
      <c r="DH22" s="5">
        <f t="shared" si="53"/>
        <v>1172.5395201</v>
      </c>
      <c r="DI22" s="36">
        <f t="shared" si="54"/>
        <v>1172.5395201</v>
      </c>
      <c r="DJ22" s="35">
        <f t="shared" si="55"/>
        <v>439.4804463</v>
      </c>
      <c r="DK22" s="35">
        <f t="shared" si="113"/>
        <v>234.7923726</v>
      </c>
      <c r="DN22" s="5">
        <f t="shared" si="56"/>
        <v>3811.6287378</v>
      </c>
      <c r="DO22" s="36">
        <f t="shared" si="57"/>
        <v>3811.6287378</v>
      </c>
      <c r="DP22" s="35">
        <f t="shared" si="58"/>
        <v>1428.6395214</v>
      </c>
      <c r="DQ22" s="35">
        <f t="shared" si="114"/>
        <v>763.2504828</v>
      </c>
      <c r="DT22" s="5">
        <f t="shared" si="59"/>
        <v>2240.8513101</v>
      </c>
      <c r="DU22" s="5">
        <f t="shared" si="60"/>
        <v>2240.8513101</v>
      </c>
      <c r="DV22" s="35">
        <f t="shared" si="61"/>
        <v>839.8952162999999</v>
      </c>
      <c r="DW22" s="35">
        <f t="shared" si="115"/>
        <v>448.71391259999996</v>
      </c>
      <c r="DZ22" s="5">
        <f t="shared" si="62"/>
        <v>2529.5648156999996</v>
      </c>
      <c r="EA22" s="5">
        <f t="shared" si="63"/>
        <v>2529.5648156999996</v>
      </c>
      <c r="EB22" s="35">
        <f t="shared" si="64"/>
        <v>948.1081490999999</v>
      </c>
      <c r="EC22" s="35">
        <f t="shared" si="116"/>
        <v>506.5266582</v>
      </c>
      <c r="EF22" s="5">
        <f t="shared" si="65"/>
        <v>29287.273965300003</v>
      </c>
      <c r="EG22" s="5">
        <f t="shared" si="66"/>
        <v>29287.273965300003</v>
      </c>
      <c r="EH22" s="35">
        <f t="shared" si="67"/>
        <v>10977.1858539</v>
      </c>
      <c r="EI22" s="35">
        <f t="shared" si="117"/>
        <v>5864.5601478</v>
      </c>
      <c r="EL22" s="5">
        <f t="shared" si="68"/>
        <v>1078.3664892</v>
      </c>
      <c r="EM22" s="36">
        <f t="shared" si="69"/>
        <v>1078.3664892</v>
      </c>
      <c r="EN22" s="35">
        <f t="shared" si="70"/>
        <v>404.18337959999997</v>
      </c>
      <c r="EO22" s="35">
        <f t="shared" si="118"/>
        <v>215.9349192</v>
      </c>
      <c r="ER22" s="36">
        <f t="shared" si="71"/>
        <v>954.5680053000001</v>
      </c>
      <c r="ES22" s="36">
        <f t="shared" si="72"/>
        <v>954.5680053000001</v>
      </c>
      <c r="ET22" s="35">
        <f t="shared" si="73"/>
        <v>357.78237390000004</v>
      </c>
      <c r="EU22" s="35">
        <f t="shared" si="119"/>
        <v>191.14518780000003</v>
      </c>
      <c r="EV22"/>
    </row>
    <row r="23" spans="1:152" ht="12.75">
      <c r="A23" s="37">
        <v>45017</v>
      </c>
      <c r="C23" s="3">
        <v>5930000</v>
      </c>
      <c r="D23" s="3">
        <v>897741</v>
      </c>
      <c r="E23" s="35">
        <f t="shared" si="0"/>
        <v>6827741</v>
      </c>
      <c r="F23" s="35">
        <v>336483</v>
      </c>
      <c r="G23" s="35">
        <v>179766</v>
      </c>
      <c r="I23" s="47">
        <f t="shared" si="74"/>
        <v>893781.46</v>
      </c>
      <c r="J23" s="36">
        <f t="shared" si="1"/>
        <v>135309.31900199997</v>
      </c>
      <c r="K23" s="36">
        <f t="shared" si="2"/>
        <v>1029090.7790019999</v>
      </c>
      <c r="L23" s="36">
        <f t="shared" si="3"/>
        <v>50715.390726000005</v>
      </c>
      <c r="M23" s="36">
        <f t="shared" si="3"/>
        <v>27094.691052000002</v>
      </c>
      <c r="O23" s="5">
        <f t="shared" si="75"/>
        <v>371540.592</v>
      </c>
      <c r="P23" s="5">
        <f t="shared" si="4"/>
        <v>56247.4237104</v>
      </c>
      <c r="Q23" s="5">
        <f t="shared" si="5"/>
        <v>427788.0157104</v>
      </c>
      <c r="R23" s="35">
        <f t="shared" si="6"/>
        <v>21082.140475199998</v>
      </c>
      <c r="S23" s="35">
        <f t="shared" si="97"/>
        <v>11263.1308704</v>
      </c>
      <c r="U23" s="5">
        <f t="shared" si="76"/>
        <v>164.261</v>
      </c>
      <c r="V23" s="36">
        <f t="shared" si="7"/>
        <v>24.8674257</v>
      </c>
      <c r="W23" s="36">
        <f t="shared" si="8"/>
        <v>189.12842569999998</v>
      </c>
      <c r="X23" s="35">
        <f t="shared" si="9"/>
        <v>9.3205791</v>
      </c>
      <c r="Y23" s="35">
        <f t="shared" si="98"/>
        <v>4.9795182</v>
      </c>
      <c r="AA23" s="5">
        <f t="shared" si="77"/>
        <v>7354.978999999999</v>
      </c>
      <c r="AB23" s="5">
        <f t="shared" si="10"/>
        <v>1113.4681623</v>
      </c>
      <c r="AC23" s="5">
        <f t="shared" si="11"/>
        <v>8468.447162299999</v>
      </c>
      <c r="AD23" s="35">
        <f t="shared" si="12"/>
        <v>417.3398649</v>
      </c>
      <c r="AE23" s="35">
        <f t="shared" si="99"/>
        <v>222.9637698</v>
      </c>
      <c r="AG23" s="5">
        <f t="shared" si="78"/>
        <v>4429.117</v>
      </c>
      <c r="AH23" s="5">
        <f t="shared" si="13"/>
        <v>670.5227529</v>
      </c>
      <c r="AI23" s="5">
        <f t="shared" si="14"/>
        <v>5099.6397529000005</v>
      </c>
      <c r="AJ23" s="35">
        <f t="shared" si="15"/>
        <v>251.3191527</v>
      </c>
      <c r="AK23" s="35">
        <f t="shared" si="100"/>
        <v>134.2672254</v>
      </c>
      <c r="AM23" s="5">
        <f t="shared" si="79"/>
        <v>32917.43</v>
      </c>
      <c r="AN23" s="5">
        <f t="shared" si="16"/>
        <v>4983.360291</v>
      </c>
      <c r="AO23" s="5">
        <f t="shared" si="17"/>
        <v>37900.790291</v>
      </c>
      <c r="AP23" s="35">
        <f t="shared" si="18"/>
        <v>1867.8171330000002</v>
      </c>
      <c r="AQ23" s="35">
        <f t="shared" si="101"/>
        <v>997.881066</v>
      </c>
      <c r="AS23" s="5">
        <f t="shared" si="80"/>
        <v>10200.786</v>
      </c>
      <c r="AT23" s="5">
        <f t="shared" si="19"/>
        <v>1544.2940682</v>
      </c>
      <c r="AU23" s="5">
        <f t="shared" si="20"/>
        <v>11745.0800682</v>
      </c>
      <c r="AV23" s="35">
        <f t="shared" si="21"/>
        <v>578.8180566</v>
      </c>
      <c r="AW23" s="35">
        <f t="shared" si="102"/>
        <v>309.2334732</v>
      </c>
      <c r="AY23" s="5">
        <f t="shared" si="81"/>
        <v>19204.898</v>
      </c>
      <c r="AZ23" s="5">
        <f t="shared" si="22"/>
        <v>2907.4240025999998</v>
      </c>
      <c r="BA23" s="5">
        <f t="shared" si="23"/>
        <v>22112.3220026</v>
      </c>
      <c r="BB23" s="35">
        <f t="shared" si="24"/>
        <v>1089.7338438</v>
      </c>
      <c r="BC23" s="35">
        <f t="shared" si="103"/>
        <v>582.1901676</v>
      </c>
      <c r="BE23" s="5">
        <f t="shared" si="82"/>
        <v>4066.794</v>
      </c>
      <c r="BF23" s="5">
        <f t="shared" si="25"/>
        <v>615.6707778</v>
      </c>
      <c r="BG23" s="5">
        <f t="shared" si="26"/>
        <v>4682.4647778</v>
      </c>
      <c r="BH23" s="35">
        <f t="shared" si="27"/>
        <v>230.76004139999998</v>
      </c>
      <c r="BI23" s="35">
        <f t="shared" si="104"/>
        <v>123.2835228</v>
      </c>
      <c r="BK23" s="5">
        <f t="shared" si="83"/>
        <v>72513.81899999999</v>
      </c>
      <c r="BL23" s="5">
        <f t="shared" si="28"/>
        <v>10977.846270299999</v>
      </c>
      <c r="BM23" s="5">
        <f t="shared" si="29"/>
        <v>83491.66527029999</v>
      </c>
      <c r="BN23" s="35">
        <f t="shared" si="30"/>
        <v>4114.6150689</v>
      </c>
      <c r="BO23" s="35">
        <f t="shared" si="105"/>
        <v>2198.2325778</v>
      </c>
      <c r="BQ23" s="36">
        <f t="shared" si="84"/>
        <v>33574.474</v>
      </c>
      <c r="BR23" s="5">
        <f t="shared" si="31"/>
        <v>5082.8299938</v>
      </c>
      <c r="BS23" s="36">
        <f t="shared" si="32"/>
        <v>38657.3039938</v>
      </c>
      <c r="BT23" s="35">
        <f t="shared" si="33"/>
        <v>1905.0994494</v>
      </c>
      <c r="BU23" s="35">
        <f t="shared" si="106"/>
        <v>1017.7991387999999</v>
      </c>
      <c r="BW23" s="5">
        <f t="shared" si="85"/>
        <v>16079.788</v>
      </c>
      <c r="BX23" s="5">
        <f t="shared" si="34"/>
        <v>2434.3144956</v>
      </c>
      <c r="BY23" s="5">
        <f t="shared" si="35"/>
        <v>18514.1024956</v>
      </c>
      <c r="BZ23" s="35">
        <f t="shared" si="36"/>
        <v>912.4073028</v>
      </c>
      <c r="CA23" s="35">
        <f t="shared" si="107"/>
        <v>487.4534856</v>
      </c>
      <c r="CC23" s="5">
        <f t="shared" si="37"/>
        <v>2372.5930000000003</v>
      </c>
      <c r="CD23" s="5">
        <f t="shared" si="38"/>
        <v>359.1861741</v>
      </c>
      <c r="CE23" s="5">
        <f t="shared" si="39"/>
        <v>2731.7791741</v>
      </c>
      <c r="CF23" s="35">
        <f t="shared" si="40"/>
        <v>134.6268483</v>
      </c>
      <c r="CG23" s="35">
        <f t="shared" si="108"/>
        <v>71.9243766</v>
      </c>
      <c r="CI23" s="5">
        <f t="shared" si="86"/>
        <v>10519.226999999999</v>
      </c>
      <c r="CJ23" s="5">
        <f t="shared" si="41"/>
        <v>1592.5027599</v>
      </c>
      <c r="CK23" s="5">
        <f t="shared" si="42"/>
        <v>12111.7297599</v>
      </c>
      <c r="CL23" s="35">
        <f t="shared" si="43"/>
        <v>596.8871937</v>
      </c>
      <c r="CM23" s="35">
        <f t="shared" si="109"/>
        <v>318.8869074</v>
      </c>
      <c r="CO23" s="5">
        <f t="shared" si="87"/>
        <v>1448.6989999999998</v>
      </c>
      <c r="CP23" s="5">
        <f t="shared" si="44"/>
        <v>219.3181263</v>
      </c>
      <c r="CQ23" s="5">
        <f t="shared" si="45"/>
        <v>1668.0171262999997</v>
      </c>
      <c r="CR23" s="35">
        <f t="shared" si="46"/>
        <v>82.2027969</v>
      </c>
      <c r="CS23" s="35">
        <f t="shared" si="110"/>
        <v>43.91683379999999</v>
      </c>
      <c r="CU23" s="5">
        <f t="shared" si="88"/>
        <v>30221.652000000002</v>
      </c>
      <c r="CV23" s="5">
        <f t="shared" si="47"/>
        <v>4575.2472324</v>
      </c>
      <c r="CW23" s="5">
        <f t="shared" si="48"/>
        <v>34796.8992324</v>
      </c>
      <c r="CX23" s="35">
        <f t="shared" si="49"/>
        <v>1714.8519612</v>
      </c>
      <c r="CY23" s="35">
        <f t="shared" si="111"/>
        <v>916.1594424</v>
      </c>
      <c r="DA23" s="5">
        <f t="shared" si="89"/>
        <v>5854.096</v>
      </c>
      <c r="DB23" s="5">
        <f t="shared" si="50"/>
        <v>886.2499151999999</v>
      </c>
      <c r="DC23" s="5">
        <f t="shared" si="51"/>
        <v>6740.3459152</v>
      </c>
      <c r="DD23" s="35">
        <f t="shared" si="52"/>
        <v>332.17601759999997</v>
      </c>
      <c r="DE23" s="35">
        <f t="shared" si="112"/>
        <v>177.46499519999998</v>
      </c>
      <c r="DG23" s="5">
        <f t="shared" si="90"/>
        <v>7745.173</v>
      </c>
      <c r="DH23" s="5">
        <f t="shared" si="53"/>
        <v>1172.5395201</v>
      </c>
      <c r="DI23" s="36">
        <f t="shared" si="54"/>
        <v>8917.7125201</v>
      </c>
      <c r="DJ23" s="35">
        <f t="shared" si="55"/>
        <v>439.4804463</v>
      </c>
      <c r="DK23" s="35">
        <f t="shared" si="113"/>
        <v>234.7923726</v>
      </c>
      <c r="DM23" s="5">
        <f t="shared" si="91"/>
        <v>25177.594</v>
      </c>
      <c r="DN23" s="5">
        <f t="shared" si="56"/>
        <v>3811.6287378</v>
      </c>
      <c r="DO23" s="36">
        <f t="shared" si="57"/>
        <v>28989.222737800003</v>
      </c>
      <c r="DP23" s="35">
        <f t="shared" si="58"/>
        <v>1428.6395214</v>
      </c>
      <c r="DQ23" s="35">
        <f t="shared" si="114"/>
        <v>763.2504828</v>
      </c>
      <c r="DS23" s="5">
        <f t="shared" si="92"/>
        <v>14801.873</v>
      </c>
      <c r="DT23" s="5">
        <f t="shared" si="59"/>
        <v>2240.8513101</v>
      </c>
      <c r="DU23" s="5">
        <f t="shared" si="60"/>
        <v>17042.7243101</v>
      </c>
      <c r="DV23" s="35">
        <f t="shared" si="61"/>
        <v>839.8952162999999</v>
      </c>
      <c r="DW23" s="35">
        <f t="shared" si="115"/>
        <v>448.71391259999996</v>
      </c>
      <c r="DY23" s="5">
        <f t="shared" si="93"/>
        <v>16708.961</v>
      </c>
      <c r="DZ23" s="5">
        <f t="shared" si="62"/>
        <v>2529.5648156999996</v>
      </c>
      <c r="EA23" s="5">
        <f t="shared" si="63"/>
        <v>19238.5258157</v>
      </c>
      <c r="EB23" s="35">
        <f t="shared" si="64"/>
        <v>948.1081490999999</v>
      </c>
      <c r="EC23" s="35">
        <f t="shared" si="116"/>
        <v>506.5266582</v>
      </c>
      <c r="EE23" s="5">
        <f t="shared" si="94"/>
        <v>193456.169</v>
      </c>
      <c r="EF23" s="5">
        <f t="shared" si="65"/>
        <v>29287.273965300003</v>
      </c>
      <c r="EG23" s="5">
        <f t="shared" si="66"/>
        <v>222743.4429653</v>
      </c>
      <c r="EH23" s="35">
        <f t="shared" si="67"/>
        <v>10977.1858539</v>
      </c>
      <c r="EI23" s="35">
        <f t="shared" si="117"/>
        <v>5864.5601478</v>
      </c>
      <c r="EK23" s="5">
        <f t="shared" si="95"/>
        <v>7123.116</v>
      </c>
      <c r="EL23" s="5">
        <f t="shared" si="68"/>
        <v>1078.3664892</v>
      </c>
      <c r="EM23" s="36">
        <f t="shared" si="69"/>
        <v>8201.4824892</v>
      </c>
      <c r="EN23" s="35">
        <f t="shared" si="70"/>
        <v>404.18337959999997</v>
      </c>
      <c r="EO23" s="35">
        <f t="shared" si="118"/>
        <v>215.9349192</v>
      </c>
      <c r="EQ23" s="5">
        <f t="shared" si="96"/>
        <v>6305.369000000001</v>
      </c>
      <c r="ER23" s="36">
        <f t="shared" si="71"/>
        <v>954.5680053000001</v>
      </c>
      <c r="ES23" s="36">
        <f t="shared" si="72"/>
        <v>7259.9370053</v>
      </c>
      <c r="ET23" s="35">
        <f t="shared" si="73"/>
        <v>357.78237390000004</v>
      </c>
      <c r="EU23" s="35">
        <f t="shared" si="119"/>
        <v>191.14518780000003</v>
      </c>
      <c r="EV23"/>
    </row>
    <row r="24" spans="1:152" ht="12.75">
      <c r="A24" s="37">
        <v>45200</v>
      </c>
      <c r="D24" s="3">
        <v>749491</v>
      </c>
      <c r="E24" s="35">
        <f t="shared" si="0"/>
        <v>749491</v>
      </c>
      <c r="F24" s="35">
        <v>336483</v>
      </c>
      <c r="G24" s="35">
        <v>179766</v>
      </c>
      <c r="I24" s="47"/>
      <c r="J24" s="36">
        <f t="shared" si="1"/>
        <v>112964.78250200002</v>
      </c>
      <c r="K24" s="36">
        <f t="shared" si="2"/>
        <v>112964.78250200002</v>
      </c>
      <c r="L24" s="36">
        <f t="shared" si="3"/>
        <v>50715.390726000005</v>
      </c>
      <c r="M24" s="36">
        <f t="shared" si="3"/>
        <v>27094.691052000002</v>
      </c>
      <c r="P24" s="5">
        <f t="shared" si="4"/>
        <v>46958.9089104</v>
      </c>
      <c r="Q24" s="5">
        <f t="shared" si="5"/>
        <v>46958.9089104</v>
      </c>
      <c r="R24" s="35">
        <f t="shared" si="6"/>
        <v>21082.140475199998</v>
      </c>
      <c r="S24" s="35">
        <f t="shared" si="97"/>
        <v>11263.1308704</v>
      </c>
      <c r="V24" s="36">
        <f t="shared" si="7"/>
        <v>20.7609007</v>
      </c>
      <c r="W24" s="36">
        <f t="shared" si="8"/>
        <v>20.7609007</v>
      </c>
      <c r="X24" s="35">
        <f t="shared" si="9"/>
        <v>9.3205791</v>
      </c>
      <c r="Y24" s="35">
        <f t="shared" si="98"/>
        <v>4.9795182</v>
      </c>
      <c r="AB24" s="5">
        <f t="shared" si="10"/>
        <v>929.5936872999999</v>
      </c>
      <c r="AC24" s="5">
        <f t="shared" si="11"/>
        <v>929.5936872999999</v>
      </c>
      <c r="AD24" s="35">
        <f t="shared" si="12"/>
        <v>417.3398649</v>
      </c>
      <c r="AE24" s="35">
        <f t="shared" si="99"/>
        <v>222.9637698</v>
      </c>
      <c r="AH24" s="5">
        <f t="shared" si="13"/>
        <v>559.7948279</v>
      </c>
      <c r="AI24" s="5">
        <f t="shared" si="14"/>
        <v>559.7948279</v>
      </c>
      <c r="AJ24" s="35">
        <f t="shared" si="15"/>
        <v>251.3191527</v>
      </c>
      <c r="AK24" s="35">
        <f t="shared" si="100"/>
        <v>134.2672254</v>
      </c>
      <c r="AN24" s="5">
        <f t="shared" si="16"/>
        <v>4160.424541</v>
      </c>
      <c r="AO24" s="5">
        <f t="shared" si="17"/>
        <v>4160.424541</v>
      </c>
      <c r="AP24" s="35">
        <f t="shared" si="18"/>
        <v>1867.8171330000002</v>
      </c>
      <c r="AQ24" s="35">
        <f t="shared" si="101"/>
        <v>997.881066</v>
      </c>
      <c r="AT24" s="5">
        <f t="shared" si="19"/>
        <v>1289.2744182000001</v>
      </c>
      <c r="AU24" s="5">
        <f t="shared" si="20"/>
        <v>1289.2744182000001</v>
      </c>
      <c r="AV24" s="35">
        <f t="shared" si="21"/>
        <v>578.8180566</v>
      </c>
      <c r="AW24" s="35">
        <f t="shared" si="102"/>
        <v>309.2334732</v>
      </c>
      <c r="AZ24" s="5">
        <f t="shared" si="22"/>
        <v>2427.3015526</v>
      </c>
      <c r="BA24" s="5">
        <f t="shared" si="23"/>
        <v>2427.3015526</v>
      </c>
      <c r="BB24" s="35">
        <f t="shared" si="24"/>
        <v>1089.7338438</v>
      </c>
      <c r="BC24" s="35">
        <f t="shared" si="103"/>
        <v>582.1901676</v>
      </c>
      <c r="BF24" s="5">
        <f t="shared" si="25"/>
        <v>514.0009278</v>
      </c>
      <c r="BG24" s="5">
        <f t="shared" si="26"/>
        <v>514.0009278</v>
      </c>
      <c r="BH24" s="35">
        <f t="shared" si="27"/>
        <v>230.76004139999998</v>
      </c>
      <c r="BI24" s="35">
        <f t="shared" si="104"/>
        <v>123.2835228</v>
      </c>
      <c r="BL24" s="5">
        <f t="shared" si="28"/>
        <v>9165.000795299999</v>
      </c>
      <c r="BM24" s="5">
        <f t="shared" si="29"/>
        <v>9165.000795299999</v>
      </c>
      <c r="BN24" s="35">
        <f t="shared" si="30"/>
        <v>4114.6150689</v>
      </c>
      <c r="BO24" s="35">
        <f t="shared" si="105"/>
        <v>2198.2325778</v>
      </c>
      <c r="BQ24" s="36"/>
      <c r="BR24" s="5">
        <f t="shared" si="31"/>
        <v>4243.4681438</v>
      </c>
      <c r="BS24" s="36">
        <f t="shared" si="32"/>
        <v>4243.4681438</v>
      </c>
      <c r="BT24" s="35">
        <f t="shared" si="33"/>
        <v>1905.0994494</v>
      </c>
      <c r="BU24" s="35">
        <f t="shared" si="106"/>
        <v>1017.7991387999999</v>
      </c>
      <c r="BX24" s="5">
        <f t="shared" si="34"/>
        <v>2032.3197956000001</v>
      </c>
      <c r="BY24" s="5">
        <f t="shared" si="35"/>
        <v>2032.3197956000001</v>
      </c>
      <c r="BZ24" s="35">
        <f t="shared" si="36"/>
        <v>912.4073028</v>
      </c>
      <c r="CA24" s="35">
        <f t="shared" si="107"/>
        <v>487.4534856</v>
      </c>
      <c r="CC24" s="5">
        <f t="shared" si="37"/>
        <v>0</v>
      </c>
      <c r="CD24" s="5">
        <f t="shared" si="38"/>
        <v>299.87134910000003</v>
      </c>
      <c r="CE24" s="5">
        <f t="shared" si="39"/>
        <v>299.87134910000003</v>
      </c>
      <c r="CF24" s="35">
        <f t="shared" si="40"/>
        <v>134.6268483</v>
      </c>
      <c r="CG24" s="35">
        <f t="shared" si="108"/>
        <v>71.9243766</v>
      </c>
      <c r="CJ24" s="5">
        <f t="shared" si="41"/>
        <v>1329.5220849</v>
      </c>
      <c r="CK24" s="5">
        <f t="shared" si="42"/>
        <v>1329.5220849</v>
      </c>
      <c r="CL24" s="35">
        <f t="shared" si="43"/>
        <v>596.8871937</v>
      </c>
      <c r="CM24" s="35">
        <f t="shared" si="109"/>
        <v>318.8869074</v>
      </c>
      <c r="CP24" s="5">
        <f t="shared" si="44"/>
        <v>183.10065129999998</v>
      </c>
      <c r="CQ24" s="5">
        <f t="shared" si="45"/>
        <v>183.10065129999998</v>
      </c>
      <c r="CR24" s="35">
        <f t="shared" si="46"/>
        <v>82.2027969</v>
      </c>
      <c r="CS24" s="35">
        <f t="shared" si="110"/>
        <v>43.91683379999999</v>
      </c>
      <c r="CV24" s="5">
        <f t="shared" si="47"/>
        <v>3819.7059324</v>
      </c>
      <c r="CW24" s="5">
        <f t="shared" si="48"/>
        <v>3819.7059324</v>
      </c>
      <c r="CX24" s="35">
        <f t="shared" si="49"/>
        <v>1714.8519612</v>
      </c>
      <c r="CY24" s="35">
        <f t="shared" si="111"/>
        <v>916.1594424</v>
      </c>
      <c r="DB24" s="5">
        <f t="shared" si="50"/>
        <v>739.8975151999999</v>
      </c>
      <c r="DC24" s="5">
        <f t="shared" si="51"/>
        <v>739.8975151999999</v>
      </c>
      <c r="DD24" s="35">
        <f t="shared" si="52"/>
        <v>332.17601759999997</v>
      </c>
      <c r="DE24" s="35">
        <f t="shared" si="112"/>
        <v>177.46499519999998</v>
      </c>
      <c r="DH24" s="5">
        <f t="shared" si="53"/>
        <v>978.9101950999999</v>
      </c>
      <c r="DI24" s="36">
        <f t="shared" si="54"/>
        <v>978.9101950999999</v>
      </c>
      <c r="DJ24" s="35">
        <f t="shared" si="55"/>
        <v>439.4804463</v>
      </c>
      <c r="DK24" s="35">
        <f t="shared" si="113"/>
        <v>234.7923726</v>
      </c>
      <c r="DN24" s="5">
        <f t="shared" si="56"/>
        <v>3182.1888878</v>
      </c>
      <c r="DO24" s="36">
        <f t="shared" si="57"/>
        <v>3182.1888878</v>
      </c>
      <c r="DP24" s="35">
        <f t="shared" si="58"/>
        <v>1428.6395214</v>
      </c>
      <c r="DQ24" s="35">
        <f t="shared" si="114"/>
        <v>763.2504828</v>
      </c>
      <c r="DT24" s="5">
        <f t="shared" si="59"/>
        <v>1870.8044850999997</v>
      </c>
      <c r="DU24" s="5">
        <f t="shared" si="60"/>
        <v>1870.8044850999997</v>
      </c>
      <c r="DV24" s="35">
        <f t="shared" si="61"/>
        <v>839.8952162999999</v>
      </c>
      <c r="DW24" s="35">
        <f t="shared" si="115"/>
        <v>448.71391259999996</v>
      </c>
      <c r="DZ24" s="5">
        <f t="shared" si="62"/>
        <v>2111.8407907</v>
      </c>
      <c r="EA24" s="5">
        <f t="shared" si="63"/>
        <v>2111.8407907</v>
      </c>
      <c r="EB24" s="35">
        <f t="shared" si="64"/>
        <v>948.1081490999999</v>
      </c>
      <c r="EC24" s="35">
        <f t="shared" si="116"/>
        <v>506.5266582</v>
      </c>
      <c r="EF24" s="5">
        <f t="shared" si="65"/>
        <v>24450.8697403</v>
      </c>
      <c r="EG24" s="5">
        <f t="shared" si="66"/>
        <v>24450.8697403</v>
      </c>
      <c r="EH24" s="35">
        <f t="shared" si="67"/>
        <v>10977.1858539</v>
      </c>
      <c r="EI24" s="35">
        <f t="shared" si="117"/>
        <v>5864.5601478</v>
      </c>
      <c r="EL24" s="5">
        <f t="shared" si="68"/>
        <v>900.2885891999999</v>
      </c>
      <c r="EM24" s="36">
        <f t="shared" si="69"/>
        <v>900.2885891999999</v>
      </c>
      <c r="EN24" s="35">
        <f t="shared" si="70"/>
        <v>404.18337959999997</v>
      </c>
      <c r="EO24" s="35">
        <f t="shared" si="118"/>
        <v>215.9349192</v>
      </c>
      <c r="ER24" s="36">
        <f t="shared" si="71"/>
        <v>796.9337803000001</v>
      </c>
      <c r="ES24" s="36">
        <f t="shared" si="72"/>
        <v>796.9337803000001</v>
      </c>
      <c r="ET24" s="35">
        <f t="shared" si="73"/>
        <v>357.78237390000004</v>
      </c>
      <c r="EU24" s="35">
        <f t="shared" si="119"/>
        <v>191.14518780000003</v>
      </c>
      <c r="EV24"/>
    </row>
    <row r="25" spans="1:152" ht="12.75">
      <c r="A25" s="37">
        <v>45383</v>
      </c>
      <c r="C25" s="3">
        <v>10000</v>
      </c>
      <c r="D25" s="3">
        <v>749491</v>
      </c>
      <c r="E25" s="35">
        <f t="shared" si="0"/>
        <v>759491</v>
      </c>
      <c r="F25" s="35">
        <v>336483</v>
      </c>
      <c r="G25" s="35">
        <v>179766</v>
      </c>
      <c r="I25" s="47">
        <f t="shared" si="74"/>
        <v>1507.2199999999998</v>
      </c>
      <c r="J25" s="36">
        <f t="shared" si="1"/>
        <v>112964.78250200002</v>
      </c>
      <c r="K25" s="36">
        <f t="shared" si="2"/>
        <v>114472.00250200002</v>
      </c>
      <c r="L25" s="36">
        <f t="shared" si="3"/>
        <v>50715.390726000005</v>
      </c>
      <c r="M25" s="36">
        <f t="shared" si="3"/>
        <v>27094.691052000002</v>
      </c>
      <c r="O25" s="5">
        <f t="shared" si="75"/>
        <v>626.544</v>
      </c>
      <c r="P25" s="5">
        <f t="shared" si="4"/>
        <v>46958.9089104</v>
      </c>
      <c r="Q25" s="5">
        <f t="shared" si="5"/>
        <v>47585.4529104</v>
      </c>
      <c r="R25" s="35">
        <f t="shared" si="6"/>
        <v>21082.140475199998</v>
      </c>
      <c r="S25" s="35">
        <f t="shared" si="97"/>
        <v>11263.1308704</v>
      </c>
      <c r="U25" s="5">
        <f t="shared" si="76"/>
        <v>0.27699999999999997</v>
      </c>
      <c r="V25" s="36">
        <f t="shared" si="7"/>
        <v>20.7609007</v>
      </c>
      <c r="W25" s="36">
        <f t="shared" si="8"/>
        <v>21.0379007</v>
      </c>
      <c r="X25" s="35">
        <f t="shared" si="9"/>
        <v>9.3205791</v>
      </c>
      <c r="Y25" s="35">
        <f t="shared" si="98"/>
        <v>4.9795182</v>
      </c>
      <c r="AA25" s="5">
        <f t="shared" si="77"/>
        <v>12.402999999999999</v>
      </c>
      <c r="AB25" s="5">
        <f t="shared" si="10"/>
        <v>929.5936872999999</v>
      </c>
      <c r="AC25" s="5">
        <f t="shared" si="11"/>
        <v>941.9966873</v>
      </c>
      <c r="AD25" s="35">
        <f t="shared" si="12"/>
        <v>417.3398649</v>
      </c>
      <c r="AE25" s="35">
        <f t="shared" si="99"/>
        <v>222.9637698</v>
      </c>
      <c r="AG25" s="5">
        <f t="shared" si="78"/>
        <v>7.469</v>
      </c>
      <c r="AH25" s="5">
        <f t="shared" si="13"/>
        <v>559.7948279</v>
      </c>
      <c r="AI25" s="5">
        <f t="shared" si="14"/>
        <v>567.2638279</v>
      </c>
      <c r="AJ25" s="35">
        <f t="shared" si="15"/>
        <v>251.3191527</v>
      </c>
      <c r="AK25" s="35">
        <f t="shared" si="100"/>
        <v>134.2672254</v>
      </c>
      <c r="AM25" s="5">
        <f t="shared" si="79"/>
        <v>55.510000000000005</v>
      </c>
      <c r="AN25" s="5">
        <f t="shared" si="16"/>
        <v>4160.424541</v>
      </c>
      <c r="AO25" s="5">
        <f t="shared" si="17"/>
        <v>4215.9345410000005</v>
      </c>
      <c r="AP25" s="35">
        <f t="shared" si="18"/>
        <v>1867.8171330000002</v>
      </c>
      <c r="AQ25" s="35">
        <f t="shared" si="101"/>
        <v>997.881066</v>
      </c>
      <c r="AS25" s="5">
        <f t="shared" si="80"/>
        <v>17.202</v>
      </c>
      <c r="AT25" s="5">
        <f t="shared" si="19"/>
        <v>1289.2744182000001</v>
      </c>
      <c r="AU25" s="5">
        <f t="shared" si="20"/>
        <v>1306.4764182000001</v>
      </c>
      <c r="AV25" s="35">
        <f t="shared" si="21"/>
        <v>578.8180566</v>
      </c>
      <c r="AW25" s="35">
        <f t="shared" si="102"/>
        <v>309.2334732</v>
      </c>
      <c r="AY25" s="5">
        <f t="shared" si="81"/>
        <v>32.385999999999996</v>
      </c>
      <c r="AZ25" s="5">
        <f t="shared" si="22"/>
        <v>2427.3015526</v>
      </c>
      <c r="BA25" s="5">
        <f t="shared" si="23"/>
        <v>2459.6875526</v>
      </c>
      <c r="BB25" s="35">
        <f t="shared" si="24"/>
        <v>1089.7338438</v>
      </c>
      <c r="BC25" s="35">
        <f t="shared" si="103"/>
        <v>582.1901676</v>
      </c>
      <c r="BE25" s="5">
        <f t="shared" si="82"/>
        <v>6.858</v>
      </c>
      <c r="BF25" s="5">
        <f t="shared" si="25"/>
        <v>514.0009278</v>
      </c>
      <c r="BG25" s="5">
        <f t="shared" si="26"/>
        <v>520.8589278</v>
      </c>
      <c r="BH25" s="35">
        <f t="shared" si="27"/>
        <v>230.76004139999998</v>
      </c>
      <c r="BI25" s="35">
        <f t="shared" si="104"/>
        <v>123.2835228</v>
      </c>
      <c r="BK25" s="5">
        <f t="shared" si="83"/>
        <v>122.28299999999999</v>
      </c>
      <c r="BL25" s="5">
        <f t="shared" si="28"/>
        <v>9165.000795299999</v>
      </c>
      <c r="BM25" s="5">
        <f t="shared" si="29"/>
        <v>9287.283795299998</v>
      </c>
      <c r="BN25" s="35">
        <f t="shared" si="30"/>
        <v>4114.6150689</v>
      </c>
      <c r="BO25" s="35">
        <f t="shared" si="105"/>
        <v>2198.2325778</v>
      </c>
      <c r="BQ25" s="36">
        <f t="shared" si="84"/>
        <v>56.617999999999995</v>
      </c>
      <c r="BR25" s="5">
        <f t="shared" si="31"/>
        <v>4243.4681438</v>
      </c>
      <c r="BS25" s="36">
        <f t="shared" si="32"/>
        <v>4300.0861438</v>
      </c>
      <c r="BT25" s="35">
        <f t="shared" si="33"/>
        <v>1905.0994494</v>
      </c>
      <c r="BU25" s="35">
        <f t="shared" si="106"/>
        <v>1017.7991387999999</v>
      </c>
      <c r="BW25" s="5">
        <f t="shared" si="85"/>
        <v>27.116000000000003</v>
      </c>
      <c r="BX25" s="5">
        <f t="shared" si="34"/>
        <v>2032.3197956000001</v>
      </c>
      <c r="BY25" s="5">
        <f t="shared" si="35"/>
        <v>2059.4357956000003</v>
      </c>
      <c r="BZ25" s="35">
        <f t="shared" si="36"/>
        <v>912.4073028</v>
      </c>
      <c r="CA25" s="35">
        <f t="shared" si="107"/>
        <v>487.4534856</v>
      </c>
      <c r="CC25" s="5">
        <f t="shared" si="37"/>
        <v>4.001</v>
      </c>
      <c r="CD25" s="5">
        <f t="shared" si="38"/>
        <v>299.87134910000003</v>
      </c>
      <c r="CE25" s="5">
        <f t="shared" si="39"/>
        <v>303.8723491</v>
      </c>
      <c r="CF25" s="35">
        <f t="shared" si="40"/>
        <v>134.6268483</v>
      </c>
      <c r="CG25" s="35">
        <f t="shared" si="108"/>
        <v>71.9243766</v>
      </c>
      <c r="CI25" s="5">
        <f t="shared" si="86"/>
        <v>17.739</v>
      </c>
      <c r="CJ25" s="5">
        <f t="shared" si="41"/>
        <v>1329.5220849</v>
      </c>
      <c r="CK25" s="5">
        <f t="shared" si="42"/>
        <v>1347.2610849</v>
      </c>
      <c r="CL25" s="35">
        <f t="shared" si="43"/>
        <v>596.8871937</v>
      </c>
      <c r="CM25" s="35">
        <f t="shared" si="109"/>
        <v>318.8869074</v>
      </c>
      <c r="CO25" s="5">
        <f t="shared" si="87"/>
        <v>2.4429999999999996</v>
      </c>
      <c r="CP25" s="5">
        <f t="shared" si="44"/>
        <v>183.10065129999998</v>
      </c>
      <c r="CQ25" s="5">
        <f t="shared" si="45"/>
        <v>185.5436513</v>
      </c>
      <c r="CR25" s="35">
        <f t="shared" si="46"/>
        <v>82.2027969</v>
      </c>
      <c r="CS25" s="35">
        <f t="shared" si="110"/>
        <v>43.91683379999999</v>
      </c>
      <c r="CU25" s="5">
        <f t="shared" si="88"/>
        <v>50.964</v>
      </c>
      <c r="CV25" s="5">
        <f t="shared" si="47"/>
        <v>3819.7059324</v>
      </c>
      <c r="CW25" s="5">
        <f t="shared" si="48"/>
        <v>3870.6699324</v>
      </c>
      <c r="CX25" s="35">
        <f t="shared" si="49"/>
        <v>1714.8519612</v>
      </c>
      <c r="CY25" s="35">
        <f t="shared" si="111"/>
        <v>916.1594424</v>
      </c>
      <c r="DA25" s="5">
        <f t="shared" si="89"/>
        <v>9.872</v>
      </c>
      <c r="DB25" s="5">
        <f t="shared" si="50"/>
        <v>739.8975151999999</v>
      </c>
      <c r="DC25" s="5">
        <f t="shared" si="51"/>
        <v>749.7695151999999</v>
      </c>
      <c r="DD25" s="35">
        <f t="shared" si="52"/>
        <v>332.17601759999997</v>
      </c>
      <c r="DE25" s="35">
        <f t="shared" si="112"/>
        <v>177.46499519999998</v>
      </c>
      <c r="DG25" s="5">
        <f t="shared" si="90"/>
        <v>13.061</v>
      </c>
      <c r="DH25" s="5">
        <f t="shared" si="53"/>
        <v>978.9101950999999</v>
      </c>
      <c r="DI25" s="36">
        <f t="shared" si="54"/>
        <v>991.9711950999999</v>
      </c>
      <c r="DJ25" s="35">
        <f t="shared" si="55"/>
        <v>439.4804463</v>
      </c>
      <c r="DK25" s="35">
        <f t="shared" si="113"/>
        <v>234.7923726</v>
      </c>
      <c r="DM25" s="5">
        <f t="shared" si="91"/>
        <v>42.458</v>
      </c>
      <c r="DN25" s="5">
        <f t="shared" si="56"/>
        <v>3182.1888878</v>
      </c>
      <c r="DO25" s="36">
        <f t="shared" si="57"/>
        <v>3224.6468878</v>
      </c>
      <c r="DP25" s="35">
        <f t="shared" si="58"/>
        <v>1428.6395214</v>
      </c>
      <c r="DQ25" s="35">
        <f t="shared" si="114"/>
        <v>763.2504828</v>
      </c>
      <c r="DS25" s="5">
        <f t="shared" si="92"/>
        <v>24.961</v>
      </c>
      <c r="DT25" s="5">
        <f t="shared" si="59"/>
        <v>1870.8044850999997</v>
      </c>
      <c r="DU25" s="5">
        <f t="shared" si="60"/>
        <v>1895.7654850999998</v>
      </c>
      <c r="DV25" s="35">
        <f t="shared" si="61"/>
        <v>839.8952162999999</v>
      </c>
      <c r="DW25" s="35">
        <f t="shared" si="115"/>
        <v>448.71391259999996</v>
      </c>
      <c r="DY25" s="5">
        <f t="shared" si="93"/>
        <v>28.177</v>
      </c>
      <c r="DZ25" s="5">
        <f t="shared" si="62"/>
        <v>2111.8407907</v>
      </c>
      <c r="EA25" s="5">
        <f t="shared" si="63"/>
        <v>2140.0177907</v>
      </c>
      <c r="EB25" s="35">
        <f t="shared" si="64"/>
        <v>948.1081490999999</v>
      </c>
      <c r="EC25" s="35">
        <f t="shared" si="116"/>
        <v>506.5266582</v>
      </c>
      <c r="EE25" s="5">
        <f t="shared" si="94"/>
        <v>326.233</v>
      </c>
      <c r="EF25" s="5">
        <f t="shared" si="65"/>
        <v>24450.8697403</v>
      </c>
      <c r="EG25" s="5">
        <f t="shared" si="66"/>
        <v>24777.1027403</v>
      </c>
      <c r="EH25" s="35">
        <f t="shared" si="67"/>
        <v>10977.1858539</v>
      </c>
      <c r="EI25" s="35">
        <f t="shared" si="117"/>
        <v>5864.5601478</v>
      </c>
      <c r="EK25" s="5">
        <f t="shared" si="95"/>
        <v>12.011999999999999</v>
      </c>
      <c r="EL25" s="5">
        <f t="shared" si="68"/>
        <v>900.2885891999999</v>
      </c>
      <c r="EM25" s="36">
        <f t="shared" si="69"/>
        <v>912.3005891999999</v>
      </c>
      <c r="EN25" s="35">
        <f t="shared" si="70"/>
        <v>404.18337959999997</v>
      </c>
      <c r="EO25" s="35">
        <f t="shared" si="118"/>
        <v>215.9349192</v>
      </c>
      <c r="EQ25" s="5">
        <f t="shared" si="96"/>
        <v>10.633000000000001</v>
      </c>
      <c r="ER25" s="36">
        <f t="shared" si="71"/>
        <v>796.9337803000001</v>
      </c>
      <c r="ES25" s="36">
        <f t="shared" si="72"/>
        <v>807.5667803000001</v>
      </c>
      <c r="ET25" s="35">
        <f t="shared" si="73"/>
        <v>357.78237390000004</v>
      </c>
      <c r="EU25" s="35">
        <f t="shared" si="119"/>
        <v>191.14518780000003</v>
      </c>
      <c r="EV25"/>
    </row>
    <row r="26" spans="1:152" ht="12.75">
      <c r="A26" s="37">
        <v>45566</v>
      </c>
      <c r="D26" s="3">
        <v>749341</v>
      </c>
      <c r="E26" s="35">
        <f t="shared" si="0"/>
        <v>749341</v>
      </c>
      <c r="F26" s="35">
        <v>336483</v>
      </c>
      <c r="G26" s="35">
        <v>179766</v>
      </c>
      <c r="I26" s="47"/>
      <c r="J26" s="36">
        <f t="shared" si="1"/>
        <v>112942.17420199998</v>
      </c>
      <c r="K26" s="36">
        <f t="shared" si="2"/>
        <v>112942.17420199998</v>
      </c>
      <c r="L26" s="36">
        <f t="shared" si="3"/>
        <v>50715.390726000005</v>
      </c>
      <c r="M26" s="36">
        <f t="shared" si="3"/>
        <v>27094.691052000002</v>
      </c>
      <c r="N26"/>
      <c r="P26" s="5">
        <f t="shared" si="4"/>
        <v>46949.5107504</v>
      </c>
      <c r="Q26" s="5">
        <f t="shared" si="5"/>
        <v>46949.5107504</v>
      </c>
      <c r="R26" s="35">
        <f t="shared" si="6"/>
        <v>21082.140475199998</v>
      </c>
      <c r="S26" s="35">
        <f t="shared" si="97"/>
        <v>11263.1308704</v>
      </c>
      <c r="T26"/>
      <c r="V26" s="36">
        <f t="shared" si="7"/>
        <v>20.7567457</v>
      </c>
      <c r="W26" s="36">
        <f t="shared" si="8"/>
        <v>20.7567457</v>
      </c>
      <c r="X26" s="35">
        <f t="shared" si="9"/>
        <v>9.3205791</v>
      </c>
      <c r="Y26" s="35">
        <f t="shared" si="98"/>
        <v>4.9795182</v>
      </c>
      <c r="Z26"/>
      <c r="AB26" s="5">
        <f t="shared" si="10"/>
        <v>929.4076423</v>
      </c>
      <c r="AC26" s="5">
        <f t="shared" si="11"/>
        <v>929.4076423</v>
      </c>
      <c r="AD26" s="35">
        <f t="shared" si="12"/>
        <v>417.3398649</v>
      </c>
      <c r="AE26" s="35">
        <f t="shared" si="99"/>
        <v>222.9637698</v>
      </c>
      <c r="AF26"/>
      <c r="AH26" s="5">
        <f t="shared" si="13"/>
        <v>559.6827929</v>
      </c>
      <c r="AI26" s="5">
        <f t="shared" si="14"/>
        <v>559.6827929</v>
      </c>
      <c r="AJ26" s="35">
        <f t="shared" si="15"/>
        <v>251.3191527</v>
      </c>
      <c r="AK26" s="35">
        <f t="shared" si="100"/>
        <v>134.2672254</v>
      </c>
      <c r="AL26"/>
      <c r="AN26" s="5">
        <f t="shared" si="16"/>
        <v>4159.591891</v>
      </c>
      <c r="AO26" s="5">
        <f t="shared" si="17"/>
        <v>4159.591891</v>
      </c>
      <c r="AP26" s="35">
        <f t="shared" si="18"/>
        <v>1867.8171330000002</v>
      </c>
      <c r="AQ26" s="35">
        <f t="shared" si="101"/>
        <v>997.881066</v>
      </c>
      <c r="AR26"/>
      <c r="AT26" s="5">
        <f t="shared" si="19"/>
        <v>1289.0163882000002</v>
      </c>
      <c r="AU26" s="5">
        <f t="shared" si="20"/>
        <v>1289.0163882000002</v>
      </c>
      <c r="AV26" s="35">
        <f t="shared" si="21"/>
        <v>578.8180566</v>
      </c>
      <c r="AW26" s="35">
        <f t="shared" si="102"/>
        <v>309.2334732</v>
      </c>
      <c r="AX26"/>
      <c r="AZ26" s="5">
        <f t="shared" si="22"/>
        <v>2426.8157625999997</v>
      </c>
      <c r="BA26" s="5">
        <f t="shared" si="23"/>
        <v>2426.8157625999997</v>
      </c>
      <c r="BB26" s="35">
        <f t="shared" si="24"/>
        <v>1089.7338438</v>
      </c>
      <c r="BC26" s="35">
        <f t="shared" si="103"/>
        <v>582.1901676</v>
      </c>
      <c r="BD26"/>
      <c r="BF26" s="5">
        <f t="shared" si="25"/>
        <v>513.8980578</v>
      </c>
      <c r="BG26" s="5">
        <f t="shared" si="26"/>
        <v>513.8980578</v>
      </c>
      <c r="BH26" s="35">
        <f t="shared" si="27"/>
        <v>230.76004139999998</v>
      </c>
      <c r="BI26" s="35">
        <f t="shared" si="104"/>
        <v>123.2835228</v>
      </c>
      <c r="BJ26"/>
      <c r="BL26" s="5">
        <f t="shared" si="28"/>
        <v>9163.166550299999</v>
      </c>
      <c r="BM26" s="5">
        <f t="shared" si="29"/>
        <v>9163.166550299999</v>
      </c>
      <c r="BN26" s="35">
        <f t="shared" si="30"/>
        <v>4114.6150689</v>
      </c>
      <c r="BO26" s="35">
        <f t="shared" si="105"/>
        <v>2198.2325778</v>
      </c>
      <c r="BP26"/>
      <c r="BQ26" s="36"/>
      <c r="BR26" s="5">
        <f t="shared" si="31"/>
        <v>4242.6188738</v>
      </c>
      <c r="BS26" s="36">
        <f t="shared" si="32"/>
        <v>4242.6188738</v>
      </c>
      <c r="BT26" s="35">
        <f t="shared" si="33"/>
        <v>1905.0994494</v>
      </c>
      <c r="BU26" s="35">
        <f t="shared" si="106"/>
        <v>1017.7991387999999</v>
      </c>
      <c r="BV26"/>
      <c r="BX26" s="5">
        <f t="shared" si="34"/>
        <v>2031.9130556000002</v>
      </c>
      <c r="BY26" s="5">
        <f t="shared" si="35"/>
        <v>2031.9130556000002</v>
      </c>
      <c r="BZ26" s="35">
        <f t="shared" si="36"/>
        <v>912.4073028</v>
      </c>
      <c r="CA26" s="35">
        <f t="shared" si="107"/>
        <v>487.4534856</v>
      </c>
      <c r="CB26"/>
      <c r="CC26" s="5">
        <f t="shared" si="37"/>
        <v>0</v>
      </c>
      <c r="CD26" s="5">
        <f t="shared" si="38"/>
        <v>299.8113341</v>
      </c>
      <c r="CE26" s="5">
        <f t="shared" si="39"/>
        <v>299.8113341</v>
      </c>
      <c r="CF26" s="35">
        <f t="shared" si="40"/>
        <v>134.6268483</v>
      </c>
      <c r="CG26" s="35">
        <f t="shared" si="108"/>
        <v>71.9243766</v>
      </c>
      <c r="CH26"/>
      <c r="CJ26" s="5">
        <f t="shared" si="41"/>
        <v>1329.2559999</v>
      </c>
      <c r="CK26" s="5">
        <f t="shared" si="42"/>
        <v>1329.2559999</v>
      </c>
      <c r="CL26" s="35">
        <f t="shared" si="43"/>
        <v>596.8871937</v>
      </c>
      <c r="CM26" s="35">
        <f t="shared" si="109"/>
        <v>318.8869074</v>
      </c>
      <c r="CN26"/>
      <c r="CP26" s="5">
        <f t="shared" si="44"/>
        <v>183.0640063</v>
      </c>
      <c r="CQ26" s="5">
        <f t="shared" si="45"/>
        <v>183.0640063</v>
      </c>
      <c r="CR26" s="35">
        <f t="shared" si="46"/>
        <v>82.2027969</v>
      </c>
      <c r="CS26" s="35">
        <f t="shared" si="110"/>
        <v>43.91683379999999</v>
      </c>
      <c r="CT26"/>
      <c r="CV26" s="5">
        <f t="shared" si="47"/>
        <v>3818.9414724</v>
      </c>
      <c r="CW26" s="5">
        <f t="shared" si="48"/>
        <v>3818.9414724</v>
      </c>
      <c r="CX26" s="35">
        <f t="shared" si="49"/>
        <v>1714.8519612</v>
      </c>
      <c r="CY26" s="35">
        <f t="shared" si="111"/>
        <v>916.1594424</v>
      </c>
      <c r="CZ26"/>
      <c r="DB26" s="5">
        <f t="shared" si="50"/>
        <v>739.7494352</v>
      </c>
      <c r="DC26" s="5">
        <f t="shared" si="51"/>
        <v>739.7494352</v>
      </c>
      <c r="DD26" s="35">
        <f t="shared" si="52"/>
        <v>332.17601759999997</v>
      </c>
      <c r="DE26" s="35">
        <f t="shared" si="112"/>
        <v>177.46499519999998</v>
      </c>
      <c r="DF26"/>
      <c r="DH26" s="5">
        <f t="shared" si="53"/>
        <v>978.7142801</v>
      </c>
      <c r="DI26" s="36">
        <f t="shared" si="54"/>
        <v>978.7142801</v>
      </c>
      <c r="DJ26" s="35">
        <f t="shared" si="55"/>
        <v>439.4804463</v>
      </c>
      <c r="DK26" s="35">
        <f t="shared" si="113"/>
        <v>234.7923726</v>
      </c>
      <c r="DL26"/>
      <c r="DN26" s="5">
        <f t="shared" si="56"/>
        <v>3181.5520178</v>
      </c>
      <c r="DO26" s="36">
        <f t="shared" si="57"/>
        <v>3181.5520178</v>
      </c>
      <c r="DP26" s="35">
        <f t="shared" si="58"/>
        <v>1428.6395214</v>
      </c>
      <c r="DQ26" s="35">
        <f t="shared" si="114"/>
        <v>763.2504828</v>
      </c>
      <c r="DT26" s="5">
        <f t="shared" si="59"/>
        <v>1870.4300700999997</v>
      </c>
      <c r="DU26" s="5">
        <f t="shared" si="60"/>
        <v>1870.4300700999997</v>
      </c>
      <c r="DV26" s="35">
        <f t="shared" si="61"/>
        <v>839.8952162999999</v>
      </c>
      <c r="DW26" s="35">
        <f t="shared" si="115"/>
        <v>448.71391259999996</v>
      </c>
      <c r="DZ26" s="5">
        <f t="shared" si="62"/>
        <v>2111.4181356999998</v>
      </c>
      <c r="EA26" s="5">
        <f t="shared" si="63"/>
        <v>2111.4181356999998</v>
      </c>
      <c r="EB26" s="35">
        <f t="shared" si="64"/>
        <v>948.1081490999999</v>
      </c>
      <c r="EC26" s="35">
        <f t="shared" si="116"/>
        <v>506.5266582</v>
      </c>
      <c r="EF26" s="5">
        <f t="shared" si="65"/>
        <v>24445.9762453</v>
      </c>
      <c r="EG26" s="5">
        <f t="shared" si="66"/>
        <v>24445.9762453</v>
      </c>
      <c r="EH26" s="35">
        <f t="shared" si="67"/>
        <v>10977.1858539</v>
      </c>
      <c r="EI26" s="35">
        <f t="shared" si="117"/>
        <v>5864.5601478</v>
      </c>
      <c r="EL26" s="5">
        <f t="shared" si="68"/>
        <v>900.1084092</v>
      </c>
      <c r="EM26" s="36">
        <f t="shared" si="69"/>
        <v>900.1084092</v>
      </c>
      <c r="EN26" s="35">
        <f t="shared" si="70"/>
        <v>404.18337959999997</v>
      </c>
      <c r="EO26" s="35">
        <f t="shared" si="118"/>
        <v>215.9349192</v>
      </c>
      <c r="ER26" s="36">
        <f t="shared" si="71"/>
        <v>796.7742853000001</v>
      </c>
      <c r="ES26" s="36">
        <f t="shared" si="72"/>
        <v>796.7742853000001</v>
      </c>
      <c r="ET26" s="35">
        <f t="shared" si="73"/>
        <v>357.78237390000004</v>
      </c>
      <c r="EU26" s="35">
        <f t="shared" si="119"/>
        <v>191.14518780000003</v>
      </c>
      <c r="EV26"/>
    </row>
    <row r="27" spans="1:152" ht="12.75">
      <c r="A27" s="37">
        <v>45748</v>
      </c>
      <c r="C27" s="3">
        <v>6410000</v>
      </c>
      <c r="D27" s="3">
        <v>749341</v>
      </c>
      <c r="E27" s="35">
        <f t="shared" si="0"/>
        <v>7159341</v>
      </c>
      <c r="F27" s="35">
        <v>336483</v>
      </c>
      <c r="G27" s="35">
        <v>179766</v>
      </c>
      <c r="I27" s="47">
        <f t="shared" si="74"/>
        <v>966128.0200000001</v>
      </c>
      <c r="J27" s="36">
        <f t="shared" si="1"/>
        <v>112942.17420199998</v>
      </c>
      <c r="K27" s="36">
        <f t="shared" si="2"/>
        <v>1079070.194202</v>
      </c>
      <c r="L27" s="36">
        <f t="shared" si="3"/>
        <v>50715.390726000005</v>
      </c>
      <c r="M27" s="36">
        <f t="shared" si="3"/>
        <v>27094.691052000002</v>
      </c>
      <c r="N27"/>
      <c r="O27" s="5">
        <f t="shared" si="75"/>
        <v>401614.70399999997</v>
      </c>
      <c r="P27" s="5">
        <f t="shared" si="4"/>
        <v>46949.5107504</v>
      </c>
      <c r="Q27" s="5">
        <f t="shared" si="5"/>
        <v>448564.2147504</v>
      </c>
      <c r="R27" s="35">
        <f t="shared" si="6"/>
        <v>21082.140475199998</v>
      </c>
      <c r="S27" s="35">
        <f t="shared" si="97"/>
        <v>11263.1308704</v>
      </c>
      <c r="T27"/>
      <c r="U27" s="5">
        <f t="shared" si="76"/>
        <v>177.557</v>
      </c>
      <c r="V27" s="36">
        <f t="shared" si="7"/>
        <v>20.7567457</v>
      </c>
      <c r="W27" s="36">
        <f t="shared" si="8"/>
        <v>198.3137457</v>
      </c>
      <c r="X27" s="35">
        <f t="shared" si="9"/>
        <v>9.3205791</v>
      </c>
      <c r="Y27" s="35">
        <f t="shared" si="98"/>
        <v>4.9795182</v>
      </c>
      <c r="Z27"/>
      <c r="AA27" s="5">
        <f t="shared" si="77"/>
        <v>7950.322999999999</v>
      </c>
      <c r="AB27" s="5">
        <f t="shared" si="10"/>
        <v>929.4076423</v>
      </c>
      <c r="AC27" s="5">
        <f t="shared" si="11"/>
        <v>8879.730642299999</v>
      </c>
      <c r="AD27" s="35">
        <f t="shared" si="12"/>
        <v>417.3398649</v>
      </c>
      <c r="AE27" s="35">
        <f t="shared" si="99"/>
        <v>222.9637698</v>
      </c>
      <c r="AF27"/>
      <c r="AG27" s="5">
        <f t="shared" si="78"/>
        <v>4787.629</v>
      </c>
      <c r="AH27" s="5">
        <f t="shared" si="13"/>
        <v>559.6827929</v>
      </c>
      <c r="AI27" s="5">
        <f t="shared" si="14"/>
        <v>5347.3117929</v>
      </c>
      <c r="AJ27" s="35">
        <f t="shared" si="15"/>
        <v>251.3191527</v>
      </c>
      <c r="AK27" s="35">
        <f t="shared" si="100"/>
        <v>134.2672254</v>
      </c>
      <c r="AL27"/>
      <c r="AM27" s="5">
        <f t="shared" si="79"/>
        <v>35581.91</v>
      </c>
      <c r="AN27" s="5">
        <f t="shared" si="16"/>
        <v>4159.591891</v>
      </c>
      <c r="AO27" s="5">
        <f t="shared" si="17"/>
        <v>39741.50189100001</v>
      </c>
      <c r="AP27" s="35">
        <f t="shared" si="18"/>
        <v>1867.8171330000002</v>
      </c>
      <c r="AQ27" s="35">
        <f t="shared" si="101"/>
        <v>997.881066</v>
      </c>
      <c r="AR27"/>
      <c r="AS27" s="5">
        <f t="shared" si="80"/>
        <v>11026.482</v>
      </c>
      <c r="AT27" s="5">
        <f t="shared" si="19"/>
        <v>1289.0163882000002</v>
      </c>
      <c r="AU27" s="5">
        <f t="shared" si="20"/>
        <v>12315.4983882</v>
      </c>
      <c r="AV27" s="35">
        <f t="shared" si="21"/>
        <v>578.8180566</v>
      </c>
      <c r="AW27" s="35">
        <f t="shared" si="102"/>
        <v>309.2334732</v>
      </c>
      <c r="AX27"/>
      <c r="AY27" s="5">
        <f t="shared" si="81"/>
        <v>20759.426</v>
      </c>
      <c r="AZ27" s="5">
        <f t="shared" si="22"/>
        <v>2426.8157625999997</v>
      </c>
      <c r="BA27" s="5">
        <f t="shared" si="23"/>
        <v>23186.2417626</v>
      </c>
      <c r="BB27" s="35">
        <f t="shared" si="24"/>
        <v>1089.7338438</v>
      </c>
      <c r="BC27" s="35">
        <f t="shared" si="103"/>
        <v>582.1901676</v>
      </c>
      <c r="BD27"/>
      <c r="BE27" s="5">
        <f t="shared" si="82"/>
        <v>4395.978</v>
      </c>
      <c r="BF27" s="5">
        <f t="shared" si="25"/>
        <v>513.8980578</v>
      </c>
      <c r="BG27" s="5">
        <f t="shared" si="26"/>
        <v>4909.8760578</v>
      </c>
      <c r="BH27" s="35">
        <f t="shared" si="27"/>
        <v>230.76004139999998</v>
      </c>
      <c r="BI27" s="35">
        <f t="shared" si="104"/>
        <v>123.2835228</v>
      </c>
      <c r="BJ27"/>
      <c r="BK27" s="5">
        <f t="shared" si="83"/>
        <v>78383.40299999999</v>
      </c>
      <c r="BL27" s="5">
        <f t="shared" si="28"/>
        <v>9163.166550299999</v>
      </c>
      <c r="BM27" s="5">
        <f t="shared" si="29"/>
        <v>87546.56955029999</v>
      </c>
      <c r="BN27" s="35">
        <f t="shared" si="30"/>
        <v>4114.6150689</v>
      </c>
      <c r="BO27" s="35">
        <f t="shared" si="105"/>
        <v>2198.2325778</v>
      </c>
      <c r="BP27"/>
      <c r="BQ27" s="36">
        <f t="shared" si="84"/>
        <v>36292.138</v>
      </c>
      <c r="BR27" s="5">
        <f t="shared" si="31"/>
        <v>4242.6188738</v>
      </c>
      <c r="BS27" s="36">
        <f t="shared" si="32"/>
        <v>40534.7568738</v>
      </c>
      <c r="BT27" s="35">
        <f t="shared" si="33"/>
        <v>1905.0994494</v>
      </c>
      <c r="BU27" s="35">
        <f t="shared" si="106"/>
        <v>1017.7991387999999</v>
      </c>
      <c r="BV27"/>
      <c r="BW27" s="5">
        <f t="shared" si="85"/>
        <v>17381.356</v>
      </c>
      <c r="BX27" s="5">
        <f t="shared" si="34"/>
        <v>2031.9130556000002</v>
      </c>
      <c r="BY27" s="5">
        <f t="shared" si="35"/>
        <v>19413.2690556</v>
      </c>
      <c r="BZ27" s="35">
        <f t="shared" si="36"/>
        <v>912.4073028</v>
      </c>
      <c r="CA27" s="35">
        <f t="shared" si="107"/>
        <v>487.4534856</v>
      </c>
      <c r="CB27"/>
      <c r="CC27" s="5">
        <f t="shared" si="37"/>
        <v>2564.641</v>
      </c>
      <c r="CD27" s="5">
        <f t="shared" si="38"/>
        <v>299.8113341</v>
      </c>
      <c r="CE27" s="5">
        <f t="shared" si="39"/>
        <v>2864.4523341</v>
      </c>
      <c r="CF27" s="35">
        <f t="shared" si="40"/>
        <v>134.6268483</v>
      </c>
      <c r="CG27" s="35">
        <f t="shared" si="108"/>
        <v>71.9243766</v>
      </c>
      <c r="CH27"/>
      <c r="CI27" s="5">
        <f t="shared" si="86"/>
        <v>11370.698999999999</v>
      </c>
      <c r="CJ27" s="5">
        <f t="shared" si="41"/>
        <v>1329.2559999</v>
      </c>
      <c r="CK27" s="5">
        <f t="shared" si="42"/>
        <v>12699.9549999</v>
      </c>
      <c r="CL27" s="35">
        <f t="shared" si="43"/>
        <v>596.8871937</v>
      </c>
      <c r="CM27" s="35">
        <f t="shared" si="109"/>
        <v>318.8869074</v>
      </c>
      <c r="CN27"/>
      <c r="CO27" s="5">
        <f t="shared" si="87"/>
        <v>1565.9629999999997</v>
      </c>
      <c r="CP27" s="5">
        <f t="shared" si="44"/>
        <v>183.0640063</v>
      </c>
      <c r="CQ27" s="5">
        <f t="shared" si="45"/>
        <v>1749.0270062999998</v>
      </c>
      <c r="CR27" s="35">
        <f t="shared" si="46"/>
        <v>82.2027969</v>
      </c>
      <c r="CS27" s="35">
        <f t="shared" si="110"/>
        <v>43.91683379999999</v>
      </c>
      <c r="CT27"/>
      <c r="CU27" s="5">
        <f t="shared" si="88"/>
        <v>32667.924</v>
      </c>
      <c r="CV27" s="5">
        <f t="shared" si="47"/>
        <v>3818.9414724</v>
      </c>
      <c r="CW27" s="5">
        <f t="shared" si="48"/>
        <v>36486.8654724</v>
      </c>
      <c r="CX27" s="35">
        <f t="shared" si="49"/>
        <v>1714.8519612</v>
      </c>
      <c r="CY27" s="35">
        <f t="shared" si="111"/>
        <v>916.1594424</v>
      </c>
      <c r="CZ27"/>
      <c r="DA27" s="5">
        <f t="shared" si="89"/>
        <v>6327.951999999999</v>
      </c>
      <c r="DB27" s="5">
        <f t="shared" si="50"/>
        <v>739.7494352</v>
      </c>
      <c r="DC27" s="5">
        <f t="shared" si="51"/>
        <v>7067.7014352</v>
      </c>
      <c r="DD27" s="35">
        <f t="shared" si="52"/>
        <v>332.17601759999997</v>
      </c>
      <c r="DE27" s="35">
        <f t="shared" si="112"/>
        <v>177.46499519999998</v>
      </c>
      <c r="DF27"/>
      <c r="DG27" s="5">
        <f t="shared" si="90"/>
        <v>8372.100999999999</v>
      </c>
      <c r="DH27" s="5">
        <f t="shared" si="53"/>
        <v>978.7142801</v>
      </c>
      <c r="DI27" s="36">
        <f t="shared" si="54"/>
        <v>9350.8152801</v>
      </c>
      <c r="DJ27" s="35">
        <f t="shared" si="55"/>
        <v>439.4804463</v>
      </c>
      <c r="DK27" s="35">
        <f t="shared" si="113"/>
        <v>234.7923726</v>
      </c>
      <c r="DL27"/>
      <c r="DM27" s="5">
        <f t="shared" si="91"/>
        <v>27215.578</v>
      </c>
      <c r="DN27" s="5">
        <f t="shared" si="56"/>
        <v>3181.5520178</v>
      </c>
      <c r="DO27" s="36">
        <f t="shared" si="57"/>
        <v>30397.130017800002</v>
      </c>
      <c r="DP27" s="35">
        <f t="shared" si="58"/>
        <v>1428.6395214</v>
      </c>
      <c r="DQ27" s="35">
        <f t="shared" si="114"/>
        <v>763.2504828</v>
      </c>
      <c r="DS27" s="5">
        <f t="shared" si="92"/>
        <v>16000.000999999998</v>
      </c>
      <c r="DT27" s="5">
        <f t="shared" si="59"/>
        <v>1870.4300700999997</v>
      </c>
      <c r="DU27" s="5">
        <f t="shared" si="60"/>
        <v>17870.4310701</v>
      </c>
      <c r="DV27" s="35">
        <f t="shared" si="61"/>
        <v>839.8952162999999</v>
      </c>
      <c r="DW27" s="35">
        <f t="shared" si="115"/>
        <v>448.71391259999996</v>
      </c>
      <c r="DY27" s="5">
        <f t="shared" si="93"/>
        <v>18061.457</v>
      </c>
      <c r="DZ27" s="5">
        <f t="shared" si="62"/>
        <v>2111.4181356999998</v>
      </c>
      <c r="EA27" s="5">
        <f t="shared" si="63"/>
        <v>20172.8751357</v>
      </c>
      <c r="EB27" s="35">
        <f t="shared" si="64"/>
        <v>948.1081490999999</v>
      </c>
      <c r="EC27" s="35">
        <f t="shared" si="116"/>
        <v>506.5266582</v>
      </c>
      <c r="EE27" s="5">
        <f t="shared" si="94"/>
        <v>209115.353</v>
      </c>
      <c r="EF27" s="5">
        <f t="shared" si="65"/>
        <v>24445.9762453</v>
      </c>
      <c r="EG27" s="5">
        <f t="shared" si="66"/>
        <v>233561.3292453</v>
      </c>
      <c r="EH27" s="35">
        <f t="shared" si="67"/>
        <v>10977.1858539</v>
      </c>
      <c r="EI27" s="35">
        <f t="shared" si="117"/>
        <v>5864.5601478</v>
      </c>
      <c r="EK27" s="5">
        <f t="shared" si="95"/>
        <v>7699.691999999999</v>
      </c>
      <c r="EL27" s="5">
        <f t="shared" si="68"/>
        <v>900.1084092</v>
      </c>
      <c r="EM27" s="36">
        <f t="shared" si="69"/>
        <v>8599.8004092</v>
      </c>
      <c r="EN27" s="35">
        <f t="shared" si="70"/>
        <v>404.18337959999997</v>
      </c>
      <c r="EO27" s="35">
        <f t="shared" si="118"/>
        <v>215.9349192</v>
      </c>
      <c r="EQ27" s="5">
        <f t="shared" si="96"/>
        <v>6815.753000000001</v>
      </c>
      <c r="ER27" s="36">
        <f t="shared" si="71"/>
        <v>796.7742853000001</v>
      </c>
      <c r="ES27" s="36">
        <f t="shared" si="72"/>
        <v>7612.527285300001</v>
      </c>
      <c r="ET27" s="35">
        <f t="shared" si="73"/>
        <v>357.78237390000004</v>
      </c>
      <c r="EU27" s="35">
        <f t="shared" si="119"/>
        <v>191.14518780000003</v>
      </c>
      <c r="EV27"/>
    </row>
    <row r="28" spans="1:152" ht="12.75">
      <c r="A28" s="37">
        <v>45931</v>
      </c>
      <c r="D28" s="3">
        <v>589091</v>
      </c>
      <c r="E28" s="35">
        <f t="shared" si="0"/>
        <v>589091</v>
      </c>
      <c r="F28" s="35">
        <v>336483</v>
      </c>
      <c r="G28" s="35">
        <v>179766</v>
      </c>
      <c r="I28" s="47"/>
      <c r="J28" s="36">
        <f t="shared" si="1"/>
        <v>88788.973702</v>
      </c>
      <c r="K28" s="36">
        <f t="shared" si="2"/>
        <v>88788.973702</v>
      </c>
      <c r="L28" s="36">
        <f t="shared" si="3"/>
        <v>50715.390726000005</v>
      </c>
      <c r="M28" s="36">
        <f t="shared" si="3"/>
        <v>27094.691052000002</v>
      </c>
      <c r="N28"/>
      <c r="P28" s="5">
        <f t="shared" si="4"/>
        <v>36909.1431504</v>
      </c>
      <c r="Q28" s="5">
        <f t="shared" si="5"/>
        <v>36909.1431504</v>
      </c>
      <c r="R28" s="35">
        <f t="shared" si="6"/>
        <v>21082.140475199998</v>
      </c>
      <c r="S28" s="35">
        <f t="shared" si="97"/>
        <v>11263.1308704</v>
      </c>
      <c r="T28"/>
      <c r="V28" s="36">
        <f t="shared" si="7"/>
        <v>16.3178207</v>
      </c>
      <c r="W28" s="36">
        <f t="shared" si="8"/>
        <v>16.3178207</v>
      </c>
      <c r="X28" s="35">
        <f t="shared" si="9"/>
        <v>9.3205791</v>
      </c>
      <c r="Y28" s="35">
        <f t="shared" si="98"/>
        <v>4.9795182</v>
      </c>
      <c r="Z28"/>
      <c r="AB28" s="5">
        <f t="shared" si="10"/>
        <v>730.6495673</v>
      </c>
      <c r="AC28" s="5">
        <f t="shared" si="11"/>
        <v>730.6495673</v>
      </c>
      <c r="AD28" s="35">
        <f t="shared" si="12"/>
        <v>417.3398649</v>
      </c>
      <c r="AE28" s="35">
        <f t="shared" si="99"/>
        <v>222.9637698</v>
      </c>
      <c r="AF28"/>
      <c r="AH28" s="5">
        <f t="shared" si="13"/>
        <v>439.9920679</v>
      </c>
      <c r="AI28" s="5">
        <f t="shared" si="14"/>
        <v>439.9920679</v>
      </c>
      <c r="AJ28" s="35">
        <f t="shared" si="15"/>
        <v>251.3191527</v>
      </c>
      <c r="AK28" s="35">
        <f t="shared" si="100"/>
        <v>134.2672254</v>
      </c>
      <c r="AL28"/>
      <c r="AN28" s="5">
        <f t="shared" si="16"/>
        <v>3270.0441410000003</v>
      </c>
      <c r="AO28" s="5">
        <f t="shared" si="17"/>
        <v>3270.0441410000003</v>
      </c>
      <c r="AP28" s="35">
        <f t="shared" si="18"/>
        <v>1867.8171330000002</v>
      </c>
      <c r="AQ28" s="35">
        <f t="shared" si="101"/>
        <v>997.881066</v>
      </c>
      <c r="AR28"/>
      <c r="AT28" s="5">
        <f t="shared" si="19"/>
        <v>1013.3543382</v>
      </c>
      <c r="AU28" s="5">
        <f t="shared" si="20"/>
        <v>1013.3543382</v>
      </c>
      <c r="AV28" s="35">
        <f t="shared" si="21"/>
        <v>578.8180566</v>
      </c>
      <c r="AW28" s="35">
        <f t="shared" si="102"/>
        <v>309.2334732</v>
      </c>
      <c r="AX28"/>
      <c r="AZ28" s="5">
        <f t="shared" si="22"/>
        <v>1907.8301126</v>
      </c>
      <c r="BA28" s="5">
        <f t="shared" si="23"/>
        <v>1907.8301126</v>
      </c>
      <c r="BB28" s="35">
        <f t="shared" si="24"/>
        <v>1089.7338438</v>
      </c>
      <c r="BC28" s="35">
        <f t="shared" si="103"/>
        <v>582.1901676</v>
      </c>
      <c r="BD28"/>
      <c r="BF28" s="5">
        <f t="shared" si="25"/>
        <v>403.9986078</v>
      </c>
      <c r="BG28" s="5">
        <f t="shared" si="26"/>
        <v>403.9986078</v>
      </c>
      <c r="BH28" s="35">
        <f t="shared" si="27"/>
        <v>230.76004139999998</v>
      </c>
      <c r="BI28" s="35">
        <f t="shared" si="104"/>
        <v>123.2835228</v>
      </c>
      <c r="BJ28"/>
      <c r="BL28" s="5">
        <f t="shared" si="28"/>
        <v>7203.5814752999995</v>
      </c>
      <c r="BM28" s="5">
        <f t="shared" si="29"/>
        <v>7203.5814752999995</v>
      </c>
      <c r="BN28" s="35">
        <f t="shared" si="30"/>
        <v>4114.6150689</v>
      </c>
      <c r="BO28" s="35">
        <f t="shared" si="105"/>
        <v>2198.2325778</v>
      </c>
      <c r="BP28"/>
      <c r="BQ28" s="36"/>
      <c r="BR28" s="5">
        <f t="shared" si="31"/>
        <v>3335.3154237999997</v>
      </c>
      <c r="BS28" s="36">
        <f t="shared" si="32"/>
        <v>3335.3154237999997</v>
      </c>
      <c r="BT28" s="35">
        <f t="shared" si="33"/>
        <v>1905.0994494</v>
      </c>
      <c r="BU28" s="35">
        <f t="shared" si="106"/>
        <v>1017.7991387999999</v>
      </c>
      <c r="BV28"/>
      <c r="BX28" s="5">
        <f t="shared" si="34"/>
        <v>1597.3791556</v>
      </c>
      <c r="BY28" s="5">
        <f t="shared" si="35"/>
        <v>1597.3791556</v>
      </c>
      <c r="BZ28" s="35">
        <f t="shared" si="36"/>
        <v>912.4073028</v>
      </c>
      <c r="CA28" s="35">
        <f t="shared" si="107"/>
        <v>487.4534856</v>
      </c>
      <c r="CB28"/>
      <c r="CC28" s="5">
        <f t="shared" si="37"/>
        <v>0</v>
      </c>
      <c r="CD28" s="5">
        <f t="shared" si="38"/>
        <v>235.6953091</v>
      </c>
      <c r="CE28" s="5">
        <f t="shared" si="39"/>
        <v>235.6953091</v>
      </c>
      <c r="CF28" s="35">
        <f t="shared" si="40"/>
        <v>134.6268483</v>
      </c>
      <c r="CG28" s="35">
        <f t="shared" si="108"/>
        <v>71.9243766</v>
      </c>
      <c r="CH28"/>
      <c r="CJ28" s="5">
        <f t="shared" si="41"/>
        <v>1044.9885249</v>
      </c>
      <c r="CK28" s="5">
        <f t="shared" si="42"/>
        <v>1044.9885249</v>
      </c>
      <c r="CL28" s="35">
        <f t="shared" si="43"/>
        <v>596.8871937</v>
      </c>
      <c r="CM28" s="35">
        <f t="shared" si="109"/>
        <v>318.8869074</v>
      </c>
      <c r="CN28"/>
      <c r="CP28" s="5">
        <f t="shared" si="44"/>
        <v>143.91493129999998</v>
      </c>
      <c r="CQ28" s="5">
        <f t="shared" si="45"/>
        <v>143.91493129999998</v>
      </c>
      <c r="CR28" s="35">
        <f t="shared" si="46"/>
        <v>82.2027969</v>
      </c>
      <c r="CS28" s="35">
        <f t="shared" si="110"/>
        <v>43.91683379999999</v>
      </c>
      <c r="CT28"/>
      <c r="CV28" s="5">
        <f t="shared" si="47"/>
        <v>3002.2433724</v>
      </c>
      <c r="CW28" s="5">
        <f t="shared" si="48"/>
        <v>3002.2433724</v>
      </c>
      <c r="CX28" s="35">
        <f t="shared" si="49"/>
        <v>1714.8519612</v>
      </c>
      <c r="CY28" s="35">
        <f t="shared" si="111"/>
        <v>916.1594424</v>
      </c>
      <c r="CZ28"/>
      <c r="DB28" s="5">
        <f t="shared" si="50"/>
        <v>581.5506352</v>
      </c>
      <c r="DC28" s="5">
        <f t="shared" si="51"/>
        <v>581.5506352</v>
      </c>
      <c r="DD28" s="35">
        <f t="shared" si="52"/>
        <v>332.17601759999997</v>
      </c>
      <c r="DE28" s="35">
        <f t="shared" si="112"/>
        <v>177.46499519999998</v>
      </c>
      <c r="DF28"/>
      <c r="DH28" s="5">
        <f t="shared" si="53"/>
        <v>769.4117550999999</v>
      </c>
      <c r="DI28" s="36">
        <f t="shared" si="54"/>
        <v>769.4117550999999</v>
      </c>
      <c r="DJ28" s="35">
        <f t="shared" si="55"/>
        <v>439.4804463</v>
      </c>
      <c r="DK28" s="35">
        <f t="shared" si="113"/>
        <v>234.7923726</v>
      </c>
      <c r="DL28"/>
      <c r="DN28" s="5">
        <f t="shared" si="56"/>
        <v>2501.1625678</v>
      </c>
      <c r="DO28" s="36">
        <f t="shared" si="57"/>
        <v>2501.1625678</v>
      </c>
      <c r="DP28" s="35">
        <f t="shared" si="58"/>
        <v>1428.6395214</v>
      </c>
      <c r="DQ28" s="35">
        <f t="shared" si="114"/>
        <v>763.2504828</v>
      </c>
      <c r="DT28" s="5">
        <f t="shared" si="59"/>
        <v>1470.4300451</v>
      </c>
      <c r="DU28" s="5">
        <f t="shared" si="60"/>
        <v>1470.4300451</v>
      </c>
      <c r="DV28" s="35">
        <f t="shared" si="61"/>
        <v>839.8952162999999</v>
      </c>
      <c r="DW28" s="35">
        <f t="shared" si="115"/>
        <v>448.71391259999996</v>
      </c>
      <c r="DZ28" s="5">
        <f t="shared" si="62"/>
        <v>1659.8817107</v>
      </c>
      <c r="EA28" s="5">
        <f t="shared" si="63"/>
        <v>1659.8817107</v>
      </c>
      <c r="EB28" s="35">
        <f t="shared" si="64"/>
        <v>948.1081490999999</v>
      </c>
      <c r="EC28" s="35">
        <f t="shared" si="116"/>
        <v>506.5266582</v>
      </c>
      <c r="EF28" s="5">
        <f t="shared" si="65"/>
        <v>19218.0924203</v>
      </c>
      <c r="EG28" s="5">
        <f t="shared" si="66"/>
        <v>19218.0924203</v>
      </c>
      <c r="EH28" s="35">
        <f t="shared" si="67"/>
        <v>10977.1858539</v>
      </c>
      <c r="EI28" s="35">
        <f t="shared" si="117"/>
        <v>5864.5601478</v>
      </c>
      <c r="EL28" s="5">
        <f t="shared" si="68"/>
        <v>707.6161092</v>
      </c>
      <c r="EM28" s="36">
        <f t="shared" si="69"/>
        <v>707.6161092</v>
      </c>
      <c r="EN28" s="35">
        <f t="shared" si="70"/>
        <v>404.18337959999997</v>
      </c>
      <c r="EO28" s="35">
        <f t="shared" si="118"/>
        <v>215.9349192</v>
      </c>
      <c r="ER28" s="36">
        <f t="shared" si="71"/>
        <v>626.3804603000001</v>
      </c>
      <c r="ES28" s="36">
        <f t="shared" si="72"/>
        <v>626.3804603000001</v>
      </c>
      <c r="ET28" s="35">
        <f t="shared" si="73"/>
        <v>357.78237390000004</v>
      </c>
      <c r="EU28" s="35">
        <f t="shared" si="119"/>
        <v>191.14518780000003</v>
      </c>
      <c r="EV28"/>
    </row>
    <row r="29" spans="1:152" ht="12.75">
      <c r="A29" s="37">
        <v>46113</v>
      </c>
      <c r="C29" s="3">
        <v>6735000</v>
      </c>
      <c r="D29" s="3">
        <v>589091</v>
      </c>
      <c r="E29" s="35">
        <f t="shared" si="0"/>
        <v>7324091</v>
      </c>
      <c r="F29" s="35">
        <v>336483</v>
      </c>
      <c r="G29" s="35">
        <v>179766</v>
      </c>
      <c r="I29" s="47">
        <f t="shared" si="74"/>
        <v>1015112.67</v>
      </c>
      <c r="J29" s="36">
        <f t="shared" si="1"/>
        <v>88788.973702</v>
      </c>
      <c r="K29" s="36">
        <f t="shared" si="2"/>
        <v>1103901.6437020001</v>
      </c>
      <c r="L29" s="36">
        <f t="shared" si="3"/>
        <v>50715.390726000005</v>
      </c>
      <c r="M29" s="36">
        <f t="shared" si="3"/>
        <v>27094.691052000002</v>
      </c>
      <c r="N29"/>
      <c r="O29" s="5">
        <f t="shared" si="75"/>
        <v>421977.384</v>
      </c>
      <c r="P29" s="5">
        <f t="shared" si="4"/>
        <v>36909.1431504</v>
      </c>
      <c r="Q29" s="5">
        <f t="shared" si="5"/>
        <v>458886.52715040004</v>
      </c>
      <c r="R29" s="35">
        <f t="shared" si="6"/>
        <v>21082.140475199998</v>
      </c>
      <c r="S29" s="35">
        <f t="shared" si="97"/>
        <v>11263.1308704</v>
      </c>
      <c r="T29"/>
      <c r="U29" s="5">
        <f t="shared" si="76"/>
        <v>186.55949999999999</v>
      </c>
      <c r="V29" s="36">
        <f t="shared" si="7"/>
        <v>16.3178207</v>
      </c>
      <c r="W29" s="36">
        <f t="shared" si="8"/>
        <v>202.87732069999998</v>
      </c>
      <c r="X29" s="35">
        <f t="shared" si="9"/>
        <v>9.3205791</v>
      </c>
      <c r="Y29" s="35">
        <f t="shared" si="98"/>
        <v>4.9795182</v>
      </c>
      <c r="Z29"/>
      <c r="AA29" s="5">
        <f t="shared" si="77"/>
        <v>8353.4205</v>
      </c>
      <c r="AB29" s="5">
        <f t="shared" si="10"/>
        <v>730.6495673</v>
      </c>
      <c r="AC29" s="5">
        <f t="shared" si="11"/>
        <v>9084.0700673</v>
      </c>
      <c r="AD29" s="35">
        <f t="shared" si="12"/>
        <v>417.3398649</v>
      </c>
      <c r="AE29" s="35">
        <f t="shared" si="99"/>
        <v>222.9637698</v>
      </c>
      <c r="AF29"/>
      <c r="AG29" s="5">
        <f t="shared" si="78"/>
        <v>5030.3715</v>
      </c>
      <c r="AH29" s="5">
        <f t="shared" si="13"/>
        <v>439.9920679</v>
      </c>
      <c r="AI29" s="5">
        <f t="shared" si="14"/>
        <v>5470.3635679</v>
      </c>
      <c r="AJ29" s="35">
        <f t="shared" si="15"/>
        <v>251.3191527</v>
      </c>
      <c r="AK29" s="35">
        <f t="shared" si="100"/>
        <v>134.2672254</v>
      </c>
      <c r="AL29"/>
      <c r="AM29" s="5">
        <f t="shared" si="79"/>
        <v>37385.985</v>
      </c>
      <c r="AN29" s="5">
        <f t="shared" si="16"/>
        <v>3270.0441410000003</v>
      </c>
      <c r="AO29" s="5">
        <f t="shared" si="17"/>
        <v>40656.029141</v>
      </c>
      <c r="AP29" s="35">
        <f t="shared" si="18"/>
        <v>1867.8171330000002</v>
      </c>
      <c r="AQ29" s="35">
        <f t="shared" si="101"/>
        <v>997.881066</v>
      </c>
      <c r="AR29"/>
      <c r="AS29" s="5">
        <f t="shared" si="80"/>
        <v>11585.547</v>
      </c>
      <c r="AT29" s="5">
        <f t="shared" si="19"/>
        <v>1013.3543382</v>
      </c>
      <c r="AU29" s="5">
        <f t="shared" si="20"/>
        <v>12598.901338200001</v>
      </c>
      <c r="AV29" s="35">
        <f t="shared" si="21"/>
        <v>578.8180566</v>
      </c>
      <c r="AW29" s="35">
        <f t="shared" si="102"/>
        <v>309.2334732</v>
      </c>
      <c r="AX29"/>
      <c r="AY29" s="5">
        <f t="shared" si="81"/>
        <v>21811.970999999998</v>
      </c>
      <c r="AZ29" s="5">
        <f t="shared" si="22"/>
        <v>1907.8301126</v>
      </c>
      <c r="BA29" s="5">
        <f t="shared" si="23"/>
        <v>23719.8011126</v>
      </c>
      <c r="BB29" s="35">
        <f t="shared" si="24"/>
        <v>1089.7338438</v>
      </c>
      <c r="BC29" s="35">
        <f t="shared" si="103"/>
        <v>582.1901676</v>
      </c>
      <c r="BD29"/>
      <c r="BE29" s="5">
        <f t="shared" si="82"/>
        <v>4618.862999999999</v>
      </c>
      <c r="BF29" s="5">
        <f t="shared" si="25"/>
        <v>403.9986078</v>
      </c>
      <c r="BG29" s="5">
        <f t="shared" si="26"/>
        <v>5022.8616078</v>
      </c>
      <c r="BH29" s="35">
        <f t="shared" si="27"/>
        <v>230.76004139999998</v>
      </c>
      <c r="BI29" s="35">
        <f t="shared" si="104"/>
        <v>123.2835228</v>
      </c>
      <c r="BJ29"/>
      <c r="BK29" s="5">
        <f t="shared" si="83"/>
        <v>82357.6005</v>
      </c>
      <c r="BL29" s="5">
        <f t="shared" si="28"/>
        <v>7203.5814752999995</v>
      </c>
      <c r="BM29" s="5">
        <f t="shared" si="29"/>
        <v>89561.1819753</v>
      </c>
      <c r="BN29" s="35">
        <f t="shared" si="30"/>
        <v>4114.6150689</v>
      </c>
      <c r="BO29" s="35">
        <f t="shared" si="105"/>
        <v>2198.2325778</v>
      </c>
      <c r="BP29"/>
      <c r="BQ29" s="36">
        <f t="shared" si="84"/>
        <v>38132.223</v>
      </c>
      <c r="BR29" s="5">
        <f t="shared" si="31"/>
        <v>3335.3154237999997</v>
      </c>
      <c r="BS29" s="36">
        <f t="shared" si="32"/>
        <v>41467.5384238</v>
      </c>
      <c r="BT29" s="35">
        <f t="shared" si="33"/>
        <v>1905.0994494</v>
      </c>
      <c r="BU29" s="35">
        <f t="shared" si="106"/>
        <v>1017.7991387999999</v>
      </c>
      <c r="BV29"/>
      <c r="BW29" s="5">
        <f t="shared" si="85"/>
        <v>18262.626</v>
      </c>
      <c r="BX29" s="5">
        <f t="shared" si="34"/>
        <v>1597.3791556</v>
      </c>
      <c r="BY29" s="5">
        <f t="shared" si="35"/>
        <v>19860.0051556</v>
      </c>
      <c r="BZ29" s="35">
        <f t="shared" si="36"/>
        <v>912.4073028</v>
      </c>
      <c r="CA29" s="35">
        <f t="shared" si="107"/>
        <v>487.4534856</v>
      </c>
      <c r="CB29"/>
      <c r="CC29" s="5">
        <f t="shared" si="37"/>
        <v>2694.6735000000003</v>
      </c>
      <c r="CD29" s="5">
        <f t="shared" si="38"/>
        <v>235.6953091</v>
      </c>
      <c r="CE29" s="5">
        <f t="shared" si="39"/>
        <v>2930.3688091000004</v>
      </c>
      <c r="CF29" s="35">
        <f t="shared" si="40"/>
        <v>134.6268483</v>
      </c>
      <c r="CG29" s="35">
        <f t="shared" si="108"/>
        <v>71.9243766</v>
      </c>
      <c r="CH29"/>
      <c r="CI29" s="5">
        <f t="shared" si="86"/>
        <v>11947.216499999999</v>
      </c>
      <c r="CJ29" s="5">
        <f t="shared" si="41"/>
        <v>1044.9885249</v>
      </c>
      <c r="CK29" s="5">
        <f t="shared" si="42"/>
        <v>12992.205024899999</v>
      </c>
      <c r="CL29" s="35">
        <f t="shared" si="43"/>
        <v>596.8871937</v>
      </c>
      <c r="CM29" s="35">
        <f t="shared" si="109"/>
        <v>318.8869074</v>
      </c>
      <c r="CN29"/>
      <c r="CO29" s="5">
        <f t="shared" si="87"/>
        <v>1645.3604999999998</v>
      </c>
      <c r="CP29" s="5">
        <f t="shared" si="44"/>
        <v>143.91493129999998</v>
      </c>
      <c r="CQ29" s="5">
        <f t="shared" si="45"/>
        <v>1789.2754312999998</v>
      </c>
      <c r="CR29" s="35">
        <f t="shared" si="46"/>
        <v>82.2027969</v>
      </c>
      <c r="CS29" s="35">
        <f t="shared" si="110"/>
        <v>43.91683379999999</v>
      </c>
      <c r="CT29"/>
      <c r="CU29" s="5">
        <f t="shared" si="88"/>
        <v>34324.254</v>
      </c>
      <c r="CV29" s="5">
        <f t="shared" si="47"/>
        <v>3002.2433724</v>
      </c>
      <c r="CW29" s="5">
        <f t="shared" si="48"/>
        <v>37326.4973724</v>
      </c>
      <c r="CX29" s="35">
        <f t="shared" si="49"/>
        <v>1714.8519612</v>
      </c>
      <c r="CY29" s="35">
        <f t="shared" si="111"/>
        <v>916.1594424</v>
      </c>
      <c r="CZ29"/>
      <c r="DA29" s="5">
        <f t="shared" si="89"/>
        <v>6648.7919999999995</v>
      </c>
      <c r="DB29" s="5">
        <f t="shared" si="50"/>
        <v>581.5506352</v>
      </c>
      <c r="DC29" s="5">
        <f t="shared" si="51"/>
        <v>7230.3426352</v>
      </c>
      <c r="DD29" s="35">
        <f t="shared" si="52"/>
        <v>332.17601759999997</v>
      </c>
      <c r="DE29" s="35">
        <f t="shared" si="112"/>
        <v>177.46499519999998</v>
      </c>
      <c r="DF29"/>
      <c r="DG29" s="5">
        <f t="shared" si="90"/>
        <v>8796.583499999999</v>
      </c>
      <c r="DH29" s="5">
        <f t="shared" si="53"/>
        <v>769.4117550999999</v>
      </c>
      <c r="DI29" s="36">
        <f t="shared" si="54"/>
        <v>9565.995255099999</v>
      </c>
      <c r="DJ29" s="35">
        <f t="shared" si="55"/>
        <v>439.4804463</v>
      </c>
      <c r="DK29" s="35">
        <f t="shared" si="113"/>
        <v>234.7923726</v>
      </c>
      <c r="DL29"/>
      <c r="DM29" s="5">
        <f t="shared" si="91"/>
        <v>28595.463</v>
      </c>
      <c r="DN29" s="5">
        <f t="shared" si="56"/>
        <v>2501.1625678</v>
      </c>
      <c r="DO29" s="36">
        <f t="shared" si="57"/>
        <v>31096.6255678</v>
      </c>
      <c r="DP29" s="35">
        <f t="shared" si="58"/>
        <v>1428.6395214</v>
      </c>
      <c r="DQ29" s="35">
        <f t="shared" si="114"/>
        <v>763.2504828</v>
      </c>
      <c r="DS29" s="5">
        <f t="shared" si="92"/>
        <v>16811.2335</v>
      </c>
      <c r="DT29" s="5">
        <f t="shared" si="59"/>
        <v>1470.4300451</v>
      </c>
      <c r="DU29" s="5">
        <f t="shared" si="60"/>
        <v>18281.663545099997</v>
      </c>
      <c r="DV29" s="35">
        <f t="shared" si="61"/>
        <v>839.8952162999999</v>
      </c>
      <c r="DW29" s="35">
        <f t="shared" si="115"/>
        <v>448.71391259999996</v>
      </c>
      <c r="DY29" s="5">
        <f t="shared" si="93"/>
        <v>18977.209499999997</v>
      </c>
      <c r="DZ29" s="5">
        <f t="shared" si="62"/>
        <v>1659.8817107</v>
      </c>
      <c r="EA29" s="5">
        <f t="shared" si="63"/>
        <v>20637.091210699997</v>
      </c>
      <c r="EB29" s="35">
        <f t="shared" si="64"/>
        <v>948.1081490999999</v>
      </c>
      <c r="EC29" s="35">
        <f t="shared" si="116"/>
        <v>506.5266582</v>
      </c>
      <c r="EE29" s="5">
        <f t="shared" si="94"/>
        <v>219717.9255</v>
      </c>
      <c r="EF29" s="5">
        <f t="shared" si="65"/>
        <v>19218.0924203</v>
      </c>
      <c r="EG29" s="5">
        <f t="shared" si="66"/>
        <v>238936.01792030002</v>
      </c>
      <c r="EH29" s="35">
        <f t="shared" si="67"/>
        <v>10977.1858539</v>
      </c>
      <c r="EI29" s="35">
        <f t="shared" si="117"/>
        <v>5864.5601478</v>
      </c>
      <c r="EK29" s="5">
        <f t="shared" si="95"/>
        <v>8090.081999999999</v>
      </c>
      <c r="EL29" s="5">
        <f t="shared" si="68"/>
        <v>707.6161092</v>
      </c>
      <c r="EM29" s="36">
        <f t="shared" si="69"/>
        <v>8797.698109199999</v>
      </c>
      <c r="EN29" s="35">
        <f t="shared" si="70"/>
        <v>404.18337959999997</v>
      </c>
      <c r="EO29" s="35">
        <f t="shared" si="118"/>
        <v>215.9349192</v>
      </c>
      <c r="EQ29" s="5">
        <f t="shared" si="96"/>
        <v>7161.325500000001</v>
      </c>
      <c r="ER29" s="36">
        <f t="shared" si="71"/>
        <v>626.3804603000001</v>
      </c>
      <c r="ES29" s="36">
        <f t="shared" si="72"/>
        <v>7787.705960300001</v>
      </c>
      <c r="ET29" s="35">
        <f t="shared" si="73"/>
        <v>357.78237390000004</v>
      </c>
      <c r="EU29" s="35">
        <f t="shared" si="119"/>
        <v>191.14518780000003</v>
      </c>
      <c r="EV29"/>
    </row>
    <row r="30" spans="1:152" ht="12.75">
      <c r="A30" s="37">
        <v>46296</v>
      </c>
      <c r="D30" s="3">
        <v>420716</v>
      </c>
      <c r="E30" s="35">
        <f t="shared" si="0"/>
        <v>420716</v>
      </c>
      <c r="F30" s="35">
        <v>336483</v>
      </c>
      <c r="G30" s="35">
        <v>179766</v>
      </c>
      <c r="I30" s="47"/>
      <c r="J30" s="36">
        <f t="shared" si="1"/>
        <v>63411.15695200001</v>
      </c>
      <c r="K30" s="36">
        <f t="shared" si="2"/>
        <v>63411.15695200001</v>
      </c>
      <c r="L30" s="36">
        <f t="shared" si="3"/>
        <v>50715.390726000005</v>
      </c>
      <c r="M30" s="36">
        <f t="shared" si="3"/>
        <v>27094.691052000002</v>
      </c>
      <c r="N30"/>
      <c r="P30" s="5">
        <f t="shared" si="4"/>
        <v>26359.7085504</v>
      </c>
      <c r="Q30" s="5">
        <f t="shared" si="5"/>
        <v>26359.7085504</v>
      </c>
      <c r="R30" s="35">
        <f t="shared" si="6"/>
        <v>21082.140475199998</v>
      </c>
      <c r="S30" s="35">
        <f t="shared" si="97"/>
        <v>11263.1308704</v>
      </c>
      <c r="T30"/>
      <c r="V30" s="36">
        <f t="shared" si="7"/>
        <v>11.6538332</v>
      </c>
      <c r="W30" s="36">
        <f t="shared" si="8"/>
        <v>11.6538332</v>
      </c>
      <c r="X30" s="35">
        <f t="shared" si="9"/>
        <v>9.3205791</v>
      </c>
      <c r="Y30" s="35">
        <f t="shared" si="98"/>
        <v>4.9795182</v>
      </c>
      <c r="Z30"/>
      <c r="AB30" s="5">
        <f t="shared" si="10"/>
        <v>521.8140548</v>
      </c>
      <c r="AC30" s="5">
        <f t="shared" si="11"/>
        <v>521.8140548</v>
      </c>
      <c r="AD30" s="35">
        <f t="shared" si="12"/>
        <v>417.3398649</v>
      </c>
      <c r="AE30" s="35">
        <f t="shared" si="99"/>
        <v>222.9637698</v>
      </c>
      <c r="AF30"/>
      <c r="AH30" s="5">
        <f t="shared" si="13"/>
        <v>314.2327804</v>
      </c>
      <c r="AI30" s="5">
        <f t="shared" si="14"/>
        <v>314.2327804</v>
      </c>
      <c r="AJ30" s="35">
        <f t="shared" si="15"/>
        <v>251.3191527</v>
      </c>
      <c r="AK30" s="35">
        <f t="shared" si="100"/>
        <v>134.2672254</v>
      </c>
      <c r="AL30"/>
      <c r="AN30" s="5">
        <f t="shared" si="16"/>
        <v>2335.3945160000003</v>
      </c>
      <c r="AO30" s="5">
        <f t="shared" si="17"/>
        <v>2335.3945160000003</v>
      </c>
      <c r="AP30" s="35">
        <f t="shared" si="18"/>
        <v>1867.8171330000002</v>
      </c>
      <c r="AQ30" s="35">
        <f t="shared" si="101"/>
        <v>997.881066</v>
      </c>
      <c r="AR30"/>
      <c r="AT30" s="5">
        <f t="shared" si="19"/>
        <v>723.7156632</v>
      </c>
      <c r="AU30" s="5">
        <f t="shared" si="20"/>
        <v>723.7156632</v>
      </c>
      <c r="AV30" s="35">
        <f t="shared" si="21"/>
        <v>578.8180566</v>
      </c>
      <c r="AW30" s="35">
        <f t="shared" si="102"/>
        <v>309.2334732</v>
      </c>
      <c r="AX30"/>
      <c r="AZ30" s="5">
        <f t="shared" si="22"/>
        <v>1362.5308376</v>
      </c>
      <c r="BA30" s="5">
        <f t="shared" si="23"/>
        <v>1362.5308376</v>
      </c>
      <c r="BB30" s="35">
        <f t="shared" si="24"/>
        <v>1089.7338438</v>
      </c>
      <c r="BC30" s="35">
        <f t="shared" si="103"/>
        <v>582.1901676</v>
      </c>
      <c r="BD30"/>
      <c r="BF30" s="5">
        <f t="shared" si="25"/>
        <v>288.5270328</v>
      </c>
      <c r="BG30" s="5">
        <f t="shared" si="26"/>
        <v>288.5270328</v>
      </c>
      <c r="BH30" s="35">
        <f t="shared" si="27"/>
        <v>230.76004139999998</v>
      </c>
      <c r="BI30" s="35">
        <f t="shared" si="104"/>
        <v>123.2835228</v>
      </c>
      <c r="BJ30"/>
      <c r="BL30" s="5">
        <f t="shared" si="28"/>
        <v>5144.641462799999</v>
      </c>
      <c r="BM30" s="5">
        <f t="shared" si="29"/>
        <v>5144.641462799999</v>
      </c>
      <c r="BN30" s="35">
        <f t="shared" si="30"/>
        <v>4114.6150689</v>
      </c>
      <c r="BO30" s="35">
        <f t="shared" si="105"/>
        <v>2198.2325778</v>
      </c>
      <c r="BP30"/>
      <c r="BQ30" s="36"/>
      <c r="BR30" s="5">
        <f t="shared" si="31"/>
        <v>2382.0098488</v>
      </c>
      <c r="BS30" s="36">
        <f t="shared" si="32"/>
        <v>2382.0098488</v>
      </c>
      <c r="BT30" s="35">
        <f t="shared" si="33"/>
        <v>1905.0994494</v>
      </c>
      <c r="BU30" s="35">
        <f t="shared" si="106"/>
        <v>1017.7991387999999</v>
      </c>
      <c r="BV30"/>
      <c r="BX30" s="5">
        <f t="shared" si="34"/>
        <v>1140.8135056</v>
      </c>
      <c r="BY30" s="5">
        <f t="shared" si="35"/>
        <v>1140.8135056</v>
      </c>
      <c r="BZ30" s="35">
        <f t="shared" si="36"/>
        <v>912.4073028</v>
      </c>
      <c r="CA30" s="35">
        <f t="shared" si="107"/>
        <v>487.4534856</v>
      </c>
      <c r="CB30"/>
      <c r="CC30" s="5">
        <f t="shared" si="37"/>
        <v>0</v>
      </c>
      <c r="CD30" s="5">
        <f t="shared" si="38"/>
        <v>168.3284716</v>
      </c>
      <c r="CE30" s="5">
        <f t="shared" si="39"/>
        <v>168.3284716</v>
      </c>
      <c r="CF30" s="35">
        <f t="shared" si="40"/>
        <v>134.6268483</v>
      </c>
      <c r="CG30" s="35">
        <f t="shared" si="108"/>
        <v>71.9243766</v>
      </c>
      <c r="CH30"/>
      <c r="CJ30" s="5">
        <f t="shared" si="41"/>
        <v>746.3081123999999</v>
      </c>
      <c r="CK30" s="5">
        <f t="shared" si="42"/>
        <v>746.3081123999999</v>
      </c>
      <c r="CL30" s="35">
        <f t="shared" si="43"/>
        <v>596.8871937</v>
      </c>
      <c r="CM30" s="35">
        <f t="shared" si="109"/>
        <v>318.8869074</v>
      </c>
      <c r="CN30"/>
      <c r="CP30" s="5">
        <f t="shared" si="44"/>
        <v>102.7809188</v>
      </c>
      <c r="CQ30" s="5">
        <f t="shared" si="45"/>
        <v>102.7809188</v>
      </c>
      <c r="CR30" s="35">
        <f t="shared" si="46"/>
        <v>82.2027969</v>
      </c>
      <c r="CS30" s="35">
        <f t="shared" si="110"/>
        <v>43.91683379999999</v>
      </c>
      <c r="CT30"/>
      <c r="CV30" s="5">
        <f t="shared" si="47"/>
        <v>2144.1370224</v>
      </c>
      <c r="CW30" s="5">
        <f t="shared" si="48"/>
        <v>2144.1370224</v>
      </c>
      <c r="CX30" s="35">
        <f t="shared" si="49"/>
        <v>1714.8519612</v>
      </c>
      <c r="CY30" s="35">
        <f t="shared" si="111"/>
        <v>916.1594424</v>
      </c>
      <c r="CZ30"/>
      <c r="DB30" s="5">
        <f t="shared" si="50"/>
        <v>415.33083519999997</v>
      </c>
      <c r="DC30" s="5">
        <f t="shared" si="51"/>
        <v>415.33083519999997</v>
      </c>
      <c r="DD30" s="35">
        <f t="shared" si="52"/>
        <v>332.17601759999997</v>
      </c>
      <c r="DE30" s="35">
        <f t="shared" si="112"/>
        <v>177.46499519999998</v>
      </c>
      <c r="DF30"/>
      <c r="DH30" s="5">
        <f t="shared" si="53"/>
        <v>549.4971676</v>
      </c>
      <c r="DI30" s="36">
        <f t="shared" si="54"/>
        <v>549.4971676</v>
      </c>
      <c r="DJ30" s="35">
        <f t="shared" si="55"/>
        <v>439.4804463</v>
      </c>
      <c r="DK30" s="35">
        <f t="shared" si="113"/>
        <v>234.7923726</v>
      </c>
      <c r="DL30"/>
      <c r="DN30" s="5">
        <f t="shared" si="56"/>
        <v>1786.2759928</v>
      </c>
      <c r="DO30" s="36">
        <f t="shared" si="57"/>
        <v>1786.2759928</v>
      </c>
      <c r="DP30" s="35">
        <f t="shared" si="58"/>
        <v>1428.6395214</v>
      </c>
      <c r="DQ30" s="35">
        <f t="shared" si="114"/>
        <v>763.2504828</v>
      </c>
      <c r="DT30" s="5">
        <f t="shared" si="59"/>
        <v>1050.1492076</v>
      </c>
      <c r="DU30" s="5">
        <f t="shared" si="60"/>
        <v>1050.1492076</v>
      </c>
      <c r="DV30" s="35">
        <f t="shared" si="61"/>
        <v>839.8952162999999</v>
      </c>
      <c r="DW30" s="35">
        <f t="shared" si="115"/>
        <v>448.71391259999996</v>
      </c>
      <c r="DZ30" s="5">
        <f t="shared" si="62"/>
        <v>1185.4514732</v>
      </c>
      <c r="EA30" s="5">
        <f t="shared" si="63"/>
        <v>1185.4514732</v>
      </c>
      <c r="EB30" s="35">
        <f t="shared" si="64"/>
        <v>948.1081490999999</v>
      </c>
      <c r="EC30" s="35">
        <f t="shared" si="116"/>
        <v>506.5266582</v>
      </c>
      <c r="EF30" s="5">
        <f t="shared" si="65"/>
        <v>13725.1442828</v>
      </c>
      <c r="EG30" s="5">
        <f t="shared" si="66"/>
        <v>13725.1442828</v>
      </c>
      <c r="EH30" s="35">
        <f t="shared" si="67"/>
        <v>10977.1858539</v>
      </c>
      <c r="EI30" s="35">
        <f t="shared" si="117"/>
        <v>5864.5601478</v>
      </c>
      <c r="EL30" s="5">
        <f t="shared" si="68"/>
        <v>505.3640592</v>
      </c>
      <c r="EM30" s="36">
        <f t="shared" si="69"/>
        <v>505.3640592</v>
      </c>
      <c r="EN30" s="35">
        <f t="shared" si="70"/>
        <v>404.18337959999997</v>
      </c>
      <c r="EO30" s="35">
        <f t="shared" si="118"/>
        <v>215.9349192</v>
      </c>
      <c r="ER30" s="36">
        <f t="shared" si="71"/>
        <v>447.34732280000003</v>
      </c>
      <c r="ES30" s="36">
        <f t="shared" si="72"/>
        <v>447.34732280000003</v>
      </c>
      <c r="ET30" s="35">
        <f t="shared" si="73"/>
        <v>357.78237390000004</v>
      </c>
      <c r="EU30" s="35">
        <f t="shared" si="119"/>
        <v>191.14518780000003</v>
      </c>
      <c r="EV30"/>
    </row>
    <row r="31" spans="1:152" ht="12.75">
      <c r="A31" s="37">
        <v>46478</v>
      </c>
      <c r="C31" s="3">
        <v>7070000</v>
      </c>
      <c r="D31" s="3">
        <v>420716</v>
      </c>
      <c r="E31" s="35">
        <f t="shared" si="0"/>
        <v>7490716</v>
      </c>
      <c r="F31" s="35">
        <v>336483</v>
      </c>
      <c r="G31" s="35">
        <v>179766</v>
      </c>
      <c r="I31" s="47">
        <f t="shared" si="74"/>
        <v>1065604.54</v>
      </c>
      <c r="J31" s="36">
        <f t="shared" si="1"/>
        <v>63411.15695200001</v>
      </c>
      <c r="K31" s="36">
        <f t="shared" si="2"/>
        <v>1129015.696952</v>
      </c>
      <c r="L31" s="36">
        <f t="shared" si="3"/>
        <v>50715.390726000005</v>
      </c>
      <c r="M31" s="36">
        <f t="shared" si="3"/>
        <v>27094.691052000002</v>
      </c>
      <c r="N31"/>
      <c r="O31" s="5">
        <f t="shared" si="75"/>
        <v>442966.608</v>
      </c>
      <c r="P31" s="5">
        <f t="shared" si="4"/>
        <v>26359.7085504</v>
      </c>
      <c r="Q31" s="5">
        <f t="shared" si="5"/>
        <v>469326.3165504</v>
      </c>
      <c r="R31" s="35">
        <f t="shared" si="6"/>
        <v>21082.140475199998</v>
      </c>
      <c r="S31" s="35">
        <f t="shared" si="97"/>
        <v>11263.1308704</v>
      </c>
      <c r="T31"/>
      <c r="U31" s="5">
        <f t="shared" si="76"/>
        <v>195.839</v>
      </c>
      <c r="V31" s="36">
        <f t="shared" si="7"/>
        <v>11.6538332</v>
      </c>
      <c r="W31" s="36">
        <f t="shared" si="8"/>
        <v>207.4928332</v>
      </c>
      <c r="X31" s="35">
        <f t="shared" si="9"/>
        <v>9.3205791</v>
      </c>
      <c r="Y31" s="35">
        <f t="shared" si="98"/>
        <v>4.9795182</v>
      </c>
      <c r="Z31"/>
      <c r="AA31" s="5">
        <f t="shared" si="77"/>
        <v>8768.921</v>
      </c>
      <c r="AB31" s="5">
        <f t="shared" si="10"/>
        <v>521.8140548</v>
      </c>
      <c r="AC31" s="5">
        <f t="shared" si="11"/>
        <v>9290.7350548</v>
      </c>
      <c r="AD31" s="35">
        <f t="shared" si="12"/>
        <v>417.3398649</v>
      </c>
      <c r="AE31" s="35">
        <f t="shared" si="99"/>
        <v>222.9637698</v>
      </c>
      <c r="AF31"/>
      <c r="AG31" s="5">
        <f t="shared" si="78"/>
        <v>5280.583</v>
      </c>
      <c r="AH31" s="5">
        <f t="shared" si="13"/>
        <v>314.2327804</v>
      </c>
      <c r="AI31" s="5">
        <f t="shared" si="14"/>
        <v>5594.815780399999</v>
      </c>
      <c r="AJ31" s="35">
        <f t="shared" si="15"/>
        <v>251.3191527</v>
      </c>
      <c r="AK31" s="35">
        <f t="shared" si="100"/>
        <v>134.2672254</v>
      </c>
      <c r="AL31"/>
      <c r="AM31" s="5">
        <f t="shared" si="79"/>
        <v>39245.57</v>
      </c>
      <c r="AN31" s="5">
        <f t="shared" si="16"/>
        <v>2335.3945160000003</v>
      </c>
      <c r="AO31" s="5">
        <f t="shared" si="17"/>
        <v>41580.964516</v>
      </c>
      <c r="AP31" s="35">
        <f t="shared" si="18"/>
        <v>1867.8171330000002</v>
      </c>
      <c r="AQ31" s="35">
        <f t="shared" si="101"/>
        <v>997.881066</v>
      </c>
      <c r="AR31"/>
      <c r="AS31" s="5">
        <f t="shared" si="80"/>
        <v>12161.814</v>
      </c>
      <c r="AT31" s="5">
        <f t="shared" si="19"/>
        <v>723.7156632</v>
      </c>
      <c r="AU31" s="5">
        <f t="shared" si="20"/>
        <v>12885.5296632</v>
      </c>
      <c r="AV31" s="35">
        <f t="shared" si="21"/>
        <v>578.8180566</v>
      </c>
      <c r="AW31" s="35">
        <f t="shared" si="102"/>
        <v>309.2334732</v>
      </c>
      <c r="AX31"/>
      <c r="AY31" s="5">
        <f t="shared" si="81"/>
        <v>22896.902</v>
      </c>
      <c r="AZ31" s="5">
        <f t="shared" si="22"/>
        <v>1362.5308376</v>
      </c>
      <c r="BA31" s="5">
        <f t="shared" si="23"/>
        <v>24259.432837599998</v>
      </c>
      <c r="BB31" s="35">
        <f t="shared" si="24"/>
        <v>1089.7338438</v>
      </c>
      <c r="BC31" s="35">
        <f t="shared" si="103"/>
        <v>582.1901676</v>
      </c>
      <c r="BD31"/>
      <c r="BE31" s="5">
        <f t="shared" si="82"/>
        <v>4848.606</v>
      </c>
      <c r="BF31" s="5">
        <f t="shared" si="25"/>
        <v>288.5270328</v>
      </c>
      <c r="BG31" s="5">
        <f t="shared" si="26"/>
        <v>5137.1330327999995</v>
      </c>
      <c r="BH31" s="35">
        <f t="shared" si="27"/>
        <v>230.76004139999998</v>
      </c>
      <c r="BI31" s="35">
        <f t="shared" si="104"/>
        <v>123.2835228</v>
      </c>
      <c r="BJ31"/>
      <c r="BK31" s="5">
        <f t="shared" si="83"/>
        <v>86454.08099999999</v>
      </c>
      <c r="BL31" s="5">
        <f t="shared" si="28"/>
        <v>5144.641462799999</v>
      </c>
      <c r="BM31" s="5">
        <f t="shared" si="29"/>
        <v>91598.7224628</v>
      </c>
      <c r="BN31" s="35">
        <f t="shared" si="30"/>
        <v>4114.6150689</v>
      </c>
      <c r="BO31" s="35">
        <f t="shared" si="105"/>
        <v>2198.2325778</v>
      </c>
      <c r="BP31"/>
      <c r="BQ31" s="36">
        <f t="shared" si="84"/>
        <v>40028.926</v>
      </c>
      <c r="BR31" s="5">
        <f t="shared" si="31"/>
        <v>2382.0098488</v>
      </c>
      <c r="BS31" s="36">
        <f t="shared" si="32"/>
        <v>42410.9358488</v>
      </c>
      <c r="BT31" s="35">
        <f t="shared" si="33"/>
        <v>1905.0994494</v>
      </c>
      <c r="BU31" s="35">
        <f t="shared" si="106"/>
        <v>1017.7991387999999</v>
      </c>
      <c r="BV31"/>
      <c r="BW31" s="5">
        <f t="shared" si="85"/>
        <v>19171.012000000002</v>
      </c>
      <c r="BX31" s="5">
        <f t="shared" si="34"/>
        <v>1140.8135056</v>
      </c>
      <c r="BY31" s="5">
        <f t="shared" si="35"/>
        <v>20311.8255056</v>
      </c>
      <c r="BZ31" s="35">
        <f t="shared" si="36"/>
        <v>912.4073028</v>
      </c>
      <c r="CA31" s="35">
        <f t="shared" si="107"/>
        <v>487.4534856</v>
      </c>
      <c r="CB31"/>
      <c r="CC31" s="5">
        <f t="shared" si="37"/>
        <v>2828.7070000000003</v>
      </c>
      <c r="CD31" s="5">
        <f t="shared" si="38"/>
        <v>168.3284716</v>
      </c>
      <c r="CE31" s="5">
        <f t="shared" si="39"/>
        <v>2997.0354716</v>
      </c>
      <c r="CF31" s="35">
        <f t="shared" si="40"/>
        <v>134.6268483</v>
      </c>
      <c r="CG31" s="35">
        <f t="shared" si="108"/>
        <v>71.9243766</v>
      </c>
      <c r="CH31"/>
      <c r="CI31" s="5">
        <f t="shared" si="86"/>
        <v>12541.473</v>
      </c>
      <c r="CJ31" s="5">
        <f t="shared" si="41"/>
        <v>746.3081123999999</v>
      </c>
      <c r="CK31" s="5">
        <f t="shared" si="42"/>
        <v>13287.7811124</v>
      </c>
      <c r="CL31" s="35">
        <f t="shared" si="43"/>
        <v>596.8871937</v>
      </c>
      <c r="CM31" s="35">
        <f t="shared" si="109"/>
        <v>318.8869074</v>
      </c>
      <c r="CN31"/>
      <c r="CO31" s="5">
        <f t="shared" si="87"/>
        <v>1727.2009999999998</v>
      </c>
      <c r="CP31" s="5">
        <f t="shared" si="44"/>
        <v>102.7809188</v>
      </c>
      <c r="CQ31" s="5">
        <f t="shared" si="45"/>
        <v>1829.9819187999997</v>
      </c>
      <c r="CR31" s="35">
        <f t="shared" si="46"/>
        <v>82.2027969</v>
      </c>
      <c r="CS31" s="35">
        <f t="shared" si="110"/>
        <v>43.91683379999999</v>
      </c>
      <c r="CT31"/>
      <c r="CU31" s="5">
        <f t="shared" si="88"/>
        <v>36031.548</v>
      </c>
      <c r="CV31" s="5">
        <f t="shared" si="47"/>
        <v>2144.1370224</v>
      </c>
      <c r="CW31" s="5">
        <f t="shared" si="48"/>
        <v>38175.6850224</v>
      </c>
      <c r="CX31" s="35">
        <f t="shared" si="49"/>
        <v>1714.8519612</v>
      </c>
      <c r="CY31" s="35">
        <f t="shared" si="111"/>
        <v>916.1594424</v>
      </c>
      <c r="CZ31"/>
      <c r="DA31" s="5">
        <f t="shared" si="89"/>
        <v>6979.504</v>
      </c>
      <c r="DB31" s="5">
        <f t="shared" si="50"/>
        <v>415.33083519999997</v>
      </c>
      <c r="DC31" s="5">
        <f t="shared" si="51"/>
        <v>7394.8348352</v>
      </c>
      <c r="DD31" s="35">
        <f t="shared" si="52"/>
        <v>332.17601759999997</v>
      </c>
      <c r="DE31" s="35">
        <f t="shared" si="112"/>
        <v>177.46499519999998</v>
      </c>
      <c r="DF31"/>
      <c r="DG31" s="5">
        <f t="shared" si="90"/>
        <v>9234.126999999999</v>
      </c>
      <c r="DH31" s="5">
        <f t="shared" si="53"/>
        <v>549.4971676</v>
      </c>
      <c r="DI31" s="36">
        <f t="shared" si="54"/>
        <v>9783.624167599999</v>
      </c>
      <c r="DJ31" s="35">
        <f t="shared" si="55"/>
        <v>439.4804463</v>
      </c>
      <c r="DK31" s="35">
        <f t="shared" si="113"/>
        <v>234.7923726</v>
      </c>
      <c r="DL31"/>
      <c r="DM31" s="5">
        <f t="shared" si="91"/>
        <v>30017.806</v>
      </c>
      <c r="DN31" s="5">
        <f t="shared" si="56"/>
        <v>1786.2759928</v>
      </c>
      <c r="DO31" s="36">
        <f t="shared" si="57"/>
        <v>31804.081992800002</v>
      </c>
      <c r="DP31" s="35">
        <f t="shared" si="58"/>
        <v>1428.6395214</v>
      </c>
      <c r="DQ31" s="35">
        <f t="shared" si="114"/>
        <v>763.2504828</v>
      </c>
      <c r="DS31" s="5">
        <f t="shared" si="92"/>
        <v>17647.427</v>
      </c>
      <c r="DT31" s="5">
        <f t="shared" si="59"/>
        <v>1050.1492076</v>
      </c>
      <c r="DU31" s="5">
        <f t="shared" si="60"/>
        <v>18697.5762076</v>
      </c>
      <c r="DV31" s="35">
        <f t="shared" si="61"/>
        <v>839.8952162999999</v>
      </c>
      <c r="DW31" s="35">
        <f t="shared" si="115"/>
        <v>448.71391259999996</v>
      </c>
      <c r="DY31" s="5">
        <f t="shared" si="93"/>
        <v>19921.139</v>
      </c>
      <c r="DZ31" s="5">
        <f t="shared" si="62"/>
        <v>1185.4514732</v>
      </c>
      <c r="EA31" s="5">
        <f t="shared" si="63"/>
        <v>21106.590473199998</v>
      </c>
      <c r="EB31" s="35">
        <f t="shared" si="64"/>
        <v>948.1081490999999</v>
      </c>
      <c r="EC31" s="35">
        <f t="shared" si="116"/>
        <v>506.5266582</v>
      </c>
      <c r="EE31" s="5">
        <f t="shared" si="94"/>
        <v>230646.731</v>
      </c>
      <c r="EF31" s="5">
        <f t="shared" si="65"/>
        <v>13725.1442828</v>
      </c>
      <c r="EG31" s="5">
        <f t="shared" si="66"/>
        <v>244371.8752828</v>
      </c>
      <c r="EH31" s="35">
        <f t="shared" si="67"/>
        <v>10977.1858539</v>
      </c>
      <c r="EI31" s="35">
        <f t="shared" si="117"/>
        <v>5864.5601478</v>
      </c>
      <c r="EK31" s="5">
        <f t="shared" si="95"/>
        <v>8492.483999999999</v>
      </c>
      <c r="EL31" s="5">
        <f t="shared" si="68"/>
        <v>505.3640592</v>
      </c>
      <c r="EM31" s="36">
        <f t="shared" si="69"/>
        <v>8997.848059199998</v>
      </c>
      <c r="EN31" s="35">
        <f t="shared" si="70"/>
        <v>404.18337959999997</v>
      </c>
      <c r="EO31" s="35">
        <f t="shared" si="118"/>
        <v>215.9349192</v>
      </c>
      <c r="EQ31" s="5">
        <f t="shared" si="96"/>
        <v>7517.531000000001</v>
      </c>
      <c r="ER31" s="36">
        <f t="shared" si="71"/>
        <v>447.34732280000003</v>
      </c>
      <c r="ES31" s="36">
        <f t="shared" si="72"/>
        <v>7964.878322800001</v>
      </c>
      <c r="ET31" s="35">
        <f t="shared" si="73"/>
        <v>357.78237390000004</v>
      </c>
      <c r="EU31" s="35">
        <f t="shared" si="119"/>
        <v>191.14518780000003</v>
      </c>
      <c r="EV31"/>
    </row>
    <row r="32" spans="1:152" ht="12.75">
      <c r="A32" s="37">
        <v>46661</v>
      </c>
      <c r="D32" s="3">
        <v>243966</v>
      </c>
      <c r="E32" s="35">
        <f t="shared" si="0"/>
        <v>243966</v>
      </c>
      <c r="F32" s="35">
        <v>336483</v>
      </c>
      <c r="G32" s="35">
        <v>179766</v>
      </c>
      <c r="I32" s="47"/>
      <c r="J32" s="36">
        <f t="shared" si="1"/>
        <v>36771.043452000005</v>
      </c>
      <c r="K32" s="36">
        <f t="shared" si="2"/>
        <v>36771.043452000005</v>
      </c>
      <c r="L32" s="36">
        <f t="shared" si="3"/>
        <v>50715.390726000005</v>
      </c>
      <c r="M32" s="36">
        <f t="shared" si="3"/>
        <v>27094.691052000002</v>
      </c>
      <c r="N32"/>
      <c r="P32" s="5">
        <f t="shared" si="4"/>
        <v>15285.5433504</v>
      </c>
      <c r="Q32" s="5">
        <f t="shared" si="5"/>
        <v>15285.5433504</v>
      </c>
      <c r="R32" s="35">
        <f t="shared" si="6"/>
        <v>21082.140475199998</v>
      </c>
      <c r="S32" s="35">
        <f t="shared" si="97"/>
        <v>11263.1308704</v>
      </c>
      <c r="T32"/>
      <c r="V32" s="36">
        <f t="shared" si="7"/>
        <v>6.757858199999999</v>
      </c>
      <c r="W32" s="36">
        <f t="shared" si="8"/>
        <v>6.757858199999999</v>
      </c>
      <c r="X32" s="35">
        <f t="shared" si="9"/>
        <v>9.3205791</v>
      </c>
      <c r="Y32" s="35">
        <f t="shared" si="98"/>
        <v>4.9795182</v>
      </c>
      <c r="Z32"/>
      <c r="AB32" s="5">
        <f t="shared" si="10"/>
        <v>302.5910298</v>
      </c>
      <c r="AC32" s="5">
        <f t="shared" si="11"/>
        <v>302.5910298</v>
      </c>
      <c r="AD32" s="35">
        <f t="shared" si="12"/>
        <v>417.3398649</v>
      </c>
      <c r="AE32" s="35">
        <f t="shared" si="99"/>
        <v>222.9637698</v>
      </c>
      <c r="AF32"/>
      <c r="AH32" s="5">
        <f t="shared" si="13"/>
        <v>182.2182054</v>
      </c>
      <c r="AI32" s="5">
        <f t="shared" si="14"/>
        <v>182.2182054</v>
      </c>
      <c r="AJ32" s="35">
        <f t="shared" si="15"/>
        <v>251.3191527</v>
      </c>
      <c r="AK32" s="35">
        <f t="shared" si="100"/>
        <v>134.2672254</v>
      </c>
      <c r="AL32"/>
      <c r="AN32" s="5">
        <f t="shared" si="16"/>
        <v>1354.2552660000001</v>
      </c>
      <c r="AO32" s="5">
        <f t="shared" si="17"/>
        <v>1354.2552660000001</v>
      </c>
      <c r="AP32" s="35">
        <f t="shared" si="18"/>
        <v>1867.8171330000002</v>
      </c>
      <c r="AQ32" s="35">
        <f t="shared" si="101"/>
        <v>997.881066</v>
      </c>
      <c r="AR32"/>
      <c r="AT32" s="5">
        <f t="shared" si="19"/>
        <v>419.6703132</v>
      </c>
      <c r="AU32" s="5">
        <f t="shared" si="20"/>
        <v>419.6703132</v>
      </c>
      <c r="AV32" s="35">
        <f t="shared" si="21"/>
        <v>578.8180566</v>
      </c>
      <c r="AW32" s="35">
        <f t="shared" si="102"/>
        <v>309.2334732</v>
      </c>
      <c r="AX32"/>
      <c r="AZ32" s="5">
        <f t="shared" si="22"/>
        <v>790.1082875999999</v>
      </c>
      <c r="BA32" s="5">
        <f t="shared" si="23"/>
        <v>790.1082875999999</v>
      </c>
      <c r="BB32" s="35">
        <f t="shared" si="24"/>
        <v>1089.7338438</v>
      </c>
      <c r="BC32" s="35">
        <f t="shared" si="103"/>
        <v>582.1901676</v>
      </c>
      <c r="BD32"/>
      <c r="BF32" s="5">
        <f t="shared" si="25"/>
        <v>167.3118828</v>
      </c>
      <c r="BG32" s="5">
        <f t="shared" si="26"/>
        <v>167.3118828</v>
      </c>
      <c r="BH32" s="35">
        <f t="shared" si="27"/>
        <v>230.76004139999998</v>
      </c>
      <c r="BI32" s="35">
        <f t="shared" si="104"/>
        <v>123.2835228</v>
      </c>
      <c r="BJ32"/>
      <c r="BL32" s="5">
        <f t="shared" si="28"/>
        <v>2983.2894377999996</v>
      </c>
      <c r="BM32" s="5">
        <f t="shared" si="29"/>
        <v>2983.2894377999996</v>
      </c>
      <c r="BN32" s="35">
        <f t="shared" si="30"/>
        <v>4114.6150689</v>
      </c>
      <c r="BO32" s="35">
        <f t="shared" si="105"/>
        <v>2198.2325778</v>
      </c>
      <c r="BP32"/>
      <c r="BQ32" s="36"/>
      <c r="BR32" s="5">
        <f t="shared" si="31"/>
        <v>1381.2866988</v>
      </c>
      <c r="BS32" s="36">
        <f t="shared" si="32"/>
        <v>1381.2866988</v>
      </c>
      <c r="BT32" s="35">
        <f t="shared" si="33"/>
        <v>1905.0994494</v>
      </c>
      <c r="BU32" s="35">
        <f t="shared" si="106"/>
        <v>1017.7991387999999</v>
      </c>
      <c r="BV32"/>
      <c r="BX32" s="5">
        <f t="shared" si="34"/>
        <v>661.5382056000001</v>
      </c>
      <c r="BY32" s="5">
        <f t="shared" si="35"/>
        <v>661.5382056000001</v>
      </c>
      <c r="BZ32" s="35">
        <f t="shared" si="36"/>
        <v>912.4073028</v>
      </c>
      <c r="CA32" s="35">
        <f t="shared" si="107"/>
        <v>487.4534856</v>
      </c>
      <c r="CB32"/>
      <c r="CC32" s="5">
        <f t="shared" si="37"/>
        <v>0</v>
      </c>
      <c r="CD32" s="5">
        <f t="shared" si="38"/>
        <v>97.6107966</v>
      </c>
      <c r="CE32" s="5">
        <f t="shared" si="39"/>
        <v>97.6107966</v>
      </c>
      <c r="CF32" s="35">
        <f t="shared" si="40"/>
        <v>134.6268483</v>
      </c>
      <c r="CG32" s="35">
        <f t="shared" si="108"/>
        <v>71.9243766</v>
      </c>
      <c r="CH32"/>
      <c r="CJ32" s="5">
        <f t="shared" si="41"/>
        <v>432.7712874</v>
      </c>
      <c r="CK32" s="5">
        <f t="shared" si="42"/>
        <v>432.7712874</v>
      </c>
      <c r="CL32" s="35">
        <f t="shared" si="43"/>
        <v>596.8871937</v>
      </c>
      <c r="CM32" s="35">
        <f t="shared" si="109"/>
        <v>318.8869074</v>
      </c>
      <c r="CN32"/>
      <c r="CP32" s="5">
        <f t="shared" si="44"/>
        <v>59.600893799999994</v>
      </c>
      <c r="CQ32" s="5">
        <f t="shared" si="45"/>
        <v>59.600893799999994</v>
      </c>
      <c r="CR32" s="35">
        <f t="shared" si="46"/>
        <v>82.2027969</v>
      </c>
      <c r="CS32" s="35">
        <f t="shared" si="110"/>
        <v>43.91683379999999</v>
      </c>
      <c r="CT32"/>
      <c r="CV32" s="5">
        <f t="shared" si="47"/>
        <v>1243.3483224</v>
      </c>
      <c r="CW32" s="5">
        <f t="shared" si="48"/>
        <v>1243.3483224</v>
      </c>
      <c r="CX32" s="35">
        <f t="shared" si="49"/>
        <v>1714.8519612</v>
      </c>
      <c r="CY32" s="35">
        <f t="shared" si="111"/>
        <v>916.1594424</v>
      </c>
      <c r="CZ32"/>
      <c r="DB32" s="5">
        <f t="shared" si="50"/>
        <v>240.84323519999998</v>
      </c>
      <c r="DC32" s="5">
        <f t="shared" si="51"/>
        <v>240.84323519999998</v>
      </c>
      <c r="DD32" s="35">
        <f t="shared" si="52"/>
        <v>332.17601759999997</v>
      </c>
      <c r="DE32" s="35">
        <f t="shared" si="112"/>
        <v>177.46499519999998</v>
      </c>
      <c r="DF32"/>
      <c r="DH32" s="5">
        <f t="shared" si="53"/>
        <v>318.6439926</v>
      </c>
      <c r="DI32" s="36">
        <f t="shared" si="54"/>
        <v>318.6439926</v>
      </c>
      <c r="DJ32" s="35">
        <f t="shared" si="55"/>
        <v>439.4804463</v>
      </c>
      <c r="DK32" s="35">
        <f t="shared" si="113"/>
        <v>234.7923726</v>
      </c>
      <c r="DL32"/>
      <c r="DN32" s="5">
        <f t="shared" si="56"/>
        <v>1035.8308428</v>
      </c>
      <c r="DO32" s="36">
        <f t="shared" si="57"/>
        <v>1035.8308428</v>
      </c>
      <c r="DP32" s="35">
        <f t="shared" si="58"/>
        <v>1428.6395214</v>
      </c>
      <c r="DQ32" s="35">
        <f t="shared" si="114"/>
        <v>763.2504828</v>
      </c>
      <c r="DT32" s="5">
        <f t="shared" si="59"/>
        <v>608.9635325999999</v>
      </c>
      <c r="DU32" s="5">
        <f t="shared" si="60"/>
        <v>608.9635325999999</v>
      </c>
      <c r="DV32" s="35">
        <f t="shared" si="61"/>
        <v>839.8952162999999</v>
      </c>
      <c r="DW32" s="35">
        <f t="shared" si="115"/>
        <v>448.71391259999996</v>
      </c>
      <c r="DZ32" s="5">
        <f t="shared" si="62"/>
        <v>687.4229981999999</v>
      </c>
      <c r="EA32" s="5">
        <f t="shared" si="63"/>
        <v>687.4229981999999</v>
      </c>
      <c r="EB32" s="35">
        <f t="shared" si="64"/>
        <v>948.1081490999999</v>
      </c>
      <c r="EC32" s="35">
        <f t="shared" si="116"/>
        <v>506.5266582</v>
      </c>
      <c r="EF32" s="5">
        <f t="shared" si="65"/>
        <v>7958.9760078</v>
      </c>
      <c r="EG32" s="5">
        <f t="shared" si="66"/>
        <v>7958.9760078</v>
      </c>
      <c r="EH32" s="35">
        <f t="shared" si="67"/>
        <v>10977.1858539</v>
      </c>
      <c r="EI32" s="35">
        <f t="shared" si="117"/>
        <v>5864.5601478</v>
      </c>
      <c r="EL32" s="5">
        <f t="shared" si="68"/>
        <v>293.0519592</v>
      </c>
      <c r="EM32" s="36">
        <f t="shared" si="69"/>
        <v>293.0519592</v>
      </c>
      <c r="EN32" s="35">
        <f t="shared" si="70"/>
        <v>404.18337959999997</v>
      </c>
      <c r="EO32" s="35">
        <f t="shared" si="118"/>
        <v>215.9349192</v>
      </c>
      <c r="ER32" s="36">
        <f t="shared" si="71"/>
        <v>259.4090478</v>
      </c>
      <c r="ES32" s="36">
        <f t="shared" si="72"/>
        <v>259.4090478</v>
      </c>
      <c r="ET32" s="35">
        <f t="shared" si="73"/>
        <v>357.78237390000004</v>
      </c>
      <c r="EU32" s="35">
        <f t="shared" si="119"/>
        <v>191.14518780000003</v>
      </c>
      <c r="EV32"/>
    </row>
    <row r="33" spans="1:152" ht="12.75">
      <c r="A33" s="37">
        <v>46844</v>
      </c>
      <c r="C33" s="3">
        <v>7420000</v>
      </c>
      <c r="D33" s="3">
        <v>243966</v>
      </c>
      <c r="E33" s="35">
        <f t="shared" si="0"/>
        <v>7663966</v>
      </c>
      <c r="F33" s="35">
        <v>336483</v>
      </c>
      <c r="G33" s="35">
        <v>179766</v>
      </c>
      <c r="I33" s="47">
        <f t="shared" si="74"/>
        <v>1118357.2400000002</v>
      </c>
      <c r="J33" s="36">
        <f t="shared" si="1"/>
        <v>36771.043452000005</v>
      </c>
      <c r="K33" s="36">
        <f t="shared" si="2"/>
        <v>1155128.2834520002</v>
      </c>
      <c r="L33" s="36">
        <f t="shared" si="3"/>
        <v>50715.390726000005</v>
      </c>
      <c r="M33" s="36">
        <f t="shared" si="3"/>
        <v>27094.691052000002</v>
      </c>
      <c r="N33"/>
      <c r="O33" s="5">
        <f t="shared" si="75"/>
        <v>464895.648</v>
      </c>
      <c r="P33" s="5">
        <f t="shared" si="4"/>
        <v>15285.5433504</v>
      </c>
      <c r="Q33" s="5">
        <f t="shared" si="5"/>
        <v>480181.1913504</v>
      </c>
      <c r="R33" s="35">
        <f t="shared" si="6"/>
        <v>21082.140475199998</v>
      </c>
      <c r="S33" s="35">
        <f t="shared" si="97"/>
        <v>11263.1308704</v>
      </c>
      <c r="T33"/>
      <c r="U33" s="5">
        <f t="shared" si="76"/>
        <v>205.534</v>
      </c>
      <c r="V33" s="36">
        <f t="shared" si="7"/>
        <v>6.757858199999999</v>
      </c>
      <c r="W33" s="36">
        <f t="shared" si="8"/>
        <v>212.29185819999998</v>
      </c>
      <c r="X33" s="35">
        <f t="shared" si="9"/>
        <v>9.3205791</v>
      </c>
      <c r="Y33" s="35">
        <f t="shared" si="98"/>
        <v>4.9795182</v>
      </c>
      <c r="Z33"/>
      <c r="AA33" s="5">
        <f t="shared" si="77"/>
        <v>9203.026</v>
      </c>
      <c r="AB33" s="5">
        <f t="shared" si="10"/>
        <v>302.5910298</v>
      </c>
      <c r="AC33" s="5">
        <f t="shared" si="11"/>
        <v>9505.6170298</v>
      </c>
      <c r="AD33" s="35">
        <f t="shared" si="12"/>
        <v>417.3398649</v>
      </c>
      <c r="AE33" s="35">
        <f t="shared" si="99"/>
        <v>222.9637698</v>
      </c>
      <c r="AF33"/>
      <c r="AG33" s="5">
        <f t="shared" si="78"/>
        <v>5541.998</v>
      </c>
      <c r="AH33" s="5">
        <f t="shared" si="13"/>
        <v>182.2182054</v>
      </c>
      <c r="AI33" s="5">
        <f t="shared" si="14"/>
        <v>5724.2162054</v>
      </c>
      <c r="AJ33" s="35">
        <f t="shared" si="15"/>
        <v>251.3191527</v>
      </c>
      <c r="AK33" s="35">
        <f t="shared" si="100"/>
        <v>134.2672254</v>
      </c>
      <c r="AL33"/>
      <c r="AM33" s="5">
        <f t="shared" si="79"/>
        <v>41188.420000000006</v>
      </c>
      <c r="AN33" s="5">
        <f t="shared" si="16"/>
        <v>1354.2552660000001</v>
      </c>
      <c r="AO33" s="5">
        <f t="shared" si="17"/>
        <v>42542.675266000006</v>
      </c>
      <c r="AP33" s="35">
        <f t="shared" si="18"/>
        <v>1867.8171330000002</v>
      </c>
      <c r="AQ33" s="35">
        <f t="shared" si="101"/>
        <v>997.881066</v>
      </c>
      <c r="AR33"/>
      <c r="AS33" s="5">
        <f t="shared" si="80"/>
        <v>12763.884</v>
      </c>
      <c r="AT33" s="5">
        <f t="shared" si="19"/>
        <v>419.6703132</v>
      </c>
      <c r="AU33" s="5">
        <f t="shared" si="20"/>
        <v>13183.5543132</v>
      </c>
      <c r="AV33" s="35">
        <f t="shared" si="21"/>
        <v>578.8180566</v>
      </c>
      <c r="AW33" s="35">
        <f t="shared" si="102"/>
        <v>309.2334732</v>
      </c>
      <c r="AX33"/>
      <c r="AY33" s="5">
        <f t="shared" si="81"/>
        <v>24030.412</v>
      </c>
      <c r="AZ33" s="5">
        <f t="shared" si="22"/>
        <v>790.1082875999999</v>
      </c>
      <c r="BA33" s="5">
        <f t="shared" si="23"/>
        <v>24820.5202876</v>
      </c>
      <c r="BB33" s="35">
        <f t="shared" si="24"/>
        <v>1089.7338438</v>
      </c>
      <c r="BC33" s="35">
        <f t="shared" si="103"/>
        <v>582.1901676</v>
      </c>
      <c r="BD33"/>
      <c r="BE33" s="5">
        <f t="shared" si="82"/>
        <v>5088.6359999999995</v>
      </c>
      <c r="BF33" s="5">
        <f t="shared" si="25"/>
        <v>167.3118828</v>
      </c>
      <c r="BG33" s="5">
        <f t="shared" si="26"/>
        <v>5255.947882799999</v>
      </c>
      <c r="BH33" s="35">
        <f t="shared" si="27"/>
        <v>230.76004139999998</v>
      </c>
      <c r="BI33" s="35">
        <f t="shared" si="104"/>
        <v>123.2835228</v>
      </c>
      <c r="BJ33"/>
      <c r="BK33" s="5">
        <f t="shared" si="83"/>
        <v>90733.98599999999</v>
      </c>
      <c r="BL33" s="5">
        <f t="shared" si="28"/>
        <v>2983.2894377999996</v>
      </c>
      <c r="BM33" s="5">
        <f t="shared" si="29"/>
        <v>93717.2754378</v>
      </c>
      <c r="BN33" s="35">
        <f t="shared" si="30"/>
        <v>4114.6150689</v>
      </c>
      <c r="BO33" s="35">
        <f t="shared" si="105"/>
        <v>2198.2325778</v>
      </c>
      <c r="BP33"/>
      <c r="BQ33" s="36">
        <f t="shared" si="84"/>
        <v>42010.556</v>
      </c>
      <c r="BR33" s="5">
        <f t="shared" si="31"/>
        <v>1381.2866988</v>
      </c>
      <c r="BS33" s="36">
        <f t="shared" si="32"/>
        <v>43391.8426988</v>
      </c>
      <c r="BT33" s="35">
        <f t="shared" si="33"/>
        <v>1905.0994494</v>
      </c>
      <c r="BU33" s="35">
        <f t="shared" si="106"/>
        <v>1017.7991387999999</v>
      </c>
      <c r="BV33"/>
      <c r="BW33" s="5">
        <f t="shared" si="85"/>
        <v>20120.072</v>
      </c>
      <c r="BX33" s="5">
        <f t="shared" si="34"/>
        <v>661.5382056000001</v>
      </c>
      <c r="BY33" s="5">
        <f t="shared" si="35"/>
        <v>20781.6102056</v>
      </c>
      <c r="BZ33" s="35">
        <f t="shared" si="36"/>
        <v>912.4073028</v>
      </c>
      <c r="CA33" s="35">
        <f t="shared" si="107"/>
        <v>487.4534856</v>
      </c>
      <c r="CB33"/>
      <c r="CC33" s="5">
        <f t="shared" si="37"/>
        <v>2968.742</v>
      </c>
      <c r="CD33" s="5">
        <f t="shared" si="38"/>
        <v>97.6107966</v>
      </c>
      <c r="CE33" s="5">
        <f t="shared" si="39"/>
        <v>3066.3527966</v>
      </c>
      <c r="CF33" s="35">
        <f t="shared" si="40"/>
        <v>134.6268483</v>
      </c>
      <c r="CG33" s="35">
        <f t="shared" si="108"/>
        <v>71.9243766</v>
      </c>
      <c r="CH33"/>
      <c r="CI33" s="5">
        <f t="shared" si="86"/>
        <v>13162.338</v>
      </c>
      <c r="CJ33" s="5">
        <f t="shared" si="41"/>
        <v>432.7712874</v>
      </c>
      <c r="CK33" s="5">
        <f t="shared" si="42"/>
        <v>13595.1092874</v>
      </c>
      <c r="CL33" s="35">
        <f t="shared" si="43"/>
        <v>596.8871937</v>
      </c>
      <c r="CM33" s="35">
        <f t="shared" si="109"/>
        <v>318.8869074</v>
      </c>
      <c r="CN33"/>
      <c r="CO33" s="5">
        <f t="shared" si="87"/>
        <v>1812.706</v>
      </c>
      <c r="CP33" s="5">
        <f t="shared" si="44"/>
        <v>59.600893799999994</v>
      </c>
      <c r="CQ33" s="5">
        <f t="shared" si="45"/>
        <v>1872.3068938</v>
      </c>
      <c r="CR33" s="35">
        <f t="shared" si="46"/>
        <v>82.2027969</v>
      </c>
      <c r="CS33" s="35">
        <f t="shared" si="110"/>
        <v>43.91683379999999</v>
      </c>
      <c r="CT33"/>
      <c r="CU33" s="5">
        <f t="shared" si="88"/>
        <v>37815.288</v>
      </c>
      <c r="CV33" s="5">
        <f t="shared" si="47"/>
        <v>1243.3483224</v>
      </c>
      <c r="CW33" s="5">
        <f t="shared" si="48"/>
        <v>39058.6363224</v>
      </c>
      <c r="CX33" s="35">
        <f t="shared" si="49"/>
        <v>1714.8519612</v>
      </c>
      <c r="CY33" s="35">
        <f t="shared" si="111"/>
        <v>916.1594424</v>
      </c>
      <c r="CZ33"/>
      <c r="DA33" s="5">
        <f t="shared" si="89"/>
        <v>7325.023999999999</v>
      </c>
      <c r="DB33" s="5">
        <f t="shared" si="50"/>
        <v>240.84323519999998</v>
      </c>
      <c r="DC33" s="5">
        <f t="shared" si="51"/>
        <v>7565.867235199999</v>
      </c>
      <c r="DD33" s="35">
        <f t="shared" si="52"/>
        <v>332.17601759999997</v>
      </c>
      <c r="DE33" s="35">
        <f t="shared" si="112"/>
        <v>177.46499519999998</v>
      </c>
      <c r="DF33"/>
      <c r="DG33" s="5">
        <f t="shared" si="90"/>
        <v>9691.261999999999</v>
      </c>
      <c r="DH33" s="5">
        <f t="shared" si="53"/>
        <v>318.6439926</v>
      </c>
      <c r="DI33" s="36">
        <f t="shared" si="54"/>
        <v>10009.905992599999</v>
      </c>
      <c r="DJ33" s="35">
        <f t="shared" si="55"/>
        <v>439.4804463</v>
      </c>
      <c r="DK33" s="35">
        <f t="shared" si="113"/>
        <v>234.7923726</v>
      </c>
      <c r="DL33"/>
      <c r="DM33" s="5">
        <f t="shared" si="91"/>
        <v>31503.836</v>
      </c>
      <c r="DN33" s="5">
        <f t="shared" si="56"/>
        <v>1035.8308428</v>
      </c>
      <c r="DO33" s="36">
        <f t="shared" si="57"/>
        <v>32539.666842799998</v>
      </c>
      <c r="DP33" s="35">
        <f t="shared" si="58"/>
        <v>1428.6395214</v>
      </c>
      <c r="DQ33" s="35">
        <f t="shared" si="114"/>
        <v>763.2504828</v>
      </c>
      <c r="DS33" s="5">
        <f t="shared" si="92"/>
        <v>18521.061999999998</v>
      </c>
      <c r="DT33" s="5">
        <f t="shared" si="59"/>
        <v>608.9635325999999</v>
      </c>
      <c r="DU33" s="5">
        <f t="shared" si="60"/>
        <v>19130.025532599997</v>
      </c>
      <c r="DV33" s="35">
        <f t="shared" si="61"/>
        <v>839.8952162999999</v>
      </c>
      <c r="DW33" s="35">
        <f t="shared" si="115"/>
        <v>448.71391259999996</v>
      </c>
      <c r="DY33" s="5">
        <f t="shared" si="93"/>
        <v>20907.334</v>
      </c>
      <c r="DZ33" s="5">
        <f t="shared" si="62"/>
        <v>687.4229981999999</v>
      </c>
      <c r="EA33" s="5">
        <f t="shared" si="63"/>
        <v>21594.7569982</v>
      </c>
      <c r="EB33" s="35">
        <f t="shared" si="64"/>
        <v>948.1081490999999</v>
      </c>
      <c r="EC33" s="35">
        <f t="shared" si="116"/>
        <v>506.5266582</v>
      </c>
      <c r="EE33" s="5">
        <f t="shared" si="94"/>
        <v>242064.886</v>
      </c>
      <c r="EF33" s="5">
        <f t="shared" si="65"/>
        <v>7958.9760078</v>
      </c>
      <c r="EG33" s="5">
        <f t="shared" si="66"/>
        <v>250023.8620078</v>
      </c>
      <c r="EH33" s="35">
        <f t="shared" si="67"/>
        <v>10977.1858539</v>
      </c>
      <c r="EI33" s="35">
        <f t="shared" si="117"/>
        <v>5864.5601478</v>
      </c>
      <c r="EK33" s="5">
        <f t="shared" si="95"/>
        <v>8912.903999999999</v>
      </c>
      <c r="EL33" s="5">
        <f t="shared" si="68"/>
        <v>293.0519592</v>
      </c>
      <c r="EM33" s="36">
        <f t="shared" si="69"/>
        <v>9205.955959199999</v>
      </c>
      <c r="EN33" s="35">
        <f t="shared" si="70"/>
        <v>404.18337959999997</v>
      </c>
      <c r="EO33" s="35">
        <f t="shared" si="118"/>
        <v>215.9349192</v>
      </c>
      <c r="EQ33" s="5">
        <f t="shared" si="96"/>
        <v>7889.686000000001</v>
      </c>
      <c r="ER33" s="36">
        <f t="shared" si="71"/>
        <v>259.4090478</v>
      </c>
      <c r="ES33" s="36">
        <f t="shared" si="72"/>
        <v>8149.0950478</v>
      </c>
      <c r="ET33" s="35">
        <f t="shared" si="73"/>
        <v>357.78237390000004</v>
      </c>
      <c r="EU33" s="35">
        <f t="shared" si="119"/>
        <v>191.14518780000003</v>
      </c>
      <c r="EV33"/>
    </row>
    <row r="34" spans="1:152" ht="12.75">
      <c r="A34" s="37">
        <v>47027</v>
      </c>
      <c r="D34" s="3">
        <v>95566</v>
      </c>
      <c r="E34" s="35">
        <f t="shared" si="0"/>
        <v>95566</v>
      </c>
      <c r="F34" s="35">
        <v>336483</v>
      </c>
      <c r="G34" s="35">
        <v>179766</v>
      </c>
      <c r="I34" s="47"/>
      <c r="J34" s="36">
        <f t="shared" si="1"/>
        <v>14403.898651999998</v>
      </c>
      <c r="K34" s="36">
        <f t="shared" si="2"/>
        <v>14403.898651999998</v>
      </c>
      <c r="L34" s="36">
        <f t="shared" si="3"/>
        <v>50715.390726000005</v>
      </c>
      <c r="M34" s="36">
        <f t="shared" si="3"/>
        <v>27094.691052000002</v>
      </c>
      <c r="N34"/>
      <c r="P34" s="5">
        <f t="shared" si="4"/>
        <v>5987.6303904</v>
      </c>
      <c r="Q34" s="5">
        <f t="shared" si="5"/>
        <v>5987.6303904</v>
      </c>
      <c r="R34" s="35">
        <f t="shared" si="6"/>
        <v>21082.140475199998</v>
      </c>
      <c r="S34" s="35">
        <f t="shared" si="97"/>
        <v>11263.1308704</v>
      </c>
      <c r="T34"/>
      <c r="V34" s="36">
        <f t="shared" si="7"/>
        <v>2.6471782</v>
      </c>
      <c r="W34" s="36">
        <f t="shared" si="8"/>
        <v>2.6471782</v>
      </c>
      <c r="X34" s="35">
        <f t="shared" si="9"/>
        <v>9.3205791</v>
      </c>
      <c r="Y34" s="35">
        <f t="shared" si="98"/>
        <v>4.9795182</v>
      </c>
      <c r="Z34"/>
      <c r="AB34" s="5">
        <f t="shared" si="10"/>
        <v>118.53050979999999</v>
      </c>
      <c r="AC34" s="5">
        <f t="shared" si="11"/>
        <v>118.53050979999999</v>
      </c>
      <c r="AD34" s="35">
        <f t="shared" si="12"/>
        <v>417.3398649</v>
      </c>
      <c r="AE34" s="35">
        <f t="shared" si="99"/>
        <v>222.9637698</v>
      </c>
      <c r="AF34"/>
      <c r="AH34" s="5">
        <f t="shared" si="13"/>
        <v>71.3782454</v>
      </c>
      <c r="AI34" s="5">
        <f t="shared" si="14"/>
        <v>71.3782454</v>
      </c>
      <c r="AJ34" s="35">
        <f t="shared" si="15"/>
        <v>251.3191527</v>
      </c>
      <c r="AK34" s="35">
        <f t="shared" si="100"/>
        <v>134.2672254</v>
      </c>
      <c r="AL34"/>
      <c r="AN34" s="5">
        <f t="shared" si="16"/>
        <v>530.4868660000001</v>
      </c>
      <c r="AO34" s="5">
        <f t="shared" si="17"/>
        <v>530.4868660000001</v>
      </c>
      <c r="AP34" s="35">
        <f t="shared" si="18"/>
        <v>1867.8171330000002</v>
      </c>
      <c r="AQ34" s="35">
        <f t="shared" si="101"/>
        <v>997.881066</v>
      </c>
      <c r="AR34"/>
      <c r="AT34" s="5">
        <f t="shared" si="19"/>
        <v>164.3926332</v>
      </c>
      <c r="AU34" s="5">
        <f t="shared" si="20"/>
        <v>164.3926332</v>
      </c>
      <c r="AV34" s="35">
        <f t="shared" si="21"/>
        <v>578.8180566</v>
      </c>
      <c r="AW34" s="35">
        <f t="shared" si="102"/>
        <v>309.2334732</v>
      </c>
      <c r="AX34"/>
      <c r="AZ34" s="5">
        <f t="shared" si="22"/>
        <v>309.5000476</v>
      </c>
      <c r="BA34" s="5">
        <f t="shared" si="23"/>
        <v>309.5000476</v>
      </c>
      <c r="BB34" s="35">
        <f t="shared" si="24"/>
        <v>1089.7338438</v>
      </c>
      <c r="BC34" s="35">
        <f t="shared" si="103"/>
        <v>582.1901676</v>
      </c>
      <c r="BD34"/>
      <c r="BF34" s="5">
        <f t="shared" si="25"/>
        <v>65.5391628</v>
      </c>
      <c r="BG34" s="5">
        <f t="shared" si="26"/>
        <v>65.5391628</v>
      </c>
      <c r="BH34" s="35">
        <f t="shared" si="27"/>
        <v>230.76004139999998</v>
      </c>
      <c r="BI34" s="35">
        <f t="shared" si="104"/>
        <v>123.2835228</v>
      </c>
      <c r="BJ34"/>
      <c r="BL34" s="5">
        <f t="shared" si="28"/>
        <v>1168.6097178</v>
      </c>
      <c r="BM34" s="5">
        <f t="shared" si="29"/>
        <v>1168.6097178</v>
      </c>
      <c r="BN34" s="35">
        <f t="shared" si="30"/>
        <v>4114.6150689</v>
      </c>
      <c r="BO34" s="35">
        <f t="shared" si="105"/>
        <v>2198.2325778</v>
      </c>
      <c r="BP34"/>
      <c r="BQ34" s="36"/>
      <c r="BR34" s="5">
        <f t="shared" si="31"/>
        <v>541.0755788</v>
      </c>
      <c r="BS34" s="36">
        <f t="shared" si="32"/>
        <v>541.0755788</v>
      </c>
      <c r="BT34" s="35">
        <f t="shared" si="33"/>
        <v>1905.0994494</v>
      </c>
      <c r="BU34" s="35">
        <f t="shared" si="106"/>
        <v>1017.7991387999999</v>
      </c>
      <c r="BV34"/>
      <c r="BX34" s="5">
        <f t="shared" si="34"/>
        <v>259.13676560000005</v>
      </c>
      <c r="BY34" s="5">
        <f t="shared" si="35"/>
        <v>259.13676560000005</v>
      </c>
      <c r="BZ34" s="35">
        <f t="shared" si="36"/>
        <v>912.4073028</v>
      </c>
      <c r="CA34" s="35">
        <f t="shared" si="107"/>
        <v>487.4534856</v>
      </c>
      <c r="CB34"/>
      <c r="CC34" s="5">
        <f t="shared" si="37"/>
        <v>0</v>
      </c>
      <c r="CD34" s="5">
        <f t="shared" si="38"/>
        <v>38.2359566</v>
      </c>
      <c r="CE34" s="5">
        <f t="shared" si="39"/>
        <v>38.2359566</v>
      </c>
      <c r="CF34" s="35">
        <f t="shared" si="40"/>
        <v>134.6268483</v>
      </c>
      <c r="CG34" s="35">
        <f t="shared" si="108"/>
        <v>71.9243766</v>
      </c>
      <c r="CH34"/>
      <c r="CJ34" s="5">
        <f t="shared" si="41"/>
        <v>169.52452739999998</v>
      </c>
      <c r="CK34" s="5">
        <f t="shared" si="42"/>
        <v>169.52452739999998</v>
      </c>
      <c r="CL34" s="35">
        <f t="shared" si="43"/>
        <v>596.8871937</v>
      </c>
      <c r="CM34" s="35">
        <f t="shared" si="109"/>
        <v>318.8869074</v>
      </c>
      <c r="CN34"/>
      <c r="CP34" s="5">
        <f t="shared" si="44"/>
        <v>23.346773799999998</v>
      </c>
      <c r="CQ34" s="5">
        <f t="shared" si="45"/>
        <v>23.346773799999998</v>
      </c>
      <c r="CR34" s="35">
        <f t="shared" si="46"/>
        <v>82.2027969</v>
      </c>
      <c r="CS34" s="35">
        <f t="shared" si="110"/>
        <v>43.91683379999999</v>
      </c>
      <c r="CT34"/>
      <c r="CV34" s="5">
        <f t="shared" si="47"/>
        <v>487.0425624</v>
      </c>
      <c r="CW34" s="5">
        <f t="shared" si="48"/>
        <v>487.0425624</v>
      </c>
      <c r="CX34" s="35">
        <f t="shared" si="49"/>
        <v>1714.8519612</v>
      </c>
      <c r="CY34" s="35">
        <f t="shared" si="111"/>
        <v>916.1594424</v>
      </c>
      <c r="CZ34"/>
      <c r="DB34" s="5">
        <f t="shared" si="50"/>
        <v>94.3427552</v>
      </c>
      <c r="DC34" s="5">
        <f t="shared" si="51"/>
        <v>94.3427552</v>
      </c>
      <c r="DD34" s="35">
        <f t="shared" si="52"/>
        <v>332.17601759999997</v>
      </c>
      <c r="DE34" s="35">
        <f t="shared" si="112"/>
        <v>177.46499519999998</v>
      </c>
      <c r="DF34"/>
      <c r="DH34" s="5">
        <f t="shared" si="53"/>
        <v>124.8187526</v>
      </c>
      <c r="DI34" s="36">
        <f t="shared" si="54"/>
        <v>124.8187526</v>
      </c>
      <c r="DJ34" s="35">
        <f t="shared" si="55"/>
        <v>439.4804463</v>
      </c>
      <c r="DK34" s="35">
        <f t="shared" si="113"/>
        <v>234.7923726</v>
      </c>
      <c r="DL34"/>
      <c r="DN34" s="5">
        <f t="shared" si="56"/>
        <v>405.7541228</v>
      </c>
      <c r="DO34" s="36">
        <f t="shared" si="57"/>
        <v>405.7541228</v>
      </c>
      <c r="DP34" s="35">
        <f t="shared" si="58"/>
        <v>1428.6395214</v>
      </c>
      <c r="DQ34" s="35">
        <f t="shared" si="114"/>
        <v>763.2504828</v>
      </c>
      <c r="DT34" s="5">
        <f t="shared" si="59"/>
        <v>238.54229259999997</v>
      </c>
      <c r="DU34" s="5">
        <f t="shared" si="60"/>
        <v>238.54229259999997</v>
      </c>
      <c r="DV34" s="35">
        <f t="shared" si="61"/>
        <v>839.8952162999999</v>
      </c>
      <c r="DW34" s="35">
        <f t="shared" si="115"/>
        <v>448.71391259999996</v>
      </c>
      <c r="DZ34" s="5">
        <f t="shared" si="62"/>
        <v>269.2763182</v>
      </c>
      <c r="EA34" s="5">
        <f t="shared" si="63"/>
        <v>269.2763182</v>
      </c>
      <c r="EB34" s="35">
        <f t="shared" si="64"/>
        <v>948.1081490999999</v>
      </c>
      <c r="EC34" s="35">
        <f t="shared" si="116"/>
        <v>506.5266582</v>
      </c>
      <c r="EF34" s="5">
        <f t="shared" si="65"/>
        <v>3117.6782878</v>
      </c>
      <c r="EG34" s="5">
        <f t="shared" si="66"/>
        <v>3117.6782878</v>
      </c>
      <c r="EH34" s="35">
        <f t="shared" si="67"/>
        <v>10977.1858539</v>
      </c>
      <c r="EI34" s="35">
        <f t="shared" si="117"/>
        <v>5864.5601478</v>
      </c>
      <c r="EL34" s="5">
        <f t="shared" si="68"/>
        <v>114.79387919999999</v>
      </c>
      <c r="EM34" s="36">
        <f t="shared" si="69"/>
        <v>114.79387919999999</v>
      </c>
      <c r="EN34" s="35">
        <f t="shared" si="70"/>
        <v>404.18337959999997</v>
      </c>
      <c r="EO34" s="35">
        <f t="shared" si="118"/>
        <v>215.9349192</v>
      </c>
      <c r="ER34" s="36">
        <f t="shared" si="71"/>
        <v>101.6153278</v>
      </c>
      <c r="ES34" s="36">
        <f t="shared" si="72"/>
        <v>101.6153278</v>
      </c>
      <c r="ET34" s="35">
        <f t="shared" si="73"/>
        <v>357.78237390000004</v>
      </c>
      <c r="EU34" s="35">
        <f t="shared" si="119"/>
        <v>191.14518780000003</v>
      </c>
      <c r="EV34"/>
    </row>
    <row r="35" spans="1:152" ht="12.75">
      <c r="A35" s="37">
        <v>47209</v>
      </c>
      <c r="C35" s="3">
        <v>10000</v>
      </c>
      <c r="D35" s="3">
        <v>95566</v>
      </c>
      <c r="E35" s="35">
        <f t="shared" si="0"/>
        <v>105566</v>
      </c>
      <c r="F35" s="35">
        <v>336483</v>
      </c>
      <c r="G35" s="35">
        <v>179766</v>
      </c>
      <c r="I35" s="47">
        <f t="shared" si="74"/>
        <v>1507.2199999999998</v>
      </c>
      <c r="J35" s="36">
        <f t="shared" si="1"/>
        <v>14403.898651999998</v>
      </c>
      <c r="K35" s="36">
        <f t="shared" si="2"/>
        <v>15911.118651999997</v>
      </c>
      <c r="L35" s="36">
        <f t="shared" si="3"/>
        <v>50715.390726000005</v>
      </c>
      <c r="M35" s="36">
        <f t="shared" si="3"/>
        <v>27094.691052000002</v>
      </c>
      <c r="N35"/>
      <c r="O35" s="5">
        <f t="shared" si="75"/>
        <v>626.544</v>
      </c>
      <c r="P35" s="5">
        <f t="shared" si="4"/>
        <v>5987.6303904</v>
      </c>
      <c r="Q35" s="5">
        <f t="shared" si="5"/>
        <v>6614.1743903999995</v>
      </c>
      <c r="R35" s="35">
        <f t="shared" si="6"/>
        <v>21082.140475199998</v>
      </c>
      <c r="S35" s="35">
        <f t="shared" si="97"/>
        <v>11263.1308704</v>
      </c>
      <c r="T35"/>
      <c r="U35" s="5">
        <f t="shared" si="76"/>
        <v>0.27699999999999997</v>
      </c>
      <c r="V35" s="36">
        <f t="shared" si="7"/>
        <v>2.6471782</v>
      </c>
      <c r="W35" s="36">
        <f t="shared" si="8"/>
        <v>2.9241782</v>
      </c>
      <c r="X35" s="35">
        <f t="shared" si="9"/>
        <v>9.3205791</v>
      </c>
      <c r="Y35" s="35">
        <f t="shared" si="98"/>
        <v>4.9795182</v>
      </c>
      <c r="Z35"/>
      <c r="AA35" s="5">
        <f t="shared" si="77"/>
        <v>12.402999999999999</v>
      </c>
      <c r="AB35" s="5">
        <f t="shared" si="10"/>
        <v>118.53050979999999</v>
      </c>
      <c r="AC35" s="5">
        <f t="shared" si="11"/>
        <v>130.9335098</v>
      </c>
      <c r="AD35" s="35">
        <f t="shared" si="12"/>
        <v>417.3398649</v>
      </c>
      <c r="AE35" s="35">
        <f t="shared" si="99"/>
        <v>222.9637698</v>
      </c>
      <c r="AF35"/>
      <c r="AG35" s="5">
        <f t="shared" si="78"/>
        <v>7.469</v>
      </c>
      <c r="AH35" s="5">
        <f t="shared" si="13"/>
        <v>71.3782454</v>
      </c>
      <c r="AI35" s="5">
        <f t="shared" si="14"/>
        <v>78.84724539999999</v>
      </c>
      <c r="AJ35" s="35">
        <f t="shared" si="15"/>
        <v>251.3191527</v>
      </c>
      <c r="AK35" s="35">
        <f t="shared" si="100"/>
        <v>134.2672254</v>
      </c>
      <c r="AL35"/>
      <c r="AM35" s="5">
        <f t="shared" si="79"/>
        <v>55.510000000000005</v>
      </c>
      <c r="AN35" s="5">
        <f t="shared" si="16"/>
        <v>530.4868660000001</v>
      </c>
      <c r="AO35" s="5">
        <f t="shared" si="17"/>
        <v>585.9968660000001</v>
      </c>
      <c r="AP35" s="35">
        <f t="shared" si="18"/>
        <v>1867.8171330000002</v>
      </c>
      <c r="AQ35" s="35">
        <f t="shared" si="101"/>
        <v>997.881066</v>
      </c>
      <c r="AR35"/>
      <c r="AS35" s="5">
        <f t="shared" si="80"/>
        <v>17.202</v>
      </c>
      <c r="AT35" s="5">
        <f t="shared" si="19"/>
        <v>164.3926332</v>
      </c>
      <c r="AU35" s="5">
        <f t="shared" si="20"/>
        <v>181.5946332</v>
      </c>
      <c r="AV35" s="35">
        <f t="shared" si="21"/>
        <v>578.8180566</v>
      </c>
      <c r="AW35" s="35">
        <f t="shared" si="102"/>
        <v>309.2334732</v>
      </c>
      <c r="AX35"/>
      <c r="AY35" s="5">
        <f t="shared" si="81"/>
        <v>32.385999999999996</v>
      </c>
      <c r="AZ35" s="5">
        <f t="shared" si="22"/>
        <v>309.5000476</v>
      </c>
      <c r="BA35" s="5">
        <f t="shared" si="23"/>
        <v>341.8860476</v>
      </c>
      <c r="BB35" s="35">
        <f t="shared" si="24"/>
        <v>1089.7338438</v>
      </c>
      <c r="BC35" s="35">
        <f t="shared" si="103"/>
        <v>582.1901676</v>
      </c>
      <c r="BD35"/>
      <c r="BE35" s="5">
        <f t="shared" si="82"/>
        <v>6.858</v>
      </c>
      <c r="BF35" s="5">
        <f t="shared" si="25"/>
        <v>65.5391628</v>
      </c>
      <c r="BG35" s="5">
        <f t="shared" si="26"/>
        <v>72.3971628</v>
      </c>
      <c r="BH35" s="35">
        <f t="shared" si="27"/>
        <v>230.76004139999998</v>
      </c>
      <c r="BI35" s="35">
        <f t="shared" si="104"/>
        <v>123.2835228</v>
      </c>
      <c r="BJ35"/>
      <c r="BK35" s="5">
        <f t="shared" si="83"/>
        <v>122.28299999999999</v>
      </c>
      <c r="BL35" s="5">
        <f t="shared" si="28"/>
        <v>1168.6097178</v>
      </c>
      <c r="BM35" s="5">
        <f t="shared" si="29"/>
        <v>1290.8927178</v>
      </c>
      <c r="BN35" s="35">
        <f t="shared" si="30"/>
        <v>4114.6150689</v>
      </c>
      <c r="BO35" s="35">
        <f t="shared" si="105"/>
        <v>2198.2325778</v>
      </c>
      <c r="BP35"/>
      <c r="BQ35" s="36">
        <f t="shared" si="84"/>
        <v>56.617999999999995</v>
      </c>
      <c r="BR35" s="5">
        <f t="shared" si="31"/>
        <v>541.0755788</v>
      </c>
      <c r="BS35" s="36">
        <f t="shared" si="32"/>
        <v>597.6935788000001</v>
      </c>
      <c r="BT35" s="35">
        <f t="shared" si="33"/>
        <v>1905.0994494</v>
      </c>
      <c r="BU35" s="35">
        <f t="shared" si="106"/>
        <v>1017.7991387999999</v>
      </c>
      <c r="BV35"/>
      <c r="BW35" s="5">
        <f t="shared" si="85"/>
        <v>27.116000000000003</v>
      </c>
      <c r="BX35" s="5">
        <f t="shared" si="34"/>
        <v>259.13676560000005</v>
      </c>
      <c r="BY35" s="5">
        <f t="shared" si="35"/>
        <v>286.25276560000003</v>
      </c>
      <c r="BZ35" s="35">
        <f t="shared" si="36"/>
        <v>912.4073028</v>
      </c>
      <c r="CA35" s="35">
        <f t="shared" si="107"/>
        <v>487.4534856</v>
      </c>
      <c r="CB35"/>
      <c r="CC35" s="5">
        <f t="shared" si="37"/>
        <v>4.001</v>
      </c>
      <c r="CD35" s="5">
        <f t="shared" si="38"/>
        <v>38.2359566</v>
      </c>
      <c r="CE35" s="5">
        <f t="shared" si="39"/>
        <v>42.2369566</v>
      </c>
      <c r="CF35" s="35">
        <f t="shared" si="40"/>
        <v>134.6268483</v>
      </c>
      <c r="CG35" s="35">
        <f t="shared" si="108"/>
        <v>71.9243766</v>
      </c>
      <c r="CH35"/>
      <c r="CI35" s="5">
        <f t="shared" si="86"/>
        <v>17.739</v>
      </c>
      <c r="CJ35" s="5">
        <f t="shared" si="41"/>
        <v>169.52452739999998</v>
      </c>
      <c r="CK35" s="5">
        <f t="shared" si="42"/>
        <v>187.2635274</v>
      </c>
      <c r="CL35" s="35">
        <f t="shared" si="43"/>
        <v>596.8871937</v>
      </c>
      <c r="CM35" s="35">
        <f t="shared" si="109"/>
        <v>318.8869074</v>
      </c>
      <c r="CN35"/>
      <c r="CO35" s="5">
        <f t="shared" si="87"/>
        <v>2.4429999999999996</v>
      </c>
      <c r="CP35" s="5">
        <f t="shared" si="44"/>
        <v>23.346773799999998</v>
      </c>
      <c r="CQ35" s="5">
        <f t="shared" si="45"/>
        <v>25.7897738</v>
      </c>
      <c r="CR35" s="35">
        <f t="shared" si="46"/>
        <v>82.2027969</v>
      </c>
      <c r="CS35" s="35">
        <f t="shared" si="110"/>
        <v>43.91683379999999</v>
      </c>
      <c r="CT35"/>
      <c r="CU35" s="5">
        <f t="shared" si="88"/>
        <v>50.964</v>
      </c>
      <c r="CV35" s="5">
        <f t="shared" si="47"/>
        <v>487.0425624</v>
      </c>
      <c r="CW35" s="5">
        <f t="shared" si="48"/>
        <v>538.0065624</v>
      </c>
      <c r="CX35" s="35">
        <f t="shared" si="49"/>
        <v>1714.8519612</v>
      </c>
      <c r="CY35" s="35">
        <f t="shared" si="111"/>
        <v>916.1594424</v>
      </c>
      <c r="CZ35"/>
      <c r="DA35" s="5">
        <f t="shared" si="89"/>
        <v>9.872</v>
      </c>
      <c r="DB35" s="5">
        <f t="shared" si="50"/>
        <v>94.3427552</v>
      </c>
      <c r="DC35" s="5">
        <f t="shared" si="51"/>
        <v>104.2147552</v>
      </c>
      <c r="DD35" s="35">
        <f t="shared" si="52"/>
        <v>332.17601759999997</v>
      </c>
      <c r="DE35" s="35">
        <f t="shared" si="112"/>
        <v>177.46499519999998</v>
      </c>
      <c r="DF35"/>
      <c r="DG35" s="5">
        <f t="shared" si="90"/>
        <v>13.061</v>
      </c>
      <c r="DH35" s="5">
        <f t="shared" si="53"/>
        <v>124.8187526</v>
      </c>
      <c r="DI35" s="36">
        <f t="shared" si="54"/>
        <v>137.8797526</v>
      </c>
      <c r="DJ35" s="35">
        <f t="shared" si="55"/>
        <v>439.4804463</v>
      </c>
      <c r="DK35" s="35">
        <f t="shared" si="113"/>
        <v>234.7923726</v>
      </c>
      <c r="DL35"/>
      <c r="DM35" s="5">
        <f t="shared" si="91"/>
        <v>42.458</v>
      </c>
      <c r="DN35" s="5">
        <f t="shared" si="56"/>
        <v>405.7541228</v>
      </c>
      <c r="DO35" s="36">
        <f t="shared" si="57"/>
        <v>448.2121228</v>
      </c>
      <c r="DP35" s="35">
        <f t="shared" si="58"/>
        <v>1428.6395214</v>
      </c>
      <c r="DQ35" s="35">
        <f t="shared" si="114"/>
        <v>763.2504828</v>
      </c>
      <c r="DS35" s="5">
        <f t="shared" si="92"/>
        <v>24.961</v>
      </c>
      <c r="DT35" s="5">
        <f t="shared" si="59"/>
        <v>238.54229259999997</v>
      </c>
      <c r="DU35" s="5">
        <f t="shared" si="60"/>
        <v>263.50329259999995</v>
      </c>
      <c r="DV35" s="35">
        <f t="shared" si="61"/>
        <v>839.8952162999999</v>
      </c>
      <c r="DW35" s="35">
        <f t="shared" si="115"/>
        <v>448.71391259999996</v>
      </c>
      <c r="DY35" s="5">
        <f t="shared" si="93"/>
        <v>28.177</v>
      </c>
      <c r="DZ35" s="5">
        <f t="shared" si="62"/>
        <v>269.2763182</v>
      </c>
      <c r="EA35" s="5">
        <f t="shared" si="63"/>
        <v>297.4533182</v>
      </c>
      <c r="EB35" s="35">
        <f t="shared" si="64"/>
        <v>948.1081490999999</v>
      </c>
      <c r="EC35" s="35">
        <f t="shared" si="116"/>
        <v>506.5266582</v>
      </c>
      <c r="EE35" s="5">
        <f t="shared" si="94"/>
        <v>326.233</v>
      </c>
      <c r="EF35" s="5">
        <f t="shared" si="65"/>
        <v>3117.6782878</v>
      </c>
      <c r="EG35" s="5">
        <f t="shared" si="66"/>
        <v>3443.9112878</v>
      </c>
      <c r="EH35" s="35">
        <f t="shared" si="67"/>
        <v>10977.1858539</v>
      </c>
      <c r="EI35" s="35">
        <f t="shared" si="117"/>
        <v>5864.5601478</v>
      </c>
      <c r="EK35" s="5">
        <f t="shared" si="95"/>
        <v>12.011999999999999</v>
      </c>
      <c r="EL35" s="5">
        <f t="shared" si="68"/>
        <v>114.79387919999999</v>
      </c>
      <c r="EM35" s="36">
        <f t="shared" si="69"/>
        <v>126.80587919999999</v>
      </c>
      <c r="EN35" s="35">
        <f t="shared" si="70"/>
        <v>404.18337959999997</v>
      </c>
      <c r="EO35" s="35">
        <f t="shared" si="118"/>
        <v>215.9349192</v>
      </c>
      <c r="EQ35" s="5">
        <f t="shared" si="96"/>
        <v>10.633000000000001</v>
      </c>
      <c r="ER35" s="36">
        <f t="shared" si="71"/>
        <v>101.6153278</v>
      </c>
      <c r="ES35" s="36">
        <f t="shared" si="72"/>
        <v>112.2483278</v>
      </c>
      <c r="ET35" s="35">
        <f t="shared" si="73"/>
        <v>357.78237390000004</v>
      </c>
      <c r="EU35" s="35">
        <f t="shared" si="119"/>
        <v>191.14518780000003</v>
      </c>
      <c r="EV35"/>
    </row>
    <row r="36" spans="1:152" ht="12.75">
      <c r="A36" s="37">
        <v>47392</v>
      </c>
      <c r="D36" s="3">
        <v>95416</v>
      </c>
      <c r="E36" s="35">
        <f t="shared" si="0"/>
        <v>95416</v>
      </c>
      <c r="F36" s="35">
        <v>336483</v>
      </c>
      <c r="G36" s="35">
        <v>179766</v>
      </c>
      <c r="I36" s="47"/>
      <c r="J36" s="36">
        <f t="shared" si="1"/>
        <v>14381.290351999998</v>
      </c>
      <c r="K36" s="36">
        <f t="shared" si="2"/>
        <v>14381.290351999998</v>
      </c>
      <c r="L36" s="36">
        <f t="shared" si="3"/>
        <v>50715.390726000005</v>
      </c>
      <c r="M36" s="36">
        <f t="shared" si="3"/>
        <v>27094.691052000002</v>
      </c>
      <c r="N36"/>
      <c r="P36" s="5">
        <f t="shared" si="4"/>
        <v>5978.2322304</v>
      </c>
      <c r="Q36" s="5">
        <f t="shared" si="5"/>
        <v>5978.2322304</v>
      </c>
      <c r="R36" s="35">
        <f t="shared" si="6"/>
        <v>21082.140475199998</v>
      </c>
      <c r="S36" s="35">
        <f t="shared" si="97"/>
        <v>11263.1308704</v>
      </c>
      <c r="T36"/>
      <c r="V36" s="36">
        <f t="shared" si="7"/>
        <v>2.6430232</v>
      </c>
      <c r="W36" s="36">
        <f t="shared" si="8"/>
        <v>2.6430232</v>
      </c>
      <c r="X36" s="35">
        <f t="shared" si="9"/>
        <v>9.3205791</v>
      </c>
      <c r="Y36" s="35">
        <f t="shared" si="98"/>
        <v>4.9795182</v>
      </c>
      <c r="Z36"/>
      <c r="AB36" s="5">
        <f t="shared" si="10"/>
        <v>118.3444648</v>
      </c>
      <c r="AC36" s="5">
        <f t="shared" si="11"/>
        <v>118.3444648</v>
      </c>
      <c r="AD36" s="35">
        <f t="shared" si="12"/>
        <v>417.3398649</v>
      </c>
      <c r="AE36" s="35">
        <f t="shared" si="99"/>
        <v>222.9637698</v>
      </c>
      <c r="AF36"/>
      <c r="AH36" s="5">
        <f t="shared" si="13"/>
        <v>71.2662104</v>
      </c>
      <c r="AI36" s="5">
        <f t="shared" si="14"/>
        <v>71.2662104</v>
      </c>
      <c r="AJ36" s="35">
        <f t="shared" si="15"/>
        <v>251.3191527</v>
      </c>
      <c r="AK36" s="35">
        <f t="shared" si="100"/>
        <v>134.2672254</v>
      </c>
      <c r="AL36"/>
      <c r="AN36" s="5">
        <f t="shared" si="16"/>
        <v>529.654216</v>
      </c>
      <c r="AO36" s="5">
        <f t="shared" si="17"/>
        <v>529.654216</v>
      </c>
      <c r="AP36" s="35">
        <f t="shared" si="18"/>
        <v>1867.8171330000002</v>
      </c>
      <c r="AQ36" s="35">
        <f t="shared" si="101"/>
        <v>997.881066</v>
      </c>
      <c r="AR36"/>
      <c r="AT36" s="5">
        <f t="shared" si="19"/>
        <v>164.13460320000002</v>
      </c>
      <c r="AU36" s="5">
        <f t="shared" si="20"/>
        <v>164.13460320000002</v>
      </c>
      <c r="AV36" s="35">
        <f t="shared" si="21"/>
        <v>578.8180566</v>
      </c>
      <c r="AW36" s="35">
        <f t="shared" si="102"/>
        <v>309.2334732</v>
      </c>
      <c r="AX36"/>
      <c r="AZ36" s="5">
        <f t="shared" si="22"/>
        <v>309.0142576</v>
      </c>
      <c r="BA36" s="5">
        <f t="shared" si="23"/>
        <v>309.0142576</v>
      </c>
      <c r="BB36" s="35">
        <f t="shared" si="24"/>
        <v>1089.7338438</v>
      </c>
      <c r="BC36" s="35">
        <f t="shared" si="103"/>
        <v>582.1901676</v>
      </c>
      <c r="BD36"/>
      <c r="BF36" s="5">
        <f t="shared" si="25"/>
        <v>65.4362928</v>
      </c>
      <c r="BG36" s="5">
        <f t="shared" si="26"/>
        <v>65.4362928</v>
      </c>
      <c r="BH36" s="35">
        <f t="shared" si="27"/>
        <v>230.76004139999998</v>
      </c>
      <c r="BI36" s="35">
        <f t="shared" si="104"/>
        <v>123.2835228</v>
      </c>
      <c r="BJ36"/>
      <c r="BL36" s="5">
        <f t="shared" si="28"/>
        <v>1166.7754728</v>
      </c>
      <c r="BM36" s="5">
        <f t="shared" si="29"/>
        <v>1166.7754728</v>
      </c>
      <c r="BN36" s="35">
        <f t="shared" si="30"/>
        <v>4114.6150689</v>
      </c>
      <c r="BO36" s="35">
        <f t="shared" si="105"/>
        <v>2198.2325778</v>
      </c>
      <c r="BP36"/>
      <c r="BQ36" s="36"/>
      <c r="BR36" s="5">
        <f t="shared" si="31"/>
        <v>540.2263088</v>
      </c>
      <c r="BS36" s="36">
        <f t="shared" si="32"/>
        <v>540.2263088</v>
      </c>
      <c r="BT36" s="35">
        <f t="shared" si="33"/>
        <v>1905.0994494</v>
      </c>
      <c r="BU36" s="35">
        <f t="shared" si="106"/>
        <v>1017.7991387999999</v>
      </c>
      <c r="BV36"/>
      <c r="BX36" s="5">
        <f t="shared" si="34"/>
        <v>258.73002560000003</v>
      </c>
      <c r="BY36" s="5">
        <f t="shared" si="35"/>
        <v>258.73002560000003</v>
      </c>
      <c r="BZ36" s="35">
        <f t="shared" si="36"/>
        <v>912.4073028</v>
      </c>
      <c r="CA36" s="35">
        <f t="shared" si="107"/>
        <v>487.4534856</v>
      </c>
      <c r="CB36"/>
      <c r="CC36" s="5">
        <f t="shared" si="37"/>
        <v>0</v>
      </c>
      <c r="CD36" s="5">
        <f t="shared" si="38"/>
        <v>38.1759416</v>
      </c>
      <c r="CE36" s="5">
        <f t="shared" si="39"/>
        <v>38.1759416</v>
      </c>
      <c r="CF36" s="35">
        <f t="shared" si="40"/>
        <v>134.6268483</v>
      </c>
      <c r="CG36" s="35">
        <f t="shared" si="108"/>
        <v>71.9243766</v>
      </c>
      <c r="CH36"/>
      <c r="CJ36" s="5">
        <f t="shared" si="41"/>
        <v>169.25844239999998</v>
      </c>
      <c r="CK36" s="5">
        <f t="shared" si="42"/>
        <v>169.25844239999998</v>
      </c>
      <c r="CL36" s="35">
        <f t="shared" si="43"/>
        <v>596.8871937</v>
      </c>
      <c r="CM36" s="35">
        <f t="shared" si="109"/>
        <v>318.8869074</v>
      </c>
      <c r="CN36"/>
      <c r="CP36" s="5">
        <f t="shared" si="44"/>
        <v>23.310128799999998</v>
      </c>
      <c r="CQ36" s="5">
        <f t="shared" si="45"/>
        <v>23.310128799999998</v>
      </c>
      <c r="CR36" s="35">
        <f t="shared" si="46"/>
        <v>82.2027969</v>
      </c>
      <c r="CS36" s="35">
        <f t="shared" si="110"/>
        <v>43.91683379999999</v>
      </c>
      <c r="CT36"/>
      <c r="CV36" s="5">
        <f t="shared" si="47"/>
        <v>486.2781024</v>
      </c>
      <c r="CW36" s="5">
        <f t="shared" si="48"/>
        <v>486.2781024</v>
      </c>
      <c r="CX36" s="35">
        <f t="shared" si="49"/>
        <v>1714.8519612</v>
      </c>
      <c r="CY36" s="35">
        <f t="shared" si="111"/>
        <v>916.1594424</v>
      </c>
      <c r="CZ36"/>
      <c r="DB36" s="5">
        <f t="shared" si="50"/>
        <v>94.19467519999999</v>
      </c>
      <c r="DC36" s="5">
        <f t="shared" si="51"/>
        <v>94.19467519999999</v>
      </c>
      <c r="DD36" s="35">
        <f t="shared" si="52"/>
        <v>332.17601759999997</v>
      </c>
      <c r="DE36" s="35">
        <f t="shared" si="112"/>
        <v>177.46499519999998</v>
      </c>
      <c r="DF36"/>
      <c r="DH36" s="5">
        <f t="shared" si="53"/>
        <v>124.6228376</v>
      </c>
      <c r="DI36" s="36">
        <f t="shared" si="54"/>
        <v>124.6228376</v>
      </c>
      <c r="DJ36" s="35">
        <f t="shared" si="55"/>
        <v>439.4804463</v>
      </c>
      <c r="DK36" s="35">
        <f t="shared" si="113"/>
        <v>234.7923726</v>
      </c>
      <c r="DL36"/>
      <c r="DN36" s="5">
        <f t="shared" si="56"/>
        <v>405.1172528</v>
      </c>
      <c r="DO36" s="36">
        <f t="shared" si="57"/>
        <v>405.1172528</v>
      </c>
      <c r="DP36" s="35">
        <f t="shared" si="58"/>
        <v>1428.6395214</v>
      </c>
      <c r="DQ36" s="35">
        <f t="shared" si="114"/>
        <v>763.2504828</v>
      </c>
      <c r="DT36" s="5">
        <f t="shared" si="59"/>
        <v>238.16787759999997</v>
      </c>
      <c r="DU36" s="5">
        <f t="shared" si="60"/>
        <v>238.16787759999997</v>
      </c>
      <c r="DV36" s="35">
        <f t="shared" si="61"/>
        <v>839.8952162999999</v>
      </c>
      <c r="DW36" s="35">
        <f t="shared" si="115"/>
        <v>448.71391259999996</v>
      </c>
      <c r="DZ36" s="5">
        <f t="shared" si="62"/>
        <v>268.85366319999997</v>
      </c>
      <c r="EA36" s="5">
        <f t="shared" si="63"/>
        <v>268.85366319999997</v>
      </c>
      <c r="EB36" s="35">
        <f t="shared" si="64"/>
        <v>948.1081490999999</v>
      </c>
      <c r="EC36" s="35">
        <f t="shared" si="116"/>
        <v>506.5266582</v>
      </c>
      <c r="EF36" s="5">
        <f t="shared" si="65"/>
        <v>3112.7847928</v>
      </c>
      <c r="EG36" s="5">
        <f t="shared" si="66"/>
        <v>3112.7847928</v>
      </c>
      <c r="EH36" s="35">
        <f t="shared" si="67"/>
        <v>10977.1858539</v>
      </c>
      <c r="EI36" s="35">
        <f t="shared" si="117"/>
        <v>5864.5601478</v>
      </c>
      <c r="EL36" s="5">
        <f t="shared" si="68"/>
        <v>114.6136992</v>
      </c>
      <c r="EM36" s="36">
        <f t="shared" si="69"/>
        <v>114.6136992</v>
      </c>
      <c r="EN36" s="35">
        <f t="shared" si="70"/>
        <v>404.18337959999997</v>
      </c>
      <c r="EO36" s="35">
        <f t="shared" si="118"/>
        <v>215.9349192</v>
      </c>
      <c r="ER36" s="36">
        <f t="shared" si="71"/>
        <v>101.45583280000001</v>
      </c>
      <c r="ES36" s="36">
        <f t="shared" si="72"/>
        <v>101.45583280000001</v>
      </c>
      <c r="ET36" s="35">
        <f t="shared" si="73"/>
        <v>357.78237390000004</v>
      </c>
      <c r="EU36" s="35">
        <f t="shared" si="119"/>
        <v>191.14518780000003</v>
      </c>
      <c r="EV36"/>
    </row>
    <row r="37" spans="1:152" ht="12.75">
      <c r="A37" s="37">
        <v>11049</v>
      </c>
      <c r="C37" s="3">
        <v>8035000</v>
      </c>
      <c r="D37" s="3">
        <v>95416</v>
      </c>
      <c r="E37" s="35">
        <f t="shared" si="0"/>
        <v>8130416</v>
      </c>
      <c r="F37" s="35">
        <v>336483</v>
      </c>
      <c r="G37" s="35">
        <v>179766</v>
      </c>
      <c r="I37" s="47">
        <f t="shared" si="74"/>
        <v>1211051.27</v>
      </c>
      <c r="J37" s="36">
        <f t="shared" si="1"/>
        <v>14381.290351999998</v>
      </c>
      <c r="K37" s="36">
        <f t="shared" si="2"/>
        <v>1225432.560352</v>
      </c>
      <c r="L37" s="36">
        <f t="shared" si="3"/>
        <v>50715.390726000005</v>
      </c>
      <c r="M37" s="36">
        <f t="shared" si="3"/>
        <v>27094.691052000002</v>
      </c>
      <c r="N37"/>
      <c r="O37" s="5">
        <f t="shared" si="75"/>
        <v>503428.104</v>
      </c>
      <c r="P37" s="5">
        <f t="shared" si="4"/>
        <v>5978.2322304</v>
      </c>
      <c r="Q37" s="5">
        <f t="shared" si="5"/>
        <v>509406.3362304</v>
      </c>
      <c r="R37" s="35">
        <f t="shared" si="6"/>
        <v>21082.140475199998</v>
      </c>
      <c r="S37" s="35">
        <f t="shared" si="97"/>
        <v>11263.1308704</v>
      </c>
      <c r="T37"/>
      <c r="U37" s="5">
        <f t="shared" si="76"/>
        <v>222.5695</v>
      </c>
      <c r="V37" s="36">
        <f t="shared" si="7"/>
        <v>2.6430232</v>
      </c>
      <c r="W37" s="36">
        <f t="shared" si="8"/>
        <v>225.2125232</v>
      </c>
      <c r="X37" s="35">
        <f t="shared" si="9"/>
        <v>9.3205791</v>
      </c>
      <c r="Y37" s="35">
        <f t="shared" si="98"/>
        <v>4.9795182</v>
      </c>
      <c r="Z37"/>
      <c r="AA37" s="5">
        <f t="shared" si="77"/>
        <v>9965.8105</v>
      </c>
      <c r="AB37" s="5">
        <f t="shared" si="10"/>
        <v>118.3444648</v>
      </c>
      <c r="AC37" s="5">
        <f t="shared" si="11"/>
        <v>10084.1549648</v>
      </c>
      <c r="AD37" s="35">
        <f t="shared" si="12"/>
        <v>417.3398649</v>
      </c>
      <c r="AE37" s="35">
        <f t="shared" si="99"/>
        <v>222.9637698</v>
      </c>
      <c r="AF37"/>
      <c r="AG37" s="5">
        <f t="shared" si="78"/>
        <v>6001.3414999999995</v>
      </c>
      <c r="AH37" s="5">
        <f t="shared" si="13"/>
        <v>71.2662104</v>
      </c>
      <c r="AI37" s="5">
        <f t="shared" si="14"/>
        <v>6072.6077104</v>
      </c>
      <c r="AJ37" s="35">
        <f t="shared" si="15"/>
        <v>251.3191527</v>
      </c>
      <c r="AK37" s="35">
        <f t="shared" si="100"/>
        <v>134.2672254</v>
      </c>
      <c r="AL37"/>
      <c r="AM37" s="5">
        <f t="shared" si="79"/>
        <v>44602.285</v>
      </c>
      <c r="AN37" s="5">
        <f t="shared" si="16"/>
        <v>529.654216</v>
      </c>
      <c r="AO37" s="5">
        <f t="shared" si="17"/>
        <v>45131.939216000006</v>
      </c>
      <c r="AP37" s="35">
        <f t="shared" si="18"/>
        <v>1867.8171330000002</v>
      </c>
      <c r="AQ37" s="35">
        <f t="shared" si="101"/>
        <v>997.881066</v>
      </c>
      <c r="AR37"/>
      <c r="AS37" s="5">
        <f t="shared" si="80"/>
        <v>13821.807</v>
      </c>
      <c r="AT37" s="5">
        <f t="shared" si="19"/>
        <v>164.13460320000002</v>
      </c>
      <c r="AU37" s="5">
        <f t="shared" si="20"/>
        <v>13985.9416032</v>
      </c>
      <c r="AV37" s="35">
        <f t="shared" si="21"/>
        <v>578.8180566</v>
      </c>
      <c r="AW37" s="35">
        <f t="shared" si="102"/>
        <v>309.2334732</v>
      </c>
      <c r="AX37"/>
      <c r="AY37" s="5">
        <f t="shared" si="81"/>
        <v>26022.150999999998</v>
      </c>
      <c r="AZ37" s="5">
        <f t="shared" si="22"/>
        <v>309.0142576</v>
      </c>
      <c r="BA37" s="5">
        <f t="shared" si="23"/>
        <v>26331.165257599998</v>
      </c>
      <c r="BB37" s="35">
        <f t="shared" si="24"/>
        <v>1089.7338438</v>
      </c>
      <c r="BC37" s="35">
        <f t="shared" si="103"/>
        <v>582.1901676</v>
      </c>
      <c r="BD37"/>
      <c r="BE37" s="5">
        <f t="shared" si="82"/>
        <v>5510.402999999999</v>
      </c>
      <c r="BF37" s="5">
        <f t="shared" si="25"/>
        <v>65.4362928</v>
      </c>
      <c r="BG37" s="5">
        <f t="shared" si="26"/>
        <v>5575.839292799999</v>
      </c>
      <c r="BH37" s="35">
        <f t="shared" si="27"/>
        <v>230.76004139999998</v>
      </c>
      <c r="BI37" s="35">
        <f t="shared" si="104"/>
        <v>123.2835228</v>
      </c>
      <c r="BJ37"/>
      <c r="BK37" s="5">
        <f t="shared" si="83"/>
        <v>98254.3905</v>
      </c>
      <c r="BL37" s="5">
        <f t="shared" si="28"/>
        <v>1166.7754728</v>
      </c>
      <c r="BM37" s="5">
        <f t="shared" si="29"/>
        <v>99421.1659728</v>
      </c>
      <c r="BN37" s="35">
        <f t="shared" si="30"/>
        <v>4114.6150689</v>
      </c>
      <c r="BO37" s="35">
        <f t="shared" si="105"/>
        <v>2198.2325778</v>
      </c>
      <c r="BP37"/>
      <c r="BQ37" s="36">
        <f t="shared" si="84"/>
        <v>45492.563</v>
      </c>
      <c r="BR37" s="5">
        <f t="shared" si="31"/>
        <v>540.2263088</v>
      </c>
      <c r="BS37" s="36">
        <f t="shared" si="32"/>
        <v>46032.7893088</v>
      </c>
      <c r="BT37" s="35">
        <f t="shared" si="33"/>
        <v>1905.0994494</v>
      </c>
      <c r="BU37" s="35">
        <f t="shared" si="106"/>
        <v>1017.7991387999999</v>
      </c>
      <c r="BV37"/>
      <c r="BW37" s="5">
        <f t="shared" si="85"/>
        <v>21787.706000000002</v>
      </c>
      <c r="BX37" s="5">
        <f t="shared" si="34"/>
        <v>258.73002560000003</v>
      </c>
      <c r="BY37" s="5">
        <f t="shared" si="35"/>
        <v>22046.436025600004</v>
      </c>
      <c r="BZ37" s="35">
        <f t="shared" si="36"/>
        <v>912.4073028</v>
      </c>
      <c r="CA37" s="35">
        <f t="shared" si="107"/>
        <v>487.4534856</v>
      </c>
      <c r="CB37"/>
      <c r="CC37" s="5">
        <f t="shared" si="37"/>
        <v>3214.8035</v>
      </c>
      <c r="CD37" s="5">
        <f t="shared" si="38"/>
        <v>38.1759416</v>
      </c>
      <c r="CE37" s="5">
        <f t="shared" si="39"/>
        <v>3252.9794416</v>
      </c>
      <c r="CF37" s="35">
        <f t="shared" si="40"/>
        <v>134.6268483</v>
      </c>
      <c r="CG37" s="35">
        <f t="shared" si="108"/>
        <v>71.9243766</v>
      </c>
      <c r="CH37"/>
      <c r="CI37" s="5">
        <f t="shared" si="86"/>
        <v>14253.2865</v>
      </c>
      <c r="CJ37" s="5">
        <f t="shared" si="41"/>
        <v>169.25844239999998</v>
      </c>
      <c r="CK37" s="5">
        <f t="shared" si="42"/>
        <v>14422.5449424</v>
      </c>
      <c r="CL37" s="35">
        <f t="shared" si="43"/>
        <v>596.8871937</v>
      </c>
      <c r="CM37" s="35">
        <f t="shared" si="109"/>
        <v>318.8869074</v>
      </c>
      <c r="CN37"/>
      <c r="CO37" s="5">
        <f t="shared" si="87"/>
        <v>1962.9504999999997</v>
      </c>
      <c r="CP37" s="5">
        <f t="shared" si="44"/>
        <v>23.310128799999998</v>
      </c>
      <c r="CQ37" s="5">
        <f t="shared" si="45"/>
        <v>1986.2606287999997</v>
      </c>
      <c r="CR37" s="35">
        <f t="shared" si="46"/>
        <v>82.2027969</v>
      </c>
      <c r="CS37" s="35">
        <f t="shared" si="110"/>
        <v>43.91683379999999</v>
      </c>
      <c r="CT37"/>
      <c r="CU37" s="5">
        <f t="shared" si="88"/>
        <v>40949.574</v>
      </c>
      <c r="CV37" s="5">
        <f t="shared" si="47"/>
        <v>486.2781024</v>
      </c>
      <c r="CW37" s="5">
        <f t="shared" si="48"/>
        <v>41435.8521024</v>
      </c>
      <c r="CX37" s="35">
        <f t="shared" si="49"/>
        <v>1714.8519612</v>
      </c>
      <c r="CY37" s="35">
        <f t="shared" si="111"/>
        <v>916.1594424</v>
      </c>
      <c r="CZ37"/>
      <c r="DA37" s="5">
        <f t="shared" si="89"/>
        <v>7932.151999999999</v>
      </c>
      <c r="DB37" s="5">
        <f t="shared" si="50"/>
        <v>94.19467519999999</v>
      </c>
      <c r="DC37" s="5">
        <f t="shared" si="51"/>
        <v>8026.3466751999995</v>
      </c>
      <c r="DD37" s="35">
        <f t="shared" si="52"/>
        <v>332.17601759999997</v>
      </c>
      <c r="DE37" s="35">
        <f t="shared" si="112"/>
        <v>177.46499519999998</v>
      </c>
      <c r="DF37"/>
      <c r="DG37" s="5">
        <f t="shared" si="90"/>
        <v>10494.5135</v>
      </c>
      <c r="DH37" s="5">
        <f t="shared" si="53"/>
        <v>124.6228376</v>
      </c>
      <c r="DI37" s="36">
        <f t="shared" si="54"/>
        <v>10619.136337599999</v>
      </c>
      <c r="DJ37" s="35">
        <f t="shared" si="55"/>
        <v>439.4804463</v>
      </c>
      <c r="DK37" s="35">
        <f t="shared" si="113"/>
        <v>234.7923726</v>
      </c>
      <c r="DL37"/>
      <c r="DM37" s="5">
        <f t="shared" si="91"/>
        <v>34115.003000000004</v>
      </c>
      <c r="DN37" s="5">
        <f t="shared" si="56"/>
        <v>405.1172528</v>
      </c>
      <c r="DO37" s="36">
        <f t="shared" si="57"/>
        <v>34520.12025280001</v>
      </c>
      <c r="DP37" s="35">
        <f t="shared" si="58"/>
        <v>1428.6395214</v>
      </c>
      <c r="DQ37" s="35">
        <f t="shared" si="114"/>
        <v>763.2504828</v>
      </c>
      <c r="DS37" s="5">
        <f t="shared" si="92"/>
        <v>20056.1635</v>
      </c>
      <c r="DT37" s="5">
        <f t="shared" si="59"/>
        <v>238.16787759999997</v>
      </c>
      <c r="DU37" s="5">
        <f t="shared" si="60"/>
        <v>20294.3313776</v>
      </c>
      <c r="DV37" s="35">
        <f t="shared" si="61"/>
        <v>839.8952162999999</v>
      </c>
      <c r="DW37" s="35">
        <f t="shared" si="115"/>
        <v>448.71391259999996</v>
      </c>
      <c r="DY37" s="5">
        <f t="shared" si="93"/>
        <v>22640.2195</v>
      </c>
      <c r="DZ37" s="5">
        <f t="shared" si="62"/>
        <v>268.85366319999997</v>
      </c>
      <c r="EA37" s="5">
        <f t="shared" si="63"/>
        <v>22909.0731632</v>
      </c>
      <c r="EB37" s="35">
        <f t="shared" si="64"/>
        <v>948.1081490999999</v>
      </c>
      <c r="EC37" s="35">
        <f t="shared" si="116"/>
        <v>506.5266582</v>
      </c>
      <c r="EE37" s="5">
        <f t="shared" si="94"/>
        <v>262128.21550000002</v>
      </c>
      <c r="EF37" s="5">
        <f t="shared" si="65"/>
        <v>3112.7847928</v>
      </c>
      <c r="EG37" s="5">
        <f t="shared" si="66"/>
        <v>265241.0002928</v>
      </c>
      <c r="EH37" s="35">
        <f t="shared" si="67"/>
        <v>10977.1858539</v>
      </c>
      <c r="EI37" s="35">
        <f t="shared" si="117"/>
        <v>5864.5601478</v>
      </c>
      <c r="EK37" s="5">
        <f t="shared" si="95"/>
        <v>9651.642</v>
      </c>
      <c r="EL37" s="5">
        <f t="shared" si="68"/>
        <v>114.6136992</v>
      </c>
      <c r="EM37" s="36">
        <f t="shared" si="69"/>
        <v>9766.255699199999</v>
      </c>
      <c r="EN37" s="35">
        <f t="shared" si="70"/>
        <v>404.18337959999997</v>
      </c>
      <c r="EO37" s="35">
        <f t="shared" si="118"/>
        <v>215.9349192</v>
      </c>
      <c r="EQ37" s="5">
        <f t="shared" si="96"/>
        <v>8543.6155</v>
      </c>
      <c r="ER37" s="36">
        <f t="shared" si="71"/>
        <v>101.45583280000001</v>
      </c>
      <c r="ES37" s="36">
        <f t="shared" si="72"/>
        <v>8645.0713328</v>
      </c>
      <c r="ET37" s="35">
        <f t="shared" si="73"/>
        <v>357.78237390000004</v>
      </c>
      <c r="EU37" s="35">
        <f t="shared" si="119"/>
        <v>191.14518780000003</v>
      </c>
      <c r="EV37"/>
    </row>
    <row r="38" spans="1:152" ht="12.75">
      <c r="A38" s="37">
        <v>11232</v>
      </c>
      <c r="E38" s="35">
        <f t="shared" si="0"/>
        <v>0</v>
      </c>
      <c r="F38" s="35"/>
      <c r="G38" s="35"/>
      <c r="I38" s="47"/>
      <c r="J38" s="36">
        <f t="shared" si="1"/>
        <v>0</v>
      </c>
      <c r="K38" s="36">
        <f t="shared" si="2"/>
        <v>0</v>
      </c>
      <c r="L38" s="36">
        <f t="shared" si="3"/>
        <v>0</v>
      </c>
      <c r="M38" s="36">
        <f t="shared" si="3"/>
        <v>0</v>
      </c>
      <c r="N38"/>
      <c r="P38" s="5">
        <f t="shared" si="4"/>
        <v>0</v>
      </c>
      <c r="Q38" s="5">
        <f t="shared" si="5"/>
        <v>0</v>
      </c>
      <c r="R38" s="35">
        <f t="shared" si="6"/>
        <v>0</v>
      </c>
      <c r="S38" s="35"/>
      <c r="T38"/>
      <c r="V38" s="36">
        <f t="shared" si="7"/>
        <v>0</v>
      </c>
      <c r="W38" s="36">
        <f t="shared" si="8"/>
        <v>0</v>
      </c>
      <c r="X38" s="35">
        <f t="shared" si="9"/>
        <v>0</v>
      </c>
      <c r="Y38" s="35"/>
      <c r="Z38"/>
      <c r="AB38" s="5">
        <f t="shared" si="10"/>
        <v>0</v>
      </c>
      <c r="AC38" s="5">
        <f t="shared" si="11"/>
        <v>0</v>
      </c>
      <c r="AD38" s="35">
        <f t="shared" si="12"/>
        <v>0</v>
      </c>
      <c r="AE38" s="35"/>
      <c r="AF38"/>
      <c r="AH38" s="5">
        <f t="shared" si="13"/>
        <v>0</v>
      </c>
      <c r="AI38" s="5">
        <f t="shared" si="14"/>
        <v>0</v>
      </c>
      <c r="AJ38" s="35">
        <f t="shared" si="15"/>
        <v>0</v>
      </c>
      <c r="AK38" s="35"/>
      <c r="AL38"/>
      <c r="AN38" s="5">
        <f t="shared" si="16"/>
        <v>0</v>
      </c>
      <c r="AO38" s="5">
        <f t="shared" si="17"/>
        <v>0</v>
      </c>
      <c r="AP38" s="35">
        <f t="shared" si="18"/>
        <v>0</v>
      </c>
      <c r="AQ38" s="35"/>
      <c r="AR38"/>
      <c r="AT38" s="5">
        <f t="shared" si="19"/>
        <v>0</v>
      </c>
      <c r="AU38" s="5">
        <f t="shared" si="20"/>
        <v>0</v>
      </c>
      <c r="AV38" s="35">
        <f t="shared" si="21"/>
        <v>0</v>
      </c>
      <c r="AW38" s="35"/>
      <c r="AX38"/>
      <c r="AZ38" s="5">
        <f t="shared" si="22"/>
        <v>0</v>
      </c>
      <c r="BA38" s="5">
        <f t="shared" si="23"/>
        <v>0</v>
      </c>
      <c r="BB38" s="35">
        <f t="shared" si="24"/>
        <v>0</v>
      </c>
      <c r="BC38" s="35"/>
      <c r="BD38"/>
      <c r="BF38" s="5">
        <f t="shared" si="25"/>
        <v>0</v>
      </c>
      <c r="BG38" s="5">
        <f t="shared" si="26"/>
        <v>0</v>
      </c>
      <c r="BH38" s="35">
        <f t="shared" si="27"/>
        <v>0</v>
      </c>
      <c r="BI38" s="35"/>
      <c r="BJ38"/>
      <c r="BL38" s="5">
        <f t="shared" si="28"/>
        <v>0</v>
      </c>
      <c r="BM38" s="5">
        <f t="shared" si="29"/>
        <v>0</v>
      </c>
      <c r="BN38" s="35">
        <f t="shared" si="30"/>
        <v>0</v>
      </c>
      <c r="BO38" s="35"/>
      <c r="BP38"/>
      <c r="BQ38" s="36"/>
      <c r="BR38" s="5">
        <f t="shared" si="31"/>
        <v>0</v>
      </c>
      <c r="BS38" s="36">
        <f t="shared" si="32"/>
        <v>0</v>
      </c>
      <c r="BT38" s="35">
        <f t="shared" si="33"/>
        <v>0</v>
      </c>
      <c r="BU38" s="35"/>
      <c r="BV38"/>
      <c r="BX38" s="5">
        <f t="shared" si="34"/>
        <v>0</v>
      </c>
      <c r="BY38" s="5">
        <f t="shared" si="35"/>
        <v>0</v>
      </c>
      <c r="BZ38" s="35">
        <f t="shared" si="36"/>
        <v>0</v>
      </c>
      <c r="CA38" s="35"/>
      <c r="CB38"/>
      <c r="CC38" s="5">
        <f t="shared" si="37"/>
        <v>0</v>
      </c>
      <c r="CD38" s="5">
        <f t="shared" si="38"/>
        <v>0</v>
      </c>
      <c r="CE38" s="5">
        <f t="shared" si="39"/>
        <v>0</v>
      </c>
      <c r="CF38" s="35">
        <f t="shared" si="40"/>
        <v>0</v>
      </c>
      <c r="CG38" s="35"/>
      <c r="CH38"/>
      <c r="CJ38" s="5">
        <f t="shared" si="41"/>
        <v>0</v>
      </c>
      <c r="CK38" s="5">
        <f t="shared" si="42"/>
        <v>0</v>
      </c>
      <c r="CL38" s="35">
        <f t="shared" si="43"/>
        <v>0</v>
      </c>
      <c r="CM38" s="35"/>
      <c r="CN38"/>
      <c r="CP38" s="5">
        <f t="shared" si="44"/>
        <v>0</v>
      </c>
      <c r="CQ38" s="5">
        <f t="shared" si="45"/>
        <v>0</v>
      </c>
      <c r="CR38" s="35">
        <f t="shared" si="46"/>
        <v>0</v>
      </c>
      <c r="CS38" s="35"/>
      <c r="CT38"/>
      <c r="CV38" s="5">
        <f t="shared" si="47"/>
        <v>0</v>
      </c>
      <c r="CW38" s="5">
        <f t="shared" si="48"/>
        <v>0</v>
      </c>
      <c r="CX38" s="35">
        <f t="shared" si="49"/>
        <v>0</v>
      </c>
      <c r="CY38" s="35"/>
      <c r="CZ38"/>
      <c r="DB38" s="5">
        <f t="shared" si="50"/>
        <v>0</v>
      </c>
      <c r="DC38" s="5">
        <f t="shared" si="51"/>
        <v>0</v>
      </c>
      <c r="DD38" s="35">
        <f t="shared" si="52"/>
        <v>0</v>
      </c>
      <c r="DE38" s="35"/>
      <c r="DF38"/>
      <c r="DH38" s="5">
        <f t="shared" si="53"/>
        <v>0</v>
      </c>
      <c r="DI38" s="36">
        <f t="shared" si="54"/>
        <v>0</v>
      </c>
      <c r="DJ38" s="35">
        <f t="shared" si="55"/>
        <v>0</v>
      </c>
      <c r="DK38" s="35"/>
      <c r="DL38"/>
      <c r="DN38" s="5">
        <f t="shared" si="56"/>
        <v>0</v>
      </c>
      <c r="DO38" s="36">
        <f t="shared" si="57"/>
        <v>0</v>
      </c>
      <c r="DP38" s="35">
        <f t="shared" si="58"/>
        <v>0</v>
      </c>
      <c r="DQ38" s="35"/>
      <c r="DT38" s="5">
        <f t="shared" si="59"/>
        <v>0</v>
      </c>
      <c r="DU38" s="5">
        <f t="shared" si="60"/>
        <v>0</v>
      </c>
      <c r="DV38" s="35">
        <f t="shared" si="61"/>
        <v>0</v>
      </c>
      <c r="DW38" s="35"/>
      <c r="DZ38" s="5">
        <f t="shared" si="62"/>
        <v>0</v>
      </c>
      <c r="EA38" s="5">
        <f t="shared" si="63"/>
        <v>0</v>
      </c>
      <c r="EB38" s="35">
        <f t="shared" si="64"/>
        <v>0</v>
      </c>
      <c r="EC38" s="35"/>
      <c r="EF38" s="5">
        <f t="shared" si="65"/>
        <v>0</v>
      </c>
      <c r="EG38" s="5">
        <f t="shared" si="66"/>
        <v>0</v>
      </c>
      <c r="EH38" s="35">
        <f t="shared" si="67"/>
        <v>0</v>
      </c>
      <c r="EI38" s="35"/>
      <c r="EL38" s="5">
        <f t="shared" si="68"/>
        <v>0</v>
      </c>
      <c r="EM38" s="36">
        <f t="shared" si="69"/>
        <v>0</v>
      </c>
      <c r="EN38" s="35">
        <f t="shared" si="70"/>
        <v>0</v>
      </c>
      <c r="EO38" s="35"/>
      <c r="ER38" s="36">
        <f t="shared" si="71"/>
        <v>0</v>
      </c>
      <c r="ES38" s="36">
        <f t="shared" si="72"/>
        <v>0</v>
      </c>
      <c r="ET38" s="35">
        <f t="shared" si="73"/>
        <v>0</v>
      </c>
      <c r="EU38" s="35"/>
      <c r="EV38"/>
    </row>
    <row r="39" spans="1:152" ht="12.75">
      <c r="A39" s="37">
        <v>11414</v>
      </c>
      <c r="E39" s="35">
        <f t="shared" si="0"/>
        <v>0</v>
      </c>
      <c r="F39" s="35"/>
      <c r="G39" s="35"/>
      <c r="I39" s="47">
        <f t="shared" si="74"/>
        <v>0</v>
      </c>
      <c r="J39" s="36">
        <f t="shared" si="1"/>
        <v>0</v>
      </c>
      <c r="K39" s="36">
        <f t="shared" si="2"/>
        <v>0</v>
      </c>
      <c r="L39" s="36">
        <f t="shared" si="3"/>
        <v>0</v>
      </c>
      <c r="M39" s="36">
        <f t="shared" si="3"/>
        <v>0</v>
      </c>
      <c r="N39"/>
      <c r="O39" s="5">
        <f t="shared" si="75"/>
        <v>0</v>
      </c>
      <c r="P39" s="5">
        <f t="shared" si="4"/>
        <v>0</v>
      </c>
      <c r="Q39" s="5">
        <f t="shared" si="5"/>
        <v>0</v>
      </c>
      <c r="R39" s="35">
        <f t="shared" si="6"/>
        <v>0</v>
      </c>
      <c r="S39" s="35"/>
      <c r="T39"/>
      <c r="U39" s="5">
        <f t="shared" si="76"/>
        <v>0</v>
      </c>
      <c r="V39" s="36">
        <f t="shared" si="7"/>
        <v>0</v>
      </c>
      <c r="W39" s="36">
        <f t="shared" si="8"/>
        <v>0</v>
      </c>
      <c r="X39" s="35">
        <f t="shared" si="9"/>
        <v>0</v>
      </c>
      <c r="Y39" s="35"/>
      <c r="Z39"/>
      <c r="AA39" s="5">
        <f t="shared" si="77"/>
        <v>0</v>
      </c>
      <c r="AB39" s="5">
        <f t="shared" si="10"/>
        <v>0</v>
      </c>
      <c r="AC39" s="5">
        <f t="shared" si="11"/>
        <v>0</v>
      </c>
      <c r="AD39" s="35">
        <f t="shared" si="12"/>
        <v>0</v>
      </c>
      <c r="AE39" s="35"/>
      <c r="AF39"/>
      <c r="AG39" s="5">
        <f t="shared" si="78"/>
        <v>0</v>
      </c>
      <c r="AH39" s="5">
        <f t="shared" si="13"/>
        <v>0</v>
      </c>
      <c r="AI39" s="5">
        <f t="shared" si="14"/>
        <v>0</v>
      </c>
      <c r="AJ39" s="35">
        <f t="shared" si="15"/>
        <v>0</v>
      </c>
      <c r="AK39" s="35"/>
      <c r="AL39"/>
      <c r="AM39" s="5">
        <f t="shared" si="79"/>
        <v>0</v>
      </c>
      <c r="AN39" s="5">
        <f t="shared" si="16"/>
        <v>0</v>
      </c>
      <c r="AO39" s="5">
        <f t="shared" si="17"/>
        <v>0</v>
      </c>
      <c r="AP39" s="35">
        <f t="shared" si="18"/>
        <v>0</v>
      </c>
      <c r="AQ39" s="35"/>
      <c r="AR39"/>
      <c r="AS39" s="5">
        <f t="shared" si="80"/>
        <v>0</v>
      </c>
      <c r="AT39" s="5">
        <f t="shared" si="19"/>
        <v>0</v>
      </c>
      <c r="AU39" s="5">
        <f t="shared" si="20"/>
        <v>0</v>
      </c>
      <c r="AV39" s="35">
        <f t="shared" si="21"/>
        <v>0</v>
      </c>
      <c r="AW39" s="35"/>
      <c r="AX39"/>
      <c r="AY39" s="5">
        <f t="shared" si="81"/>
        <v>0</v>
      </c>
      <c r="AZ39" s="5">
        <f t="shared" si="22"/>
        <v>0</v>
      </c>
      <c r="BA39" s="5">
        <f t="shared" si="23"/>
        <v>0</v>
      </c>
      <c r="BB39" s="35">
        <f t="shared" si="24"/>
        <v>0</v>
      </c>
      <c r="BC39" s="35"/>
      <c r="BD39"/>
      <c r="BE39" s="5">
        <f t="shared" si="82"/>
        <v>0</v>
      </c>
      <c r="BF39" s="5">
        <f t="shared" si="25"/>
        <v>0</v>
      </c>
      <c r="BG39" s="5">
        <f t="shared" si="26"/>
        <v>0</v>
      </c>
      <c r="BH39" s="35">
        <f t="shared" si="27"/>
        <v>0</v>
      </c>
      <c r="BI39" s="35"/>
      <c r="BJ39"/>
      <c r="BK39" s="5">
        <f t="shared" si="83"/>
        <v>0</v>
      </c>
      <c r="BL39" s="5">
        <f t="shared" si="28"/>
        <v>0</v>
      </c>
      <c r="BM39" s="5">
        <f t="shared" si="29"/>
        <v>0</v>
      </c>
      <c r="BN39" s="35">
        <f t="shared" si="30"/>
        <v>0</v>
      </c>
      <c r="BO39" s="35"/>
      <c r="BP39"/>
      <c r="BQ39" s="36">
        <f t="shared" si="84"/>
        <v>0</v>
      </c>
      <c r="BR39" s="5">
        <f t="shared" si="31"/>
        <v>0</v>
      </c>
      <c r="BS39" s="36">
        <f t="shared" si="32"/>
        <v>0</v>
      </c>
      <c r="BT39" s="35">
        <f t="shared" si="33"/>
        <v>0</v>
      </c>
      <c r="BU39" s="35"/>
      <c r="BV39"/>
      <c r="BW39" s="5">
        <f t="shared" si="85"/>
        <v>0</v>
      </c>
      <c r="BX39" s="5">
        <f t="shared" si="34"/>
        <v>0</v>
      </c>
      <c r="BY39" s="5">
        <f t="shared" si="35"/>
        <v>0</v>
      </c>
      <c r="BZ39" s="35">
        <f t="shared" si="36"/>
        <v>0</v>
      </c>
      <c r="CA39" s="35"/>
      <c r="CB39"/>
      <c r="CC39" s="5">
        <f t="shared" si="37"/>
        <v>0</v>
      </c>
      <c r="CD39" s="5">
        <f t="shared" si="38"/>
        <v>0</v>
      </c>
      <c r="CE39" s="5">
        <f t="shared" si="39"/>
        <v>0</v>
      </c>
      <c r="CF39" s="35">
        <f t="shared" si="40"/>
        <v>0</v>
      </c>
      <c r="CG39" s="35"/>
      <c r="CH39"/>
      <c r="CI39" s="5">
        <f t="shared" si="86"/>
        <v>0</v>
      </c>
      <c r="CJ39" s="5">
        <f t="shared" si="41"/>
        <v>0</v>
      </c>
      <c r="CK39" s="5">
        <f t="shared" si="42"/>
        <v>0</v>
      </c>
      <c r="CL39" s="35">
        <f t="shared" si="43"/>
        <v>0</v>
      </c>
      <c r="CM39" s="35"/>
      <c r="CN39"/>
      <c r="CO39" s="5">
        <f t="shared" si="87"/>
        <v>0</v>
      </c>
      <c r="CP39" s="5">
        <f t="shared" si="44"/>
        <v>0</v>
      </c>
      <c r="CQ39" s="5">
        <f t="shared" si="45"/>
        <v>0</v>
      </c>
      <c r="CR39" s="35">
        <f t="shared" si="46"/>
        <v>0</v>
      </c>
      <c r="CS39" s="35"/>
      <c r="CT39"/>
      <c r="CU39" s="5">
        <f t="shared" si="88"/>
        <v>0</v>
      </c>
      <c r="CV39" s="5">
        <f t="shared" si="47"/>
        <v>0</v>
      </c>
      <c r="CW39" s="5">
        <f t="shared" si="48"/>
        <v>0</v>
      </c>
      <c r="CX39" s="35">
        <f t="shared" si="49"/>
        <v>0</v>
      </c>
      <c r="CY39" s="35"/>
      <c r="CZ39"/>
      <c r="DA39" s="5">
        <f t="shared" si="89"/>
        <v>0</v>
      </c>
      <c r="DB39" s="5">
        <f t="shared" si="50"/>
        <v>0</v>
      </c>
      <c r="DC39" s="5">
        <f t="shared" si="51"/>
        <v>0</v>
      </c>
      <c r="DD39" s="35">
        <f t="shared" si="52"/>
        <v>0</v>
      </c>
      <c r="DE39" s="35"/>
      <c r="DF39"/>
      <c r="DG39" s="5">
        <f t="shared" si="90"/>
        <v>0</v>
      </c>
      <c r="DH39" s="5">
        <f t="shared" si="53"/>
        <v>0</v>
      </c>
      <c r="DI39" s="36">
        <f t="shared" si="54"/>
        <v>0</v>
      </c>
      <c r="DJ39" s="35">
        <f t="shared" si="55"/>
        <v>0</v>
      </c>
      <c r="DK39" s="35"/>
      <c r="DL39"/>
      <c r="DM39" s="5">
        <f t="shared" si="91"/>
        <v>0</v>
      </c>
      <c r="DN39" s="5">
        <f t="shared" si="56"/>
        <v>0</v>
      </c>
      <c r="DO39" s="36">
        <f t="shared" si="57"/>
        <v>0</v>
      </c>
      <c r="DP39" s="35">
        <f t="shared" si="58"/>
        <v>0</v>
      </c>
      <c r="DQ39" s="35"/>
      <c r="DS39" s="5">
        <f t="shared" si="92"/>
        <v>0</v>
      </c>
      <c r="DT39" s="5">
        <f t="shared" si="59"/>
        <v>0</v>
      </c>
      <c r="DU39" s="5">
        <f t="shared" si="60"/>
        <v>0</v>
      </c>
      <c r="DV39" s="35">
        <f t="shared" si="61"/>
        <v>0</v>
      </c>
      <c r="DW39" s="35"/>
      <c r="DY39" s="5">
        <f t="shared" si="93"/>
        <v>0</v>
      </c>
      <c r="DZ39" s="5">
        <f t="shared" si="62"/>
        <v>0</v>
      </c>
      <c r="EA39" s="5">
        <f t="shared" si="63"/>
        <v>0</v>
      </c>
      <c r="EB39" s="35">
        <f t="shared" si="64"/>
        <v>0</v>
      </c>
      <c r="EC39" s="35"/>
      <c r="EE39" s="5">
        <f t="shared" si="94"/>
        <v>0</v>
      </c>
      <c r="EF39" s="5">
        <f t="shared" si="65"/>
        <v>0</v>
      </c>
      <c r="EG39" s="5">
        <f t="shared" si="66"/>
        <v>0</v>
      </c>
      <c r="EH39" s="35">
        <f t="shared" si="67"/>
        <v>0</v>
      </c>
      <c r="EI39" s="35"/>
      <c r="EK39" s="5">
        <f t="shared" si="95"/>
        <v>0</v>
      </c>
      <c r="EL39" s="5">
        <f t="shared" si="68"/>
        <v>0</v>
      </c>
      <c r="EM39" s="36">
        <f t="shared" si="69"/>
        <v>0</v>
      </c>
      <c r="EN39" s="35">
        <f t="shared" si="70"/>
        <v>0</v>
      </c>
      <c r="EO39" s="35"/>
      <c r="EQ39" s="5">
        <f t="shared" si="96"/>
        <v>0</v>
      </c>
      <c r="ER39" s="36">
        <f t="shared" si="71"/>
        <v>0</v>
      </c>
      <c r="ES39" s="36">
        <f t="shared" si="72"/>
        <v>0</v>
      </c>
      <c r="ET39" s="35">
        <f t="shared" si="73"/>
        <v>0</v>
      </c>
      <c r="EU39" s="35"/>
      <c r="EV39"/>
    </row>
    <row r="40" spans="2:152" ht="12.75">
      <c r="B40" s="34"/>
      <c r="C40" s="35"/>
      <c r="D40" s="35"/>
      <c r="E40" s="35"/>
      <c r="F40" s="35"/>
      <c r="G40" s="35"/>
      <c r="I40"/>
      <c r="J40"/>
      <c r="K40"/>
      <c r="L40" s="35"/>
      <c r="M40" s="35"/>
      <c r="N40"/>
      <c r="O40"/>
      <c r="P40"/>
      <c r="Q40"/>
      <c r="R40" s="35"/>
      <c r="S40" s="35"/>
      <c r="T40"/>
      <c r="U40"/>
      <c r="V40"/>
      <c r="W40"/>
      <c r="X40" s="35"/>
      <c r="Y40" s="35"/>
      <c r="Z40"/>
      <c r="AA40"/>
      <c r="AB40"/>
      <c r="AC40"/>
      <c r="AD40" s="35"/>
      <c r="AE40" s="35"/>
      <c r="AF40"/>
      <c r="AG40"/>
      <c r="AH40"/>
      <c r="AI40"/>
      <c r="AJ40" s="35"/>
      <c r="AK40" s="35"/>
      <c r="AL40"/>
      <c r="AM40"/>
      <c r="AN40"/>
      <c r="AO40"/>
      <c r="AP40" s="35"/>
      <c r="AQ40" s="35"/>
      <c r="AR40"/>
      <c r="AS40"/>
      <c r="AT40"/>
      <c r="AV40" s="35"/>
      <c r="AW40" s="35"/>
      <c r="AX40"/>
      <c r="AY40"/>
      <c r="AZ40"/>
      <c r="BA40"/>
      <c r="BB40" s="35"/>
      <c r="BC40" s="35"/>
      <c r="BD40"/>
      <c r="BE40"/>
      <c r="BF40"/>
      <c r="BG40"/>
      <c r="BH40" s="35"/>
      <c r="BI40" s="35"/>
      <c r="BJ40"/>
      <c r="BK40"/>
      <c r="BL40"/>
      <c r="BM40"/>
      <c r="BN40" s="35"/>
      <c r="BO40" s="35"/>
      <c r="BP40"/>
      <c r="BQ40"/>
      <c r="BR40"/>
      <c r="BS40"/>
      <c r="BT40" s="35"/>
      <c r="BU40" s="35"/>
      <c r="BV40"/>
      <c r="BW40"/>
      <c r="BX40"/>
      <c r="BY40"/>
      <c r="BZ40" s="35"/>
      <c r="CA40" s="35"/>
      <c r="CB40"/>
      <c r="CC40"/>
      <c r="CD40"/>
      <c r="CE40"/>
      <c r="CF40" s="35"/>
      <c r="CG40" s="35"/>
      <c r="CH40"/>
      <c r="CI40"/>
      <c r="CJ40"/>
      <c r="CK40"/>
      <c r="CL40" s="35"/>
      <c r="CM40" s="35"/>
      <c r="CN40"/>
      <c r="CO40"/>
      <c r="CP40"/>
      <c r="CQ40"/>
      <c r="CR40" s="35"/>
      <c r="CS40" s="35"/>
      <c r="CT40"/>
      <c r="CU40"/>
      <c r="CV40"/>
      <c r="CW40"/>
      <c r="CX40" s="35"/>
      <c r="CY40" s="35"/>
      <c r="CZ40"/>
      <c r="DA40"/>
      <c r="DB40"/>
      <c r="DC40"/>
      <c r="DD40" s="35"/>
      <c r="DE40" s="35"/>
      <c r="DF40"/>
      <c r="DG40"/>
      <c r="DH40"/>
      <c r="DJ40" s="35"/>
      <c r="DK40" s="35"/>
      <c r="DL40"/>
      <c r="DM40"/>
      <c r="DN40"/>
      <c r="DP40" s="35"/>
      <c r="DQ40" s="35"/>
      <c r="DV40" s="35"/>
      <c r="DW40" s="35"/>
      <c r="EB40" s="35"/>
      <c r="EC40" s="35"/>
      <c r="EH40" s="35"/>
      <c r="EI40" s="35"/>
      <c r="EN40" s="35"/>
      <c r="EO40" s="35"/>
      <c r="ET40" s="35"/>
      <c r="EU40" s="35"/>
      <c r="EV40"/>
    </row>
    <row r="41" spans="1:152" ht="13.5" thickBot="1">
      <c r="A41" s="39" t="s">
        <v>16</v>
      </c>
      <c r="C41" s="40">
        <f>SUM(C8:C40)</f>
        <v>47290000</v>
      </c>
      <c r="D41" s="40">
        <f>SUM(D8:D40)</f>
        <v>20398381</v>
      </c>
      <c r="E41" s="40">
        <f>SUM(E8:E40)</f>
        <v>67688381</v>
      </c>
      <c r="F41" s="40">
        <f>SUM(F8:F40)</f>
        <v>9421530</v>
      </c>
      <c r="G41" s="40">
        <f>SUM(G8:G40)</f>
        <v>5033456</v>
      </c>
      <c r="I41" s="40">
        <f>SUM(I8:I40)</f>
        <v>7127643.380000001</v>
      </c>
      <c r="J41" s="40">
        <f>SUM(J8:J40)</f>
        <v>3074484.781081999</v>
      </c>
      <c r="K41" s="40">
        <f>SUM(K8:K40)</f>
        <v>10202128.161082</v>
      </c>
      <c r="L41" s="40">
        <f>SUM(L8:L40)</f>
        <v>1420031.8446600002</v>
      </c>
      <c r="M41" s="40">
        <f>SUM(M8:M40)</f>
        <v>758652.5552320002</v>
      </c>
      <c r="O41" s="40">
        <f>SUM(O8:O40)</f>
        <v>2962926.576</v>
      </c>
      <c r="P41" s="40">
        <f>SUM(P8:P40)</f>
        <v>1278048.3225263997</v>
      </c>
      <c r="Q41" s="40">
        <f>SUM(Q8:Q40)</f>
        <v>4240974.8985264</v>
      </c>
      <c r="R41" s="40">
        <f>SUM(R8:R40)</f>
        <v>590300.3092320003</v>
      </c>
      <c r="S41" s="40">
        <f>SUM(S8:S40)</f>
        <v>315368.16560639994</v>
      </c>
      <c r="U41" s="40">
        <f>SUM(U8:U40)</f>
        <v>1309.933</v>
      </c>
      <c r="V41" s="40">
        <f>SUM(V8:V40)</f>
        <v>565.0351536999999</v>
      </c>
      <c r="W41" s="40">
        <f>SUM(W8:W40)</f>
        <v>1874.9681537000001</v>
      </c>
      <c r="X41" s="40">
        <f>SUM(X8:X40)</f>
        <v>260.97638100000006</v>
      </c>
      <c r="Y41" s="40">
        <f>SUM(Y8:Y40)</f>
        <v>139.4267312</v>
      </c>
      <c r="AA41" s="40">
        <f>SUM(AA8:AA40)</f>
        <v>58653.787</v>
      </c>
      <c r="AB41" s="40">
        <f>SUM(AB8:AB40)</f>
        <v>25300.1119543</v>
      </c>
      <c r="AC41" s="40">
        <f>SUM(AC8:AC40)</f>
        <v>83953.8989543</v>
      </c>
      <c r="AD41" s="40">
        <f>SUM(AD8:AD40)</f>
        <v>11685.523658999993</v>
      </c>
      <c r="AE41" s="40">
        <f>SUM(AE8:AE40)</f>
        <v>6242.995476799998</v>
      </c>
      <c r="AG41" s="40">
        <f>SUM(AG8:AG40)</f>
        <v>35320.901</v>
      </c>
      <c r="AH41" s="40">
        <f>SUM(AH8:AH40)</f>
        <v>15235.550768899997</v>
      </c>
      <c r="AI41" s="40">
        <f>SUM(AI8:AI40)</f>
        <v>50556.4517689</v>
      </c>
      <c r="AJ41" s="40">
        <f>SUM(AJ8:AJ40)</f>
        <v>7036.9407569999985</v>
      </c>
      <c r="AK41" s="40">
        <f>SUM(AK8:AK40)</f>
        <v>3759.4882863999987</v>
      </c>
      <c r="AM41" s="40">
        <f>SUM(AM8:AM40)</f>
        <v>262506.79000000004</v>
      </c>
      <c r="AN41" s="40">
        <f>SUM(AN8:AN40)</f>
        <v>113231.41293100003</v>
      </c>
      <c r="AO41" s="40">
        <f>SUM(AO8:AO40)</f>
        <v>375738.20293100004</v>
      </c>
      <c r="AP41" s="40">
        <f>SUM(AP8:AP40)</f>
        <v>52298.913029999974</v>
      </c>
      <c r="AQ41" s="40">
        <f>SUM(AQ8:AQ40)</f>
        <v>27940.71425600002</v>
      </c>
      <c r="AS41" s="40">
        <f>SUM(AS8:AS40)</f>
        <v>81348.258</v>
      </c>
      <c r="AT41" s="40">
        <f>SUM(AT8:AT40)</f>
        <v>35089.294996199984</v>
      </c>
      <c r="AU41" s="40">
        <f>SUM(AU8:AU40)</f>
        <v>116437.55299619999</v>
      </c>
      <c r="AV41" s="40">
        <f>SUM(AV8:AV40)</f>
        <v>16206.91590599999</v>
      </c>
      <c r="AW41" s="40">
        <f>SUM(AW8:AW40)</f>
        <v>8658.5510112</v>
      </c>
      <c r="AY41" s="40">
        <f>SUM(AY8:AY40)</f>
        <v>153153.394</v>
      </c>
      <c r="AZ41" s="40">
        <f>SUM(AZ8:AZ40)</f>
        <v>66062.19670660002</v>
      </c>
      <c r="BA41" s="40">
        <f>SUM(BA8:BA40)</f>
        <v>219215.5907066</v>
      </c>
      <c r="BB41" s="40">
        <f>SUM(BB8:BB40)</f>
        <v>30512.56705800001</v>
      </c>
      <c r="BC41" s="40">
        <f>SUM(BC8:BC40)</f>
        <v>16301.350601599996</v>
      </c>
      <c r="BE41" s="40">
        <f>SUM(BE8:BE40)</f>
        <v>32431.481999999996</v>
      </c>
      <c r="BF41" s="40">
        <f>SUM(BF8:BF40)</f>
        <v>13989.209689799998</v>
      </c>
      <c r="BG41" s="40">
        <f>SUM(BG8:BG40)</f>
        <v>46420.69168979999</v>
      </c>
      <c r="BH41" s="40">
        <f>SUM(BH8:BH40)</f>
        <v>6461.285273999997</v>
      </c>
      <c r="BI41" s="40">
        <f>SUM(BI8:BI40)</f>
        <v>3451.944124799998</v>
      </c>
      <c r="BK41" s="40">
        <f>SUM(BK8:BK40)</f>
        <v>578276.3069999999</v>
      </c>
      <c r="BL41" s="40">
        <f>SUM(BL8:BL40)</f>
        <v>249437.5223823</v>
      </c>
      <c r="BM41" s="40">
        <f>SUM(BM8:BM40)</f>
        <v>827713.8293822999</v>
      </c>
      <c r="BN41" s="40">
        <f>SUM(BN8:BN40)</f>
        <v>115209.29529900006</v>
      </c>
      <c r="BO41" s="40">
        <f>SUM(BO8:BO40)</f>
        <v>61550.61000480002</v>
      </c>
      <c r="BQ41" s="40">
        <f>SUM(BQ8:BQ40)</f>
        <v>267746.522</v>
      </c>
      <c r="BR41" s="40">
        <f>SUM(BR8:BR40)</f>
        <v>115491.5535458</v>
      </c>
      <c r="BS41" s="40">
        <f>SUM(BS8:BS40)</f>
        <v>383238.0755458</v>
      </c>
      <c r="BT41" s="40">
        <f>SUM(BT8:BT40)</f>
        <v>53342.818553999976</v>
      </c>
      <c r="BU41" s="40">
        <f>SUM(BU8:BU40)</f>
        <v>28498.421180800004</v>
      </c>
      <c r="BW41" s="40">
        <f>SUM(BW8:BW40)</f>
        <v>128231.56400000001</v>
      </c>
      <c r="BX41" s="40">
        <f>SUM(BX8:BX40)</f>
        <v>55312.24991960002</v>
      </c>
      <c r="BY41" s="40">
        <f>SUM(BY8:BY40)</f>
        <v>183543.8139196</v>
      </c>
      <c r="BZ41" s="40">
        <f>SUM(BZ8:BZ40)</f>
        <v>25547.420747999986</v>
      </c>
      <c r="CA41" s="40">
        <f>SUM(CA8:CA40)</f>
        <v>13648.71928959999</v>
      </c>
      <c r="CC41" s="40">
        <f>SUM(CC8:CC40)</f>
        <v>18920.729</v>
      </c>
      <c r="CD41" s="40">
        <f>SUM(CD8:CD40)</f>
        <v>8161.392238099999</v>
      </c>
      <c r="CE41" s="40">
        <f>SUM(CE8:CE40)</f>
        <v>27082.121238100008</v>
      </c>
      <c r="CF41" s="40">
        <f>SUM(CF8:CF40)</f>
        <v>3769.5541529999978</v>
      </c>
      <c r="CG41" s="40">
        <f>SUM(CG8:CG40)</f>
        <v>2013.8857455999994</v>
      </c>
      <c r="CI41" s="40">
        <f>SUM(CI8:CI40)</f>
        <v>83887.731</v>
      </c>
      <c r="CJ41" s="40">
        <f>SUM(CJ8:CJ40)</f>
        <v>36184.6880559</v>
      </c>
      <c r="CK41" s="40">
        <f>SUM(CK8:CK40)</f>
        <v>120072.4190559</v>
      </c>
      <c r="CL41" s="40">
        <f>SUM(CL8:CL40)</f>
        <v>16712.852067000007</v>
      </c>
      <c r="CM41" s="40">
        <f>SUM(CM8:CM40)</f>
        <v>8928.847598400003</v>
      </c>
      <c r="CO41" s="40">
        <f>SUM(CO8:CO40)</f>
        <v>11552.946999999998</v>
      </c>
      <c r="CP41" s="40">
        <f>SUM(CP8:CP40)</f>
        <v>4983.324478299999</v>
      </c>
      <c r="CQ41" s="40">
        <f>SUM(CQ8:CQ40)</f>
        <v>16536.271478299997</v>
      </c>
      <c r="CR41" s="40">
        <f>SUM(CR8:CR40)</f>
        <v>2301.6797790000005</v>
      </c>
      <c r="CS41" s="40">
        <f>SUM(CS8:CS40)</f>
        <v>1229.6733007999992</v>
      </c>
      <c r="CU41" s="40">
        <f>SUM(CU8:CU40)</f>
        <v>241008.756</v>
      </c>
      <c r="CV41" s="40">
        <f>SUM(CV8:CV40)</f>
        <v>103958.30892839996</v>
      </c>
      <c r="CW41" s="40">
        <f>SUM(CW8:CW40)</f>
        <v>344967.06492840004</v>
      </c>
      <c r="CX41" s="40">
        <f>SUM(CX8:CX40)</f>
        <v>48015.88549200003</v>
      </c>
      <c r="CY41" s="40">
        <f>SUM(CY8:CY40)</f>
        <v>25652.505158399992</v>
      </c>
      <c r="DA41" s="40">
        <f>SUM(DA8:DA40)</f>
        <v>46684.688</v>
      </c>
      <c r="DB41" s="40">
        <f>SUM(DB8:DB40)</f>
        <v>20137.2817232</v>
      </c>
      <c r="DC41" s="40">
        <f>SUM(DC8:DC40)</f>
        <v>66821.9697232</v>
      </c>
      <c r="DD41" s="40">
        <f>SUM(DD8:DD40)</f>
        <v>9300.934415999998</v>
      </c>
      <c r="DE41" s="40">
        <f>SUM(DE8:DE40)</f>
        <v>4969.0277632</v>
      </c>
      <c r="DG41" s="40">
        <f>SUM(DG8:DG40)</f>
        <v>61765.469</v>
      </c>
      <c r="DH41" s="40">
        <f>SUM(DH8:DH40)</f>
        <v>26642.325424099996</v>
      </c>
      <c r="DI41" s="40">
        <f>SUM(DI8:DI40)</f>
        <v>88407.79442410001</v>
      </c>
      <c r="DJ41" s="40">
        <f>SUM(DJ8:DJ40)</f>
        <v>12305.460333</v>
      </c>
      <c r="DK41" s="40">
        <f>SUM(DK8:DK40)</f>
        <v>6574.196881599998</v>
      </c>
      <c r="DM41" s="40">
        <f>SUM(DM8:DM40)</f>
        <v>200783.882</v>
      </c>
      <c r="DN41" s="40">
        <f>SUM(DN8:DN40)</f>
        <v>86607.44604980003</v>
      </c>
      <c r="DO41" s="40">
        <f>SUM(DO8:DO40)</f>
        <v>287391.32804979995</v>
      </c>
      <c r="DP41" s="40">
        <f>SUM(DP8:DP40)</f>
        <v>40001.932074000004</v>
      </c>
      <c r="DQ41" s="40">
        <f>SUM(DQ8:DQ40)</f>
        <v>21371.04748479999</v>
      </c>
      <c r="DS41" s="40">
        <f>SUM(DS8:DS40)</f>
        <v>118040.56899999997</v>
      </c>
      <c r="DT41" s="40">
        <f>SUM(DT8:DT40)</f>
        <v>50916.39881410001</v>
      </c>
      <c r="DU41" s="40">
        <f>SUM(DU8:DU40)</f>
        <v>168956.9678141</v>
      </c>
      <c r="DV41" s="40">
        <f>SUM(DV8:DV40)</f>
        <v>23517.081032999988</v>
      </c>
      <c r="DW41" s="40">
        <f>SUM(DW8:DW40)</f>
        <v>12564.009521600003</v>
      </c>
      <c r="DY41" s="40">
        <f>SUM(DY8:DY40)</f>
        <v>133249.033</v>
      </c>
      <c r="DZ41" s="40">
        <f>SUM(DZ8:DZ40)</f>
        <v>57476.5181437</v>
      </c>
      <c r="EA41" s="40">
        <f>SUM(EA8:EA40)</f>
        <v>190725.55114369994</v>
      </c>
      <c r="EB41" s="40">
        <f>SUM(EB8:EB40)</f>
        <v>26547.045081000007</v>
      </c>
      <c r="EC41" s="40">
        <f>SUM(EC8:EC40)</f>
        <v>14182.768971200006</v>
      </c>
      <c r="EE41" s="40">
        <f>SUM(EE8:EE40)</f>
        <v>1542755.857</v>
      </c>
      <c r="EF41" s="40">
        <f>SUM(EF8:EF40)</f>
        <v>665462.5028773</v>
      </c>
      <c r="EG41" s="40">
        <f>SUM(EG8:EG40)</f>
        <v>2208218.3598773</v>
      </c>
      <c r="EH41" s="40">
        <f>SUM(EH8:EH40)</f>
        <v>307361.399649</v>
      </c>
      <c r="EI41" s="40">
        <f>SUM(EI8:EI40)</f>
        <v>164207.94512479997</v>
      </c>
      <c r="EK41" s="40">
        <f>SUM(EK8:EK40)</f>
        <v>56804.748</v>
      </c>
      <c r="EL41" s="40">
        <f>SUM(EL8:EL40)</f>
        <v>24502.535257199994</v>
      </c>
      <c r="EM41" s="40">
        <f>SUM(EM8:EM40)</f>
        <v>81307.28325719999</v>
      </c>
      <c r="EN41" s="40">
        <f>SUM(EN8:EN40)</f>
        <v>11317.141835999995</v>
      </c>
      <c r="EO41" s="40">
        <f>SUM(EO8:EO40)</f>
        <v>6046.1873472</v>
      </c>
      <c r="EQ41" s="40">
        <f>SUM(EQ8:EQ40)</f>
        <v>50283.45700000001</v>
      </c>
      <c r="ER41" s="40">
        <f>SUM(ER8:ER40)</f>
        <v>21689.598517299994</v>
      </c>
      <c r="ES41" s="40">
        <f>SUM(ES8:ES40)</f>
        <v>71973.05551730002</v>
      </c>
      <c r="ET41" s="40">
        <f>SUM(ET8:ET40)</f>
        <v>10017.912848999995</v>
      </c>
      <c r="EU41" s="40">
        <f>SUM(EU8:EU40)</f>
        <v>5352.073764799997</v>
      </c>
      <c r="EV41"/>
    </row>
    <row r="42" spans="9:152" ht="13.5" thickTop="1">
      <c r="I42"/>
      <c r="J42"/>
      <c r="K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L42"/>
      <c r="DM42"/>
      <c r="DN42"/>
      <c r="EV42"/>
    </row>
    <row r="43" spans="9:152" ht="12.75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L43"/>
      <c r="DM43"/>
      <c r="DN43"/>
      <c r="EV43"/>
    </row>
    <row r="44" spans="9:152" ht="12.75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L44"/>
      <c r="DM44"/>
      <c r="DN44"/>
      <c r="EV44"/>
    </row>
    <row r="45" spans="9:152" ht="12.75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L45"/>
      <c r="DM45"/>
      <c r="DN45"/>
      <c r="EV45"/>
    </row>
    <row r="46" spans="9:152" ht="12.75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L46"/>
      <c r="DM46"/>
      <c r="DN46"/>
      <c r="EV46"/>
    </row>
    <row r="47" spans="9:152" ht="12.75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L47"/>
      <c r="DM47"/>
      <c r="DN47"/>
      <c r="EV47"/>
    </row>
    <row r="48" spans="9:152" ht="12.75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L48"/>
      <c r="DM48"/>
      <c r="DN48"/>
      <c r="EV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pans="1:152" ht="12.75">
      <c r="A65"/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2.75">
      <c r="A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2.75">
      <c r="A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ht="12.75">
      <c r="A70"/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ht="12.75">
      <c r="A71"/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1:152" ht="12.75">
      <c r="A72"/>
      <c r="C72"/>
      <c r="D72"/>
      <c r="E72"/>
      <c r="F72"/>
      <c r="G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spans="1:152" ht="12.75">
      <c r="A73"/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</row>
    <row r="74" spans="1:152" ht="12.75">
      <c r="A74"/>
      <c r="C74"/>
      <c r="D74"/>
      <c r="E74"/>
      <c r="F74"/>
      <c r="G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52" ht="12.75">
      <c r="A75"/>
      <c r="C75"/>
      <c r="D75"/>
      <c r="E75"/>
      <c r="F75"/>
      <c r="G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  <row r="76" spans="3:152" ht="12.75">
      <c r="C76"/>
      <c r="D76"/>
      <c r="E76"/>
      <c r="F76"/>
      <c r="G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</row>
    <row r="77" spans="3:152" ht="12.75">
      <c r="C77"/>
      <c r="D77"/>
      <c r="E77"/>
      <c r="F77"/>
      <c r="G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</row>
    <row r="78" spans="3:152" ht="12.75">
      <c r="C78"/>
      <c r="D78"/>
      <c r="E78"/>
      <c r="F78"/>
      <c r="G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</row>
    <row r="79" spans="3:152" ht="12.75">
      <c r="C79"/>
      <c r="D79"/>
      <c r="E79"/>
      <c r="F79"/>
      <c r="G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</row>
    <row r="80" spans="3:152" ht="12.75">
      <c r="C80"/>
      <c r="D80"/>
      <c r="E80"/>
      <c r="F80"/>
      <c r="G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</row>
    <row r="81" spans="1:152" ht="12.75">
      <c r="A81"/>
      <c r="C81"/>
      <c r="D81"/>
      <c r="E81"/>
      <c r="F81"/>
      <c r="G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</row>
  </sheetData>
  <sheetProtection/>
  <printOptions/>
  <pageMargins left="0.75" right="0.75" top="1" bottom="1" header="0.3" footer="0.3"/>
  <pageSetup orientation="landscape" scale="94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8" sqref="T28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10.7109375" style="49" customWidth="1"/>
    <col min="11" max="11" width="11.7109375" style="49" customWidth="1"/>
    <col min="12" max="14" width="12.7109375" style="49" customWidth="1"/>
    <col min="15" max="16" width="13.7109375" style="49" customWidth="1"/>
    <col min="17" max="17" width="10.7109375" style="49" customWidth="1"/>
    <col min="18" max="18" width="14.7109375" style="49" customWidth="1"/>
    <col min="19" max="19" width="12.7109375" style="8" customWidth="1"/>
    <col min="20" max="20" width="10.28125" style="0" bestFit="1" customWidth="1"/>
  </cols>
  <sheetData>
    <row r="1" ht="12.75">
      <c r="A1" s="48" t="s">
        <v>99</v>
      </c>
    </row>
    <row r="3" spans="1:19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124</v>
      </c>
      <c r="S3" s="52" t="s">
        <v>30</v>
      </c>
    </row>
    <row r="4" spans="1:19" ht="12.75">
      <c r="A4" s="53" t="s">
        <v>31</v>
      </c>
      <c r="B4" s="53" t="s">
        <v>32</v>
      </c>
      <c r="C4" s="53" t="s">
        <v>33</v>
      </c>
      <c r="D4" s="54" t="s">
        <v>16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4" t="s">
        <v>125</v>
      </c>
      <c r="S4" s="55" t="s">
        <v>47</v>
      </c>
    </row>
    <row r="5" spans="1:19" s="59" customFormat="1" ht="13.5" thickBot="1">
      <c r="A5" s="56"/>
      <c r="B5" s="56"/>
      <c r="C5" s="56" t="s">
        <v>48</v>
      </c>
      <c r="D5" s="57">
        <f>SUM(E5:R5)</f>
        <v>125406224.21</v>
      </c>
      <c r="E5" s="57">
        <f aca="true" t="shared" si="0" ref="E5:R5">SUM(E6:E49)</f>
        <v>29239976.089999996</v>
      </c>
      <c r="F5" s="57">
        <f t="shared" si="0"/>
        <v>1320521.33</v>
      </c>
      <c r="G5" s="57">
        <f t="shared" si="0"/>
        <v>146920.64</v>
      </c>
      <c r="H5" s="57">
        <f t="shared" si="0"/>
        <v>51769.26</v>
      </c>
      <c r="I5" s="57">
        <f t="shared" si="0"/>
        <v>6976822.91</v>
      </c>
      <c r="J5" s="57">
        <f t="shared" si="0"/>
        <v>174964.44</v>
      </c>
      <c r="K5" s="57">
        <f t="shared" si="0"/>
        <v>312.92</v>
      </c>
      <c r="L5" s="57">
        <f t="shared" si="0"/>
        <v>8211389.31</v>
      </c>
      <c r="M5" s="57">
        <f t="shared" si="0"/>
        <v>646359.1400000001</v>
      </c>
      <c r="N5" s="57">
        <f t="shared" si="0"/>
        <v>214932.91</v>
      </c>
      <c r="O5" s="57">
        <f t="shared" si="0"/>
        <v>3532451.82</v>
      </c>
      <c r="P5" s="57">
        <f t="shared" si="0"/>
        <v>42588843.9</v>
      </c>
      <c r="Q5" s="57">
        <f t="shared" si="0"/>
        <v>124944</v>
      </c>
      <c r="R5" s="57">
        <f t="shared" si="0"/>
        <v>32176015.540000007</v>
      </c>
      <c r="S5" s="58"/>
    </row>
    <row r="6" spans="1:18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.75">
      <c r="A7" s="61" t="s">
        <v>34</v>
      </c>
      <c r="B7" s="61" t="s">
        <v>102</v>
      </c>
      <c r="C7" s="61" t="s">
        <v>50</v>
      </c>
      <c r="D7" s="49">
        <f aca="true" t="shared" si="1" ref="D7:D47">SUM(E7:Q7)</f>
        <v>6559633.109999999</v>
      </c>
      <c r="E7" s="63">
        <f>4565988.59+1199698.72+793945.8</f>
        <v>6559633.109999999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47">D7/$D$5</f>
        <v>0.05230707766957016</v>
      </c>
    </row>
    <row r="8" spans="1:19" ht="12.75">
      <c r="A8" s="61" t="s">
        <v>34</v>
      </c>
      <c r="B8" s="61" t="s">
        <v>112</v>
      </c>
      <c r="C8" s="61" t="s">
        <v>53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2.657523596611282E-05</v>
      </c>
    </row>
    <row r="9" spans="1:19" ht="12.75">
      <c r="A9" s="61" t="s">
        <v>35</v>
      </c>
      <c r="B9" s="61" t="s">
        <v>140</v>
      </c>
      <c r="C9" s="61" t="s">
        <v>50</v>
      </c>
      <c r="D9" s="49">
        <f t="shared" si="1"/>
        <v>624661.5900000001</v>
      </c>
      <c r="E9" s="63"/>
      <c r="F9" s="63">
        <f>270598.94+1242.65+285000+67820</f>
        <v>624661.5900000001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0.004981105155944796</v>
      </c>
    </row>
    <row r="10" spans="1:19" ht="12.75">
      <c r="A10" s="61" t="s">
        <v>35</v>
      </c>
      <c r="B10" s="61" t="s">
        <v>51</v>
      </c>
      <c r="C10" s="61" t="s">
        <v>55</v>
      </c>
      <c r="D10" s="49">
        <f t="shared" si="1"/>
        <v>81490.91</v>
      </c>
      <c r="E10" s="63"/>
      <c r="F10" s="63">
        <f>72123.91+9367</f>
        <v>81490.91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0.0006498155136505725</v>
      </c>
    </row>
    <row r="11" spans="1:19" ht="12.75">
      <c r="A11" s="61" t="s">
        <v>35</v>
      </c>
      <c r="B11" s="61" t="s">
        <v>141</v>
      </c>
      <c r="C11" s="61" t="s">
        <v>53</v>
      </c>
      <c r="D11" s="49">
        <f t="shared" si="1"/>
        <v>368521.91000000003</v>
      </c>
      <c r="E11" s="63"/>
      <c r="F11" s="63">
        <f>241566.91+90000+36955</f>
        <v>368521.91000000003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0.0029386253538970183</v>
      </c>
    </row>
    <row r="12" spans="1:19" ht="12.75">
      <c r="A12" s="61" t="s">
        <v>35</v>
      </c>
      <c r="B12" s="61" t="s">
        <v>84</v>
      </c>
      <c r="C12" s="61" t="s">
        <v>85</v>
      </c>
      <c r="D12" s="49">
        <f t="shared" si="1"/>
        <v>0</v>
      </c>
      <c r="E12" s="63"/>
      <c r="F12" s="6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</v>
      </c>
    </row>
    <row r="13" spans="1:19" ht="12.75">
      <c r="A13" s="61" t="s">
        <v>36</v>
      </c>
      <c r="B13" s="61" t="s">
        <v>54</v>
      </c>
      <c r="C13" s="61" t="s">
        <v>50</v>
      </c>
      <c r="D13" s="49">
        <f t="shared" si="1"/>
        <v>146920.64</v>
      </c>
      <c r="E13" s="63"/>
      <c r="F13" s="63"/>
      <c r="G13" s="63">
        <f>78320.64+68600</f>
        <v>146920.64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0.0011715577988694794</v>
      </c>
    </row>
    <row r="14" spans="1:19" ht="12.75">
      <c r="A14" s="61" t="s">
        <v>37</v>
      </c>
      <c r="B14" s="61" t="s">
        <v>83</v>
      </c>
      <c r="C14" s="61" t="s">
        <v>50</v>
      </c>
      <c r="D14" s="49">
        <f t="shared" si="1"/>
        <v>51769.26</v>
      </c>
      <c r="E14" s="63"/>
      <c r="F14" s="63"/>
      <c r="G14" s="62"/>
      <c r="H14" s="63">
        <f>3812.47+22676.79+25280</f>
        <v>51769.26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0.00041281252446696246</v>
      </c>
    </row>
    <row r="15" spans="1:19" ht="12.75">
      <c r="A15" s="61" t="s">
        <v>38</v>
      </c>
      <c r="B15" s="61" t="s">
        <v>109</v>
      </c>
      <c r="C15" s="61" t="s">
        <v>50</v>
      </c>
      <c r="D15" s="49">
        <f t="shared" si="1"/>
        <v>972693.8500000001</v>
      </c>
      <c r="E15" s="63"/>
      <c r="F15" s="63"/>
      <c r="G15" s="62"/>
      <c r="H15" s="63"/>
      <c r="I15" s="63">
        <f>149657.79+405510.11+126348.17+185692.49+103399.29+2086</f>
        <v>972693.8500000001</v>
      </c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0.007756344281374486</v>
      </c>
    </row>
    <row r="16" spans="1:19" ht="12.75">
      <c r="A16" s="61" t="s">
        <v>38</v>
      </c>
      <c r="B16" s="61" t="s">
        <v>100</v>
      </c>
      <c r="C16" s="61" t="s">
        <v>101</v>
      </c>
      <c r="D16" s="49">
        <f t="shared" si="1"/>
        <v>682212</v>
      </c>
      <c r="E16" s="63"/>
      <c r="F16" s="63"/>
      <c r="G16" s="62"/>
      <c r="H16" s="63"/>
      <c r="I16" s="63">
        <f>682212</f>
        <v>682212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0.005440017066916842</v>
      </c>
    </row>
    <row r="17" spans="1:19" ht="12.75">
      <c r="A17" s="61" t="s">
        <v>39</v>
      </c>
      <c r="B17" s="61" t="s">
        <v>137</v>
      </c>
      <c r="C17" s="61" t="s">
        <v>50</v>
      </c>
      <c r="D17" s="49">
        <f t="shared" si="1"/>
        <v>174964.44</v>
      </c>
      <c r="E17" s="63"/>
      <c r="F17" s="63"/>
      <c r="G17" s="62"/>
      <c r="H17" s="63"/>
      <c r="I17" s="62"/>
      <c r="J17" s="63">
        <f>96131.62+21270.28+57562.54</f>
        <v>174964.44</v>
      </c>
      <c r="K17" s="63"/>
      <c r="L17" s="62"/>
      <c r="M17" s="62"/>
      <c r="N17" s="62"/>
      <c r="O17" s="62"/>
      <c r="P17" s="62"/>
      <c r="Q17" s="62"/>
      <c r="R17" s="62"/>
      <c r="S17" s="8">
        <f t="shared" si="2"/>
        <v>0.0013951814680825722</v>
      </c>
    </row>
    <row r="18" spans="1:19" ht="12.75">
      <c r="A18" s="61" t="s">
        <v>41</v>
      </c>
      <c r="B18" s="61" t="s">
        <v>106</v>
      </c>
      <c r="C18" s="61" t="s">
        <v>50</v>
      </c>
      <c r="D18" s="49">
        <f t="shared" si="1"/>
        <v>199971.84</v>
      </c>
      <c r="E18" s="63"/>
      <c r="F18" s="63"/>
      <c r="G18" s="62"/>
      <c r="H18" s="63"/>
      <c r="I18" s="62"/>
      <c r="J18" s="63"/>
      <c r="K18" s="63"/>
      <c r="L18" s="63">
        <f>195053.08+4918.76</f>
        <v>199971.84</v>
      </c>
      <c r="M18" s="62"/>
      <c r="N18" s="62"/>
      <c r="O18" s="62"/>
      <c r="P18" s="62"/>
      <c r="Q18" s="62"/>
      <c r="R18" s="62"/>
      <c r="S18" s="8">
        <f t="shared" si="2"/>
        <v>0.001594592622971692</v>
      </c>
    </row>
    <row r="19" spans="1:19" ht="12.75">
      <c r="A19" s="61" t="s">
        <v>41</v>
      </c>
      <c r="B19" s="61" t="s">
        <v>49</v>
      </c>
      <c r="C19" s="61" t="s">
        <v>58</v>
      </c>
      <c r="D19" s="49">
        <f t="shared" si="1"/>
        <v>10216.91</v>
      </c>
      <c r="E19" s="63"/>
      <c r="F19" s="62"/>
      <c r="G19" s="62"/>
      <c r="H19" s="62"/>
      <c r="I19" s="62"/>
      <c r="J19" s="62"/>
      <c r="K19" s="62"/>
      <c r="L19" s="63">
        <f>10216.91</f>
        <v>10216.91</v>
      </c>
      <c r="M19" s="62"/>
      <c r="N19" s="62"/>
      <c r="O19" s="62"/>
      <c r="P19" s="62"/>
      <c r="Q19" s="62"/>
      <c r="R19" s="62"/>
      <c r="S19" s="8">
        <f t="shared" si="2"/>
        <v>8.147051762671039E-05</v>
      </c>
    </row>
    <row r="20" spans="1:19" ht="12.75">
      <c r="A20" s="61" t="s">
        <v>42</v>
      </c>
      <c r="B20" s="61" t="s">
        <v>139</v>
      </c>
      <c r="C20" s="61" t="s">
        <v>50</v>
      </c>
      <c r="D20" s="49">
        <f t="shared" si="1"/>
        <v>462624.08</v>
      </c>
      <c r="E20" s="63"/>
      <c r="F20" s="62"/>
      <c r="G20" s="62"/>
      <c r="H20" s="62"/>
      <c r="I20" s="62"/>
      <c r="J20" s="62"/>
      <c r="K20" s="62"/>
      <c r="L20" s="63"/>
      <c r="M20" s="63">
        <f>187308+221454.79+53861.29</f>
        <v>462624.08</v>
      </c>
      <c r="N20" s="62"/>
      <c r="O20" s="62"/>
      <c r="P20" s="62"/>
      <c r="Q20" s="62"/>
      <c r="R20" s="62"/>
      <c r="S20" s="8">
        <f t="shared" si="2"/>
        <v>0.003689004137667913</v>
      </c>
    </row>
    <row r="21" spans="1:19" ht="12.75">
      <c r="A21" s="61" t="s">
        <v>42</v>
      </c>
      <c r="B21" s="61" t="s">
        <v>57</v>
      </c>
      <c r="C21" s="61" t="s">
        <v>59</v>
      </c>
      <c r="D21" s="49">
        <f t="shared" si="1"/>
        <v>84038.95</v>
      </c>
      <c r="E21" s="63"/>
      <c r="F21" s="62"/>
      <c r="G21" s="62"/>
      <c r="H21" s="62"/>
      <c r="I21" s="62"/>
      <c r="J21" s="62"/>
      <c r="K21" s="62"/>
      <c r="L21" s="63"/>
      <c r="M21" s="63">
        <f>84038.95</f>
        <v>84038.95</v>
      </c>
      <c r="N21" s="62"/>
      <c r="O21" s="62"/>
      <c r="P21" s="62"/>
      <c r="Q21" s="62"/>
      <c r="R21" s="62"/>
      <c r="S21" s="8">
        <f t="shared" si="2"/>
        <v>0.0006701338034009532</v>
      </c>
    </row>
    <row r="22" spans="1:19" ht="12.75">
      <c r="A22" s="61" t="s">
        <v>42</v>
      </c>
      <c r="B22" s="61" t="s">
        <v>60</v>
      </c>
      <c r="C22" s="61" t="s">
        <v>53</v>
      </c>
      <c r="D22" s="49">
        <f t="shared" si="1"/>
        <v>97827.81</v>
      </c>
      <c r="E22" s="63"/>
      <c r="F22" s="62"/>
      <c r="G22" s="62"/>
      <c r="H22" s="62"/>
      <c r="I22" s="62"/>
      <c r="J22" s="62"/>
      <c r="K22" s="62"/>
      <c r="L22" s="63"/>
      <c r="M22" s="63">
        <f>97827.81</f>
        <v>97827.81</v>
      </c>
      <c r="N22" s="62"/>
      <c r="O22" s="62"/>
      <c r="P22" s="62"/>
      <c r="Q22" s="62"/>
      <c r="R22" s="62"/>
      <c r="S22" s="8">
        <f t="shared" si="2"/>
        <v>0.0007800873570372525</v>
      </c>
    </row>
    <row r="23" spans="1:19" ht="12.75">
      <c r="A23" s="61" t="s">
        <v>43</v>
      </c>
      <c r="B23" s="61" t="s">
        <v>104</v>
      </c>
      <c r="C23" s="61" t="s">
        <v>50</v>
      </c>
      <c r="D23" s="49">
        <f t="shared" si="1"/>
        <v>214932.91</v>
      </c>
      <c r="E23" s="63"/>
      <c r="F23" s="62"/>
      <c r="G23" s="62"/>
      <c r="H23" s="62"/>
      <c r="I23" s="62"/>
      <c r="J23" s="62"/>
      <c r="K23" s="62"/>
      <c r="L23" s="63"/>
      <c r="M23" s="63"/>
      <c r="N23" s="63">
        <f>214932.91</f>
        <v>214932.91</v>
      </c>
      <c r="O23" s="62"/>
      <c r="P23" s="62"/>
      <c r="Q23" s="62"/>
      <c r="R23" s="62"/>
      <c r="S23" s="8">
        <f t="shared" si="2"/>
        <v>0.001713893479801149</v>
      </c>
    </row>
    <row r="24" spans="1:19" ht="12.75">
      <c r="A24" s="61" t="s">
        <v>44</v>
      </c>
      <c r="B24" s="61" t="s">
        <v>105</v>
      </c>
      <c r="C24" s="61" t="s">
        <v>50</v>
      </c>
      <c r="D24" s="49">
        <f t="shared" si="1"/>
        <v>199881.25</v>
      </c>
      <c r="E24" s="63"/>
      <c r="F24" s="62"/>
      <c r="G24" s="62"/>
      <c r="H24" s="62"/>
      <c r="I24" s="62"/>
      <c r="J24" s="62"/>
      <c r="K24" s="62"/>
      <c r="L24" s="63"/>
      <c r="M24" s="63"/>
      <c r="N24" s="63"/>
      <c r="O24" s="63">
        <f>196180.58+3700.67</f>
        <v>199881.25</v>
      </c>
      <c r="P24" s="62"/>
      <c r="Q24" s="62"/>
      <c r="R24" s="62"/>
      <c r="S24" s="8">
        <f t="shared" si="2"/>
        <v>0.0015938702505330776</v>
      </c>
    </row>
    <row r="25" spans="1:19" ht="12.75">
      <c r="A25" s="61" t="s">
        <v>45</v>
      </c>
      <c r="B25" s="61" t="s">
        <v>138</v>
      </c>
      <c r="C25" s="61" t="s">
        <v>50</v>
      </c>
      <c r="D25" s="49">
        <f t="shared" si="1"/>
        <v>241331.1</v>
      </c>
      <c r="E25" s="63"/>
      <c r="F25" s="62"/>
      <c r="G25" s="62"/>
      <c r="H25" s="62"/>
      <c r="I25" s="62"/>
      <c r="J25" s="62"/>
      <c r="K25" s="62"/>
      <c r="L25" s="63"/>
      <c r="M25" s="63"/>
      <c r="N25" s="63"/>
      <c r="O25" s="62"/>
      <c r="P25" s="63">
        <f>11101.4+227321.1+2483.6+425</f>
        <v>241331.1</v>
      </c>
      <c r="Q25" s="62"/>
      <c r="R25" s="62"/>
      <c r="S25" s="8">
        <f t="shared" si="2"/>
        <v>0.0019243949135720495</v>
      </c>
    </row>
    <row r="26" spans="1:19" ht="12.75">
      <c r="A26" s="61" t="s">
        <v>45</v>
      </c>
      <c r="B26" s="61" t="s">
        <v>104</v>
      </c>
      <c r="C26" s="61" t="s">
        <v>82</v>
      </c>
      <c r="D26" s="49">
        <f t="shared" si="1"/>
        <v>3401727.55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2"/>
      <c r="P26" s="63">
        <f>685640.92+936498+1779588.63</f>
        <v>3401727.55</v>
      </c>
      <c r="Q26" s="62"/>
      <c r="R26" s="62"/>
      <c r="S26" s="8">
        <f t="shared" si="2"/>
        <v>0.02712566757694267</v>
      </c>
    </row>
    <row r="27" spans="1:19" ht="12.75">
      <c r="A27" s="61" t="s">
        <v>45</v>
      </c>
      <c r="B27" s="61" t="s">
        <v>51</v>
      </c>
      <c r="C27" s="61" t="s">
        <v>110</v>
      </c>
      <c r="D27" s="49">
        <f t="shared" si="1"/>
        <v>144740.3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144740.3</f>
        <v>144740.3</v>
      </c>
      <c r="Q27" s="62"/>
      <c r="R27" s="62"/>
      <c r="S27" s="8">
        <f t="shared" si="2"/>
        <v>0.0011541715804920811</v>
      </c>
    </row>
    <row r="28" spans="1:20" ht="12.75">
      <c r="A28" s="61" t="s">
        <v>46</v>
      </c>
      <c r="B28" s="61" t="s">
        <v>86</v>
      </c>
      <c r="C28" s="61" t="s">
        <v>50</v>
      </c>
      <c r="D28" s="49">
        <f t="shared" si="1"/>
        <v>124944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/>
      <c r="Q28" s="63">
        <f>124944</f>
        <v>124944</v>
      </c>
      <c r="R28" s="63"/>
      <c r="S28" s="8">
        <f t="shared" si="2"/>
        <v>0.0009963141844600474</v>
      </c>
      <c r="T28" s="8"/>
    </row>
    <row r="29" spans="1:20" ht="12.75">
      <c r="A29" s="61" t="s">
        <v>34</v>
      </c>
      <c r="B29" s="61" t="s">
        <v>113</v>
      </c>
      <c r="C29" s="61" t="s">
        <v>114</v>
      </c>
      <c r="D29" s="49">
        <f t="shared" si="1"/>
        <v>2826210.31</v>
      </c>
      <c r="E29" s="63">
        <f>2826210.31</f>
        <v>2826210.31</v>
      </c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/>
      <c r="Q29" s="63"/>
      <c r="R29" s="63"/>
      <c r="S29" s="8">
        <f t="shared" si="2"/>
        <v>0.02253644368773393</v>
      </c>
      <c r="T29" s="8"/>
    </row>
    <row r="30" spans="1:19" ht="12.75">
      <c r="A30" s="2" t="s">
        <v>34</v>
      </c>
      <c r="B30" s="2" t="s">
        <v>91</v>
      </c>
      <c r="C30" t="s">
        <v>61</v>
      </c>
      <c r="D30" s="49">
        <f t="shared" si="1"/>
        <v>8020095.99</v>
      </c>
      <c r="E30" s="49">
        <f>8018595.99+1500</f>
        <v>8020095.99</v>
      </c>
      <c r="S30" s="8">
        <f t="shared" si="2"/>
        <v>0.06395293407901258</v>
      </c>
    </row>
    <row r="31" spans="1:19" ht="12.75">
      <c r="A31" s="2" t="s">
        <v>34</v>
      </c>
      <c r="B31" s="2" t="s">
        <v>88</v>
      </c>
      <c r="C31" s="64" t="s">
        <v>63</v>
      </c>
      <c r="D31" s="49">
        <f t="shared" si="1"/>
        <v>6743452.4</v>
      </c>
      <c r="E31" s="49">
        <f>6743452.4</f>
        <v>6743452.4</v>
      </c>
      <c r="S31" s="8">
        <f t="shared" si="2"/>
        <v>0.0537728684718846</v>
      </c>
    </row>
    <row r="32" spans="1:19" ht="12.75">
      <c r="A32" s="2" t="s">
        <v>34</v>
      </c>
      <c r="B32" s="2" t="s">
        <v>113</v>
      </c>
      <c r="C32" s="64" t="s">
        <v>63</v>
      </c>
      <c r="D32" s="49">
        <f t="shared" si="1"/>
        <v>5087251.58</v>
      </c>
      <c r="E32" s="49">
        <f>5087251.58</f>
        <v>5087251.58</v>
      </c>
      <c r="S32" s="8">
        <f t="shared" si="2"/>
        <v>0.04056618092161919</v>
      </c>
    </row>
    <row r="33" spans="1:19" ht="12.75">
      <c r="A33" s="2" t="s">
        <v>35</v>
      </c>
      <c r="B33" s="2" t="s">
        <v>113</v>
      </c>
      <c r="C33" s="64" t="s">
        <v>142</v>
      </c>
      <c r="D33" s="49">
        <f t="shared" si="1"/>
        <v>204417.40999999997</v>
      </c>
      <c r="F33" s="49">
        <f>99615.15+104802.26</f>
        <v>204417.40999999997</v>
      </c>
      <c r="S33" s="8">
        <f t="shared" si="2"/>
        <v>0.0016300419798756652</v>
      </c>
    </row>
    <row r="34" spans="1:19" ht="12.75">
      <c r="A34" s="2" t="s">
        <v>35</v>
      </c>
      <c r="B34" s="2" t="s">
        <v>145</v>
      </c>
      <c r="C34" s="64" t="s">
        <v>144</v>
      </c>
      <c r="D34" s="49">
        <f t="shared" si="1"/>
        <v>41429.51</v>
      </c>
      <c r="F34" s="49">
        <f>17564.06+23865.45</f>
        <v>41429.51</v>
      </c>
      <c r="S34" s="8">
        <f t="shared" si="2"/>
        <v>0.0003303624701324544</v>
      </c>
    </row>
    <row r="35" spans="1:19" ht="12.75">
      <c r="A35" s="2" t="s">
        <v>38</v>
      </c>
      <c r="B35" s="2" t="s">
        <v>115</v>
      </c>
      <c r="C35" t="s">
        <v>66</v>
      </c>
      <c r="D35" s="49">
        <f t="shared" si="1"/>
        <v>5321917.06</v>
      </c>
      <c r="I35" s="49">
        <f>4557718.02+764199.04</f>
        <v>5321917.06</v>
      </c>
      <c r="S35" s="8">
        <f t="shared" si="2"/>
        <v>0.04243742360896012</v>
      </c>
    </row>
    <row r="36" spans="1:19" ht="12.75">
      <c r="A36" s="2" t="s">
        <v>40</v>
      </c>
      <c r="B36" s="2" t="s">
        <v>62</v>
      </c>
      <c r="C36" t="s">
        <v>68</v>
      </c>
      <c r="D36" s="49">
        <f t="shared" si="1"/>
        <v>312.92</v>
      </c>
      <c r="K36" s="49">
        <f>312.92</f>
        <v>312.92</v>
      </c>
      <c r="S36" s="8">
        <f t="shared" si="2"/>
        <v>2.4952509492351617E-06</v>
      </c>
    </row>
    <row r="37" spans="1:19" ht="12.75">
      <c r="A37" s="2" t="s">
        <v>41</v>
      </c>
      <c r="B37" s="2" t="s">
        <v>116</v>
      </c>
      <c r="C37" t="s">
        <v>70</v>
      </c>
      <c r="D37" s="49">
        <f t="shared" si="1"/>
        <v>8001200.56</v>
      </c>
      <c r="L37" s="49">
        <f>8001200.56</f>
        <v>8001200.56</v>
      </c>
      <c r="S37" s="8">
        <f t="shared" si="2"/>
        <v>0.06380226029771477</v>
      </c>
    </row>
    <row r="38" spans="1:19" ht="12.75">
      <c r="A38" s="2" t="s">
        <v>42</v>
      </c>
      <c r="B38" s="2" t="s">
        <v>64</v>
      </c>
      <c r="C38" t="s">
        <v>71</v>
      </c>
      <c r="D38" s="49">
        <f t="shared" si="1"/>
        <v>1868.3</v>
      </c>
      <c r="M38" s="49">
        <f>1868.3</f>
        <v>1868.3</v>
      </c>
      <c r="S38" s="8">
        <f t="shared" si="2"/>
        <v>1.489798462372508E-05</v>
      </c>
    </row>
    <row r="39" spans="1:19" ht="12.75">
      <c r="A39" s="2" t="s">
        <v>44</v>
      </c>
      <c r="B39" s="2" t="s">
        <v>117</v>
      </c>
      <c r="C39" t="s">
        <v>72</v>
      </c>
      <c r="D39" s="49">
        <f t="shared" si="1"/>
        <v>2685498.1599999997</v>
      </c>
      <c r="O39" s="49">
        <f>1152817.79+1197738.4+301603.92+33338.05</f>
        <v>2685498.1599999997</v>
      </c>
      <c r="S39" s="8">
        <f t="shared" si="2"/>
        <v>0.02141439292122357</v>
      </c>
    </row>
    <row r="40" spans="1:19" ht="12.75">
      <c r="A40" s="2" t="s">
        <v>44</v>
      </c>
      <c r="B40" s="2" t="s">
        <v>62</v>
      </c>
      <c r="C40" t="s">
        <v>73</v>
      </c>
      <c r="D40" s="49">
        <f t="shared" si="1"/>
        <v>23833.49</v>
      </c>
      <c r="O40" s="49">
        <f>23833.49</f>
        <v>23833.49</v>
      </c>
      <c r="S40" s="8">
        <f t="shared" si="2"/>
        <v>0.0001900502957499896</v>
      </c>
    </row>
    <row r="41" spans="1:19" ht="12.75">
      <c r="A41" s="2" t="s">
        <v>44</v>
      </c>
      <c r="B41" s="2" t="s">
        <v>74</v>
      </c>
      <c r="C41" t="s">
        <v>75</v>
      </c>
      <c r="D41" s="49">
        <f t="shared" si="1"/>
        <v>623238.92</v>
      </c>
      <c r="O41" s="49">
        <f>623238.92</f>
        <v>623238.92</v>
      </c>
      <c r="S41" s="8">
        <f t="shared" si="2"/>
        <v>0.0049697606632056026</v>
      </c>
    </row>
    <row r="42" spans="1:19" ht="12.75">
      <c r="A42" s="2" t="s">
        <v>45</v>
      </c>
      <c r="B42" s="2" t="s">
        <v>88</v>
      </c>
      <c r="C42" t="s">
        <v>118</v>
      </c>
      <c r="D42" s="49">
        <f t="shared" si="1"/>
        <v>309587.12</v>
      </c>
      <c r="P42" s="49">
        <f>309587.12</f>
        <v>309587.12</v>
      </c>
      <c r="S42" s="8">
        <f t="shared" si="2"/>
        <v>0.002468674277933593</v>
      </c>
    </row>
    <row r="43" spans="1:19" ht="12.75">
      <c r="A43" s="2" t="s">
        <v>45</v>
      </c>
      <c r="B43" s="2" t="s">
        <v>76</v>
      </c>
      <c r="C43" t="s">
        <v>77</v>
      </c>
      <c r="D43" s="49">
        <f t="shared" si="1"/>
        <v>1596427.84</v>
      </c>
      <c r="P43" s="49">
        <f>1596427.84</f>
        <v>1596427.84</v>
      </c>
      <c r="S43" s="8">
        <f t="shared" si="2"/>
        <v>0.012730052675269842</v>
      </c>
    </row>
    <row r="44" spans="1:19" ht="12.75">
      <c r="A44" s="2" t="s">
        <v>45</v>
      </c>
      <c r="B44" s="2" t="s">
        <v>143</v>
      </c>
      <c r="C44" t="s">
        <v>66</v>
      </c>
      <c r="D44" s="49">
        <f t="shared" si="1"/>
        <v>11859331.13</v>
      </c>
      <c r="P44" s="49">
        <f>144225.14+3400000+8216433.24+98672.75</f>
        <v>11859331.13</v>
      </c>
      <c r="S44" s="8">
        <f t="shared" si="2"/>
        <v>0.09456732474570691</v>
      </c>
    </row>
    <row r="45" spans="1:19" ht="12.75">
      <c r="A45" s="2" t="s">
        <v>45</v>
      </c>
      <c r="B45" s="2" t="s">
        <v>120</v>
      </c>
      <c r="C45" t="s">
        <v>78</v>
      </c>
      <c r="D45" s="49">
        <f t="shared" si="1"/>
        <v>22308780.25</v>
      </c>
      <c r="P45" s="49">
        <f>15474632.18+6834148.07</f>
        <v>22308780.25</v>
      </c>
      <c r="S45" s="8">
        <f t="shared" si="2"/>
        <v>0.1778921292825359</v>
      </c>
    </row>
    <row r="46" spans="1:19" ht="12.75">
      <c r="A46" s="2" t="s">
        <v>45</v>
      </c>
      <c r="B46" s="2" t="s">
        <v>93</v>
      </c>
      <c r="C46" t="s">
        <v>79</v>
      </c>
      <c r="D46" s="49">
        <f t="shared" si="1"/>
        <v>1289481.39</v>
      </c>
      <c r="P46" s="49">
        <f>1284131.39+5350</f>
        <v>1289481.39</v>
      </c>
      <c r="S46" s="8">
        <f t="shared" si="2"/>
        <v>0.01028243532666041</v>
      </c>
    </row>
    <row r="47" spans="1:20" ht="12.75">
      <c r="A47" s="2" t="s">
        <v>45</v>
      </c>
      <c r="B47" s="2" t="s">
        <v>69</v>
      </c>
      <c r="C47" t="s">
        <v>80</v>
      </c>
      <c r="D47" s="49">
        <f t="shared" si="1"/>
        <v>1437437.22</v>
      </c>
      <c r="P47" s="49">
        <f>1437437.22</f>
        <v>1437437.22</v>
      </c>
      <c r="S47" s="8">
        <f t="shared" si="2"/>
        <v>0.011462247819477668</v>
      </c>
      <c r="T47" s="8"/>
    </row>
    <row r="48" spans="1:20" ht="12.75">
      <c r="A48" s="2"/>
      <c r="B48" s="2"/>
      <c r="C48" t="s">
        <v>123</v>
      </c>
      <c r="D48" s="49">
        <f>SUM(E48:R48)</f>
        <v>32176015.540000007</v>
      </c>
      <c r="R48" s="49">
        <f>125774432.62-93598417.08</f>
        <v>32176015.540000007</v>
      </c>
      <c r="S48" s="8">
        <f>R48/$D$5</f>
        <v>0.2565743107464858</v>
      </c>
      <c r="T48" s="8"/>
    </row>
    <row r="49" spans="5:19" ht="12.75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/>
    </row>
    <row r="50" spans="2:19" s="8" customFormat="1" ht="13.5" thickBot="1">
      <c r="B50" s="67"/>
      <c r="C50" s="68" t="s">
        <v>81</v>
      </c>
      <c r="D50" s="69">
        <f>SUM(E50:R50)</f>
        <v>1</v>
      </c>
      <c r="E50" s="70">
        <f>E5/D5</f>
        <v>0.23316208006578654</v>
      </c>
      <c r="F50" s="70">
        <f>F5/D5</f>
        <v>0.010529950473500506</v>
      </c>
      <c r="G50" s="70">
        <f>G5/D5</f>
        <v>0.0011715577988694794</v>
      </c>
      <c r="H50" s="70">
        <f>H5/D5</f>
        <v>0.00041281252446696246</v>
      </c>
      <c r="I50" s="70">
        <f>I5/D5</f>
        <v>0.05563378495725145</v>
      </c>
      <c r="J50" s="70">
        <f>J5/D5</f>
        <v>0.0013951814680825722</v>
      </c>
      <c r="K50" s="70">
        <f>K5/D5</f>
        <v>2.4952509492351617E-06</v>
      </c>
      <c r="L50" s="70">
        <f>L5/D5</f>
        <v>0.06547832343831317</v>
      </c>
      <c r="M50" s="70">
        <f>M5/D5</f>
        <v>0.005154123282729845</v>
      </c>
      <c r="N50" s="70">
        <f>N5/D5</f>
        <v>0.001713893479801149</v>
      </c>
      <c r="O50" s="70">
        <f>O5/D5</f>
        <v>0.02816807413071224</v>
      </c>
      <c r="P50" s="70">
        <f>P5/D5</f>
        <v>0.3396070981985911</v>
      </c>
      <c r="Q50" s="70">
        <f>Q5/D5</f>
        <v>0.0009963141844600474</v>
      </c>
      <c r="R50" s="70">
        <f>R5/D5</f>
        <v>0.2565743107464858</v>
      </c>
      <c r="S50" s="70">
        <f>SUM(S6:S49)</f>
        <v>1</v>
      </c>
    </row>
    <row r="51" spans="1:19" s="8" customFormat="1" ht="13.5" thickTop="1">
      <c r="A51" s="71"/>
      <c r="C51" s="6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2" sqref="C52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9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5.7109375" style="49" customWidth="1"/>
    <col min="19" max="19" width="12.7109375" style="8" customWidth="1"/>
    <col min="20" max="20" width="10.28125" style="0" bestFit="1" customWidth="1"/>
  </cols>
  <sheetData>
    <row r="1" ht="12.75">
      <c r="A1" s="48" t="s">
        <v>99</v>
      </c>
    </row>
    <row r="3" spans="1:19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124</v>
      </c>
      <c r="S3" s="52" t="s">
        <v>30</v>
      </c>
    </row>
    <row r="4" spans="1:19" ht="12.75">
      <c r="A4" s="53" t="s">
        <v>31</v>
      </c>
      <c r="B4" s="53" t="s">
        <v>32</v>
      </c>
      <c r="C4" s="53" t="s">
        <v>33</v>
      </c>
      <c r="D4" s="54" t="s">
        <v>16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4" t="s">
        <v>125</v>
      </c>
      <c r="S4" s="55" t="s">
        <v>47</v>
      </c>
    </row>
    <row r="5" spans="1:19" s="59" customFormat="1" ht="13.5" thickBot="1">
      <c r="A5" s="56"/>
      <c r="B5" s="56"/>
      <c r="C5" s="56" t="s">
        <v>48</v>
      </c>
      <c r="D5" s="57">
        <f>SUM(E5:R5)</f>
        <v>125774432.62</v>
      </c>
      <c r="E5" s="57">
        <f aca="true" t="shared" si="0" ref="E5:R5">SUM(E6:E54)</f>
        <v>5931685.87</v>
      </c>
      <c r="F5" s="57">
        <f t="shared" si="0"/>
        <v>382240.38</v>
      </c>
      <c r="G5" s="57">
        <f t="shared" si="0"/>
        <v>4673</v>
      </c>
      <c r="H5" s="57">
        <f t="shared" si="0"/>
        <v>6600.539999999999</v>
      </c>
      <c r="I5" s="57">
        <f t="shared" si="0"/>
        <v>804929.2699999999</v>
      </c>
      <c r="J5" s="57">
        <f t="shared" si="0"/>
        <v>57899.96</v>
      </c>
      <c r="K5" s="57">
        <f t="shared" si="0"/>
        <v>312.92</v>
      </c>
      <c r="L5" s="57">
        <f t="shared" si="0"/>
        <v>511971.02</v>
      </c>
      <c r="M5" s="57">
        <f t="shared" si="0"/>
        <v>88222.44</v>
      </c>
      <c r="N5" s="57">
        <f t="shared" si="0"/>
        <v>138181.69</v>
      </c>
      <c r="O5" s="57">
        <f t="shared" si="0"/>
        <v>1174964.25</v>
      </c>
      <c r="P5" s="57">
        <f t="shared" si="0"/>
        <v>11849991.819999998</v>
      </c>
      <c r="Q5" s="57">
        <f t="shared" si="0"/>
        <v>56784</v>
      </c>
      <c r="R5" s="57">
        <f t="shared" si="0"/>
        <v>104765975.46000001</v>
      </c>
      <c r="S5" s="58"/>
    </row>
    <row r="6" spans="1:18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.75">
      <c r="A7" s="61" t="s">
        <v>34</v>
      </c>
      <c r="B7" s="61" t="s">
        <v>102</v>
      </c>
      <c r="C7" s="61" t="s">
        <v>50</v>
      </c>
      <c r="D7" s="49">
        <f aca="true" t="shared" si="1" ref="D7:D52">SUM(E7:Q7)</f>
        <v>1263500.31</v>
      </c>
      <c r="E7" s="63">
        <f>583838.06+515479.07+164183.18</f>
        <v>1263500.31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52">D7/$D$5</f>
        <v>0.010045764339222983</v>
      </c>
    </row>
    <row r="8" spans="1:19" ht="12.75">
      <c r="A8" s="61" t="s">
        <v>34</v>
      </c>
      <c r="B8" s="61" t="s">
        <v>112</v>
      </c>
      <c r="C8" s="61" t="s">
        <v>53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2.6497436168676867E-05</v>
      </c>
    </row>
    <row r="9" spans="1:19" ht="12.75">
      <c r="A9" s="61" t="s">
        <v>35</v>
      </c>
      <c r="B9" s="61" t="s">
        <v>111</v>
      </c>
      <c r="C9" s="61" t="s">
        <v>50</v>
      </c>
      <c r="D9" s="49">
        <f t="shared" si="1"/>
        <v>212125.56</v>
      </c>
      <c r="E9" s="63"/>
      <c r="F9" s="63">
        <f>201112.91+1242.65+9770</f>
        <v>212125.56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0.001686555491296797</v>
      </c>
    </row>
    <row r="10" spans="1:19" ht="12.75">
      <c r="A10" s="61" t="s">
        <v>35</v>
      </c>
      <c r="B10" s="61" t="s">
        <v>51</v>
      </c>
      <c r="C10" s="61" t="s">
        <v>55</v>
      </c>
      <c r="D10" s="49">
        <f t="shared" si="1"/>
        <v>34246.84</v>
      </c>
      <c r="E10" s="63"/>
      <c r="F10" s="63">
        <f>34246.84</f>
        <v>34246.84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0.00027228777174029755</v>
      </c>
    </row>
    <row r="11" spans="1:19" ht="12.75">
      <c r="A11" s="61" t="s">
        <v>35</v>
      </c>
      <c r="B11" s="61" t="s">
        <v>108</v>
      </c>
      <c r="C11" s="61" t="s">
        <v>53</v>
      </c>
      <c r="D11" s="49">
        <f t="shared" si="1"/>
        <v>135867.97999999998</v>
      </c>
      <c r="E11" s="63"/>
      <c r="F11" s="63">
        <f>101852.98+34015</f>
        <v>135867.97999999998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0.00108025118595045</v>
      </c>
    </row>
    <row r="12" spans="1:19" ht="12.75">
      <c r="A12" s="61" t="s">
        <v>35</v>
      </c>
      <c r="B12" s="61" t="s">
        <v>84</v>
      </c>
      <c r="C12" s="61" t="s">
        <v>85</v>
      </c>
      <c r="D12" s="49">
        <f t="shared" si="1"/>
        <v>0</v>
      </c>
      <c r="E12" s="63"/>
      <c r="F12" s="6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</v>
      </c>
    </row>
    <row r="13" spans="1:19" ht="12.75">
      <c r="A13" s="61" t="s">
        <v>36</v>
      </c>
      <c r="B13" s="61" t="s">
        <v>54</v>
      </c>
      <c r="C13" s="61" t="s">
        <v>50</v>
      </c>
      <c r="D13" s="49">
        <f t="shared" si="1"/>
        <v>4673</v>
      </c>
      <c r="E13" s="63"/>
      <c r="F13" s="63"/>
      <c r="G13" s="63">
        <f>4673</f>
        <v>4673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3.715381498971615E-05</v>
      </c>
    </row>
    <row r="14" spans="1:19" ht="12.75">
      <c r="A14" s="61" t="s">
        <v>37</v>
      </c>
      <c r="B14" s="61" t="s">
        <v>83</v>
      </c>
      <c r="C14" s="61" t="s">
        <v>50</v>
      </c>
      <c r="D14" s="49">
        <f t="shared" si="1"/>
        <v>6600.539999999999</v>
      </c>
      <c r="E14" s="63"/>
      <c r="F14" s="63"/>
      <c r="G14" s="62"/>
      <c r="H14" s="63">
        <f>2159.97+4440.57</f>
        <v>6600.539999999999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5.247918724421592E-05</v>
      </c>
    </row>
    <row r="15" spans="1:19" ht="12.75">
      <c r="A15" s="61" t="s">
        <v>37</v>
      </c>
      <c r="B15" s="61" t="s">
        <v>60</v>
      </c>
      <c r="C15" s="61" t="s">
        <v>87</v>
      </c>
      <c r="D15" s="49">
        <f t="shared" si="1"/>
        <v>0</v>
      </c>
      <c r="E15" s="63"/>
      <c r="F15" s="63"/>
      <c r="G15" s="62"/>
      <c r="H15" s="63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</v>
      </c>
    </row>
    <row r="16" spans="1:19" ht="12.75">
      <c r="A16" s="61" t="s">
        <v>38</v>
      </c>
      <c r="B16" s="61" t="s">
        <v>109</v>
      </c>
      <c r="C16" s="61" t="s">
        <v>50</v>
      </c>
      <c r="D16" s="49">
        <f t="shared" si="1"/>
        <v>31243.46</v>
      </c>
      <c r="E16" s="63"/>
      <c r="F16" s="63"/>
      <c r="G16" s="62"/>
      <c r="H16" s="63"/>
      <c r="I16" s="63">
        <f>16890.77+7375+6977.69</f>
        <v>31243.46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0.00024840867375959703</v>
      </c>
    </row>
    <row r="17" spans="1:19" ht="12.75">
      <c r="A17" s="61" t="s">
        <v>38</v>
      </c>
      <c r="B17" s="61" t="s">
        <v>100</v>
      </c>
      <c r="C17" s="61" t="s">
        <v>101</v>
      </c>
      <c r="D17" s="49">
        <f t="shared" si="1"/>
        <v>682212</v>
      </c>
      <c r="E17" s="63"/>
      <c r="F17" s="63"/>
      <c r="G17" s="62"/>
      <c r="H17" s="63"/>
      <c r="I17" s="63">
        <f>682212</f>
        <v>682212</v>
      </c>
      <c r="J17" s="62"/>
      <c r="K17" s="62"/>
      <c r="L17" s="62"/>
      <c r="M17" s="62"/>
      <c r="N17" s="62"/>
      <c r="O17" s="62"/>
      <c r="P17" s="62"/>
      <c r="Q17" s="62"/>
      <c r="R17" s="62"/>
      <c r="S17" s="8">
        <f t="shared" si="2"/>
        <v>0.005424091254389949</v>
      </c>
    </row>
    <row r="18" spans="1:19" ht="12.75">
      <c r="A18" s="61" t="s">
        <v>39</v>
      </c>
      <c r="B18" s="61" t="s">
        <v>103</v>
      </c>
      <c r="C18" s="61" t="s">
        <v>50</v>
      </c>
      <c r="D18" s="49">
        <f t="shared" si="1"/>
        <v>57899.96</v>
      </c>
      <c r="E18" s="63"/>
      <c r="F18" s="63"/>
      <c r="G18" s="62"/>
      <c r="H18" s="63"/>
      <c r="I18" s="62"/>
      <c r="J18" s="63">
        <f>337.42+57562.54</f>
        <v>57899.96</v>
      </c>
      <c r="K18" s="63"/>
      <c r="L18" s="62"/>
      <c r="M18" s="62"/>
      <c r="N18" s="62"/>
      <c r="O18" s="62"/>
      <c r="P18" s="62"/>
      <c r="Q18" s="62"/>
      <c r="R18" s="62"/>
      <c r="S18" s="8">
        <f t="shared" si="2"/>
        <v>0.0004603476143274054</v>
      </c>
    </row>
    <row r="19" spans="1:19" ht="12.75">
      <c r="A19" s="61" t="s">
        <v>39</v>
      </c>
      <c r="B19" s="61" t="s">
        <v>84</v>
      </c>
      <c r="C19" s="61" t="s">
        <v>53</v>
      </c>
      <c r="D19" s="49">
        <f t="shared" si="1"/>
        <v>0</v>
      </c>
      <c r="E19" s="63"/>
      <c r="F19" s="63"/>
      <c r="G19" s="62"/>
      <c r="H19" s="63"/>
      <c r="I19" s="62"/>
      <c r="J19" s="63"/>
      <c r="K19" s="63"/>
      <c r="L19" s="62"/>
      <c r="M19" s="62"/>
      <c r="N19" s="62"/>
      <c r="O19" s="62"/>
      <c r="P19" s="62"/>
      <c r="Q19" s="62"/>
      <c r="R19" s="62"/>
      <c r="S19" s="8">
        <f t="shared" si="2"/>
        <v>0</v>
      </c>
    </row>
    <row r="20" spans="1:19" ht="12.75">
      <c r="A20" s="61" t="s">
        <v>40</v>
      </c>
      <c r="B20" s="61" t="s">
        <v>52</v>
      </c>
      <c r="C20" s="61" t="s">
        <v>56</v>
      </c>
      <c r="D20" s="49">
        <f t="shared" si="1"/>
        <v>0</v>
      </c>
      <c r="E20" s="63"/>
      <c r="F20" s="63"/>
      <c r="G20" s="62"/>
      <c r="H20" s="63"/>
      <c r="I20" s="62"/>
      <c r="J20" s="63"/>
      <c r="K20" s="63"/>
      <c r="L20" s="62"/>
      <c r="M20" s="62"/>
      <c r="N20" s="62"/>
      <c r="O20" s="62"/>
      <c r="P20" s="62"/>
      <c r="Q20" s="62"/>
      <c r="R20" s="62"/>
      <c r="S20" s="8">
        <f t="shared" si="2"/>
        <v>0</v>
      </c>
    </row>
    <row r="21" spans="1:19" ht="12.75">
      <c r="A21" s="61" t="s">
        <v>41</v>
      </c>
      <c r="B21" s="61" t="s">
        <v>106</v>
      </c>
      <c r="C21" s="61" t="s">
        <v>50</v>
      </c>
      <c r="D21" s="49">
        <f t="shared" si="1"/>
        <v>107002.34</v>
      </c>
      <c r="E21" s="63"/>
      <c r="F21" s="63"/>
      <c r="G21" s="62"/>
      <c r="H21" s="63"/>
      <c r="I21" s="62"/>
      <c r="J21" s="63"/>
      <c r="K21" s="63"/>
      <c r="L21" s="63">
        <f>102684.58+4317.76</f>
        <v>107002.34</v>
      </c>
      <c r="M21" s="62"/>
      <c r="N21" s="62"/>
      <c r="O21" s="62"/>
      <c r="P21" s="62"/>
      <c r="Q21" s="62"/>
      <c r="R21" s="62"/>
      <c r="S21" s="8">
        <f t="shared" si="2"/>
        <v>0.0008507479443241395</v>
      </c>
    </row>
    <row r="22" spans="1:19" ht="12.75">
      <c r="A22" s="61" t="s">
        <v>41</v>
      </c>
      <c r="B22" s="61" t="s">
        <v>49</v>
      </c>
      <c r="C22" s="61" t="s">
        <v>53</v>
      </c>
      <c r="D22" s="49">
        <f t="shared" si="1"/>
        <v>0</v>
      </c>
      <c r="E22" s="63"/>
      <c r="F22" s="63"/>
      <c r="G22" s="62"/>
      <c r="H22" s="63"/>
      <c r="I22" s="62"/>
      <c r="J22" s="63"/>
      <c r="K22" s="63"/>
      <c r="L22" s="63"/>
      <c r="M22" s="62"/>
      <c r="N22" s="62"/>
      <c r="O22" s="62"/>
      <c r="P22" s="62"/>
      <c r="Q22" s="62"/>
      <c r="R22" s="62"/>
      <c r="S22" s="8">
        <f t="shared" si="2"/>
        <v>0</v>
      </c>
    </row>
    <row r="23" spans="1:19" ht="12.75">
      <c r="A23" s="61" t="s">
        <v>41</v>
      </c>
      <c r="B23" s="61" t="s">
        <v>49</v>
      </c>
      <c r="C23" s="61" t="s">
        <v>58</v>
      </c>
      <c r="D23" s="49">
        <f t="shared" si="1"/>
        <v>5597.48</v>
      </c>
      <c r="E23" s="63"/>
      <c r="F23" s="62"/>
      <c r="G23" s="62"/>
      <c r="H23" s="62"/>
      <c r="I23" s="62"/>
      <c r="J23" s="62"/>
      <c r="K23" s="62"/>
      <c r="L23" s="63">
        <f>5597.48</f>
        <v>5597.48</v>
      </c>
      <c r="M23" s="62"/>
      <c r="N23" s="62"/>
      <c r="O23" s="62"/>
      <c r="P23" s="62"/>
      <c r="Q23" s="62"/>
      <c r="R23" s="62"/>
      <c r="S23" s="8">
        <f t="shared" si="2"/>
        <v>4.450411648376553E-05</v>
      </c>
    </row>
    <row r="24" spans="1:19" ht="12.75">
      <c r="A24" s="61" t="s">
        <v>42</v>
      </c>
      <c r="B24" s="61" t="s">
        <v>54</v>
      </c>
      <c r="C24" s="61" t="s">
        <v>50</v>
      </c>
      <c r="D24" s="49">
        <f t="shared" si="1"/>
        <v>14055.29</v>
      </c>
      <c r="E24" s="63"/>
      <c r="F24" s="62"/>
      <c r="G24" s="62"/>
      <c r="H24" s="62"/>
      <c r="I24" s="62"/>
      <c r="J24" s="62"/>
      <c r="K24" s="62"/>
      <c r="L24" s="63"/>
      <c r="M24" s="63">
        <f>14055.29</f>
        <v>14055.29</v>
      </c>
      <c r="N24" s="62"/>
      <c r="O24" s="62"/>
      <c r="P24" s="62"/>
      <c r="Q24" s="62"/>
      <c r="R24" s="62"/>
      <c r="S24" s="8">
        <f t="shared" si="2"/>
        <v>0.00011174997737787449</v>
      </c>
    </row>
    <row r="25" spans="1:19" ht="12.75">
      <c r="A25" s="61" t="s">
        <v>42</v>
      </c>
      <c r="B25" s="61" t="s">
        <v>57</v>
      </c>
      <c r="C25" s="61" t="s">
        <v>59</v>
      </c>
      <c r="D25" s="49">
        <f t="shared" si="1"/>
        <v>74167.15</v>
      </c>
      <c r="E25" s="63"/>
      <c r="F25" s="62"/>
      <c r="G25" s="62"/>
      <c r="H25" s="62"/>
      <c r="I25" s="62"/>
      <c r="J25" s="62"/>
      <c r="K25" s="62"/>
      <c r="L25" s="63"/>
      <c r="M25" s="63">
        <f>74167.15</f>
        <v>74167.15</v>
      </c>
      <c r="N25" s="62"/>
      <c r="O25" s="62"/>
      <c r="P25" s="62"/>
      <c r="Q25" s="62"/>
      <c r="R25" s="62"/>
      <c r="S25" s="8">
        <f t="shared" si="2"/>
        <v>0.0005896838368102987</v>
      </c>
    </row>
    <row r="26" spans="1:19" ht="12.75">
      <c r="A26" s="61" t="s">
        <v>42</v>
      </c>
      <c r="B26" s="61" t="s">
        <v>60</v>
      </c>
      <c r="C26" s="61" t="s">
        <v>53</v>
      </c>
      <c r="D26" s="49">
        <f t="shared" si="1"/>
        <v>0</v>
      </c>
      <c r="E26" s="63"/>
      <c r="F26" s="62"/>
      <c r="G26" s="62"/>
      <c r="H26" s="62"/>
      <c r="I26" s="62"/>
      <c r="J26" s="62"/>
      <c r="K26" s="62"/>
      <c r="L26" s="63"/>
      <c r="M26" s="63"/>
      <c r="N26" s="62"/>
      <c r="O26" s="62"/>
      <c r="P26" s="62"/>
      <c r="Q26" s="62"/>
      <c r="R26" s="62"/>
      <c r="S26" s="8">
        <f t="shared" si="2"/>
        <v>0</v>
      </c>
    </row>
    <row r="27" spans="1:19" ht="12.75">
      <c r="A27" s="61" t="s">
        <v>43</v>
      </c>
      <c r="B27" s="61" t="s">
        <v>104</v>
      </c>
      <c r="C27" s="61" t="s">
        <v>50</v>
      </c>
      <c r="D27" s="49">
        <f t="shared" si="1"/>
        <v>138181.69</v>
      </c>
      <c r="E27" s="63"/>
      <c r="F27" s="62"/>
      <c r="G27" s="62"/>
      <c r="H27" s="62"/>
      <c r="I27" s="62"/>
      <c r="J27" s="62"/>
      <c r="K27" s="62"/>
      <c r="L27" s="63"/>
      <c r="M27" s="63"/>
      <c r="N27" s="63">
        <f>138181.69</f>
        <v>138181.69</v>
      </c>
      <c r="O27" s="62"/>
      <c r="P27" s="62"/>
      <c r="Q27" s="62"/>
      <c r="R27" s="62"/>
      <c r="S27" s="8">
        <f t="shared" si="2"/>
        <v>0.0010986468960467173</v>
      </c>
    </row>
    <row r="28" spans="1:19" ht="12.75">
      <c r="A28" s="61" t="s">
        <v>43</v>
      </c>
      <c r="B28" s="61" t="s">
        <v>49</v>
      </c>
      <c r="C28" s="61" t="s">
        <v>53</v>
      </c>
      <c r="D28" s="49">
        <f t="shared" si="1"/>
        <v>0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2"/>
      <c r="Q28" s="62"/>
      <c r="R28" s="62"/>
      <c r="S28" s="8">
        <f t="shared" si="2"/>
        <v>0</v>
      </c>
    </row>
    <row r="29" spans="1:19" ht="12.75">
      <c r="A29" s="61" t="s">
        <v>44</v>
      </c>
      <c r="B29" s="61" t="s">
        <v>105</v>
      </c>
      <c r="C29" s="61" t="s">
        <v>50</v>
      </c>
      <c r="D29" s="49">
        <f t="shared" si="1"/>
        <v>199881.25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3">
        <f>196180.58+3700.67</f>
        <v>199881.25</v>
      </c>
      <c r="P29" s="62"/>
      <c r="Q29" s="62"/>
      <c r="R29" s="62"/>
      <c r="S29" s="8">
        <f t="shared" si="2"/>
        <v>0.0015892041477451747</v>
      </c>
    </row>
    <row r="30" spans="1:19" ht="12.75">
      <c r="A30" s="61" t="s">
        <v>45</v>
      </c>
      <c r="B30" s="61" t="s">
        <v>107</v>
      </c>
      <c r="C30" s="61" t="s">
        <v>50</v>
      </c>
      <c r="D30" s="49">
        <f t="shared" si="1"/>
        <v>44210.86</v>
      </c>
      <c r="E30" s="63"/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>
        <f>44210.86</f>
        <v>44210.86</v>
      </c>
      <c r="Q30" s="62"/>
      <c r="R30" s="62"/>
      <c r="S30" s="8">
        <f t="shared" si="2"/>
        <v>0.00035150911897629833</v>
      </c>
    </row>
    <row r="31" spans="1:19" ht="12.75">
      <c r="A31" s="61" t="s">
        <v>45</v>
      </c>
      <c r="B31" s="61" t="s">
        <v>103</v>
      </c>
      <c r="C31" s="61" t="s">
        <v>82</v>
      </c>
      <c r="D31" s="49">
        <f t="shared" si="1"/>
        <v>256250</v>
      </c>
      <c r="E31" s="63"/>
      <c r="F31" s="62"/>
      <c r="G31" s="62"/>
      <c r="H31" s="62"/>
      <c r="I31" s="62"/>
      <c r="J31" s="62"/>
      <c r="K31" s="62"/>
      <c r="L31" s="63"/>
      <c r="M31" s="63"/>
      <c r="N31" s="63"/>
      <c r="O31" s="62"/>
      <c r="P31" s="63">
        <f>256250</f>
        <v>256250</v>
      </c>
      <c r="Q31" s="62"/>
      <c r="R31" s="62"/>
      <c r="S31" s="8">
        <f t="shared" si="2"/>
        <v>0.002037377507193401</v>
      </c>
    </row>
    <row r="32" spans="1:19" ht="12.75">
      <c r="A32" s="61" t="s">
        <v>45</v>
      </c>
      <c r="B32" s="61" t="s">
        <v>51</v>
      </c>
      <c r="C32" s="61" t="s">
        <v>110</v>
      </c>
      <c r="D32" s="49">
        <f t="shared" si="1"/>
        <v>144740.3</v>
      </c>
      <c r="E32" s="63"/>
      <c r="F32" s="62"/>
      <c r="G32" s="62"/>
      <c r="H32" s="62"/>
      <c r="I32" s="62"/>
      <c r="J32" s="62"/>
      <c r="K32" s="62"/>
      <c r="L32" s="63"/>
      <c r="M32" s="63"/>
      <c r="N32" s="63"/>
      <c r="O32" s="62"/>
      <c r="P32" s="63">
        <f>144740.3</f>
        <v>144740.3</v>
      </c>
      <c r="Q32" s="62"/>
      <c r="R32" s="62"/>
      <c r="S32" s="8">
        <f t="shared" si="2"/>
        <v>0.0011507927087001952</v>
      </c>
    </row>
    <row r="33" spans="1:20" ht="12.75">
      <c r="A33" s="61" t="s">
        <v>46</v>
      </c>
      <c r="B33" s="61" t="s">
        <v>86</v>
      </c>
      <c r="C33" s="61" t="s">
        <v>50</v>
      </c>
      <c r="D33" s="49">
        <f t="shared" si="1"/>
        <v>56784</v>
      </c>
      <c r="E33" s="63"/>
      <c r="F33" s="62"/>
      <c r="G33" s="62"/>
      <c r="H33" s="62"/>
      <c r="I33" s="62"/>
      <c r="J33" s="62"/>
      <c r="K33" s="62"/>
      <c r="L33" s="63"/>
      <c r="M33" s="63"/>
      <c r="N33" s="63"/>
      <c r="O33" s="62"/>
      <c r="P33" s="63"/>
      <c r="Q33" s="63">
        <f>56784</f>
        <v>56784</v>
      </c>
      <c r="R33" s="63"/>
      <c r="S33" s="8">
        <f t="shared" si="2"/>
        <v>0.0004514749048525662</v>
      </c>
      <c r="T33" s="8"/>
    </row>
    <row r="34" spans="1:20" ht="12.75">
      <c r="A34" s="61" t="s">
        <v>34</v>
      </c>
      <c r="B34" s="61" t="s">
        <v>113</v>
      </c>
      <c r="C34" s="61" t="s">
        <v>114</v>
      </c>
      <c r="D34" s="49">
        <f t="shared" si="1"/>
        <v>346849.3</v>
      </c>
      <c r="E34" s="63">
        <f>346849.3</f>
        <v>346849.3</v>
      </c>
      <c r="F34" s="62"/>
      <c r="G34" s="62"/>
      <c r="H34" s="62"/>
      <c r="I34" s="62"/>
      <c r="J34" s="62"/>
      <c r="K34" s="62"/>
      <c r="L34" s="63"/>
      <c r="M34" s="63"/>
      <c r="N34" s="63"/>
      <c r="O34" s="62"/>
      <c r="P34" s="63"/>
      <c r="Q34" s="63"/>
      <c r="R34" s="63"/>
      <c r="S34" s="8">
        <f t="shared" si="2"/>
        <v>0.0027577091208030287</v>
      </c>
      <c r="T34" s="8"/>
    </row>
    <row r="35" spans="1:19" ht="12.75">
      <c r="A35" s="2" t="s">
        <v>34</v>
      </c>
      <c r="B35" s="2" t="s">
        <v>91</v>
      </c>
      <c r="C35" t="s">
        <v>61</v>
      </c>
      <c r="D35" s="49">
        <f t="shared" si="1"/>
        <v>3960919.18</v>
      </c>
      <c r="E35" s="49">
        <f>3960919.18</f>
        <v>3960919.18</v>
      </c>
      <c r="S35" s="8">
        <f t="shared" si="2"/>
        <v>0.03149224446885046</v>
      </c>
    </row>
    <row r="36" spans="1:19" ht="12.75">
      <c r="A36" s="2" t="s">
        <v>34</v>
      </c>
      <c r="B36" s="2" t="s">
        <v>88</v>
      </c>
      <c r="C36" s="64" t="s">
        <v>63</v>
      </c>
      <c r="D36" s="49">
        <f t="shared" si="1"/>
        <v>357084.38</v>
      </c>
      <c r="E36" s="49">
        <f>357084.38</f>
        <v>357084.38</v>
      </c>
      <c r="S36" s="8">
        <f t="shared" si="2"/>
        <v>0.002839085596027712</v>
      </c>
    </row>
    <row r="37" spans="1:19" ht="12.75">
      <c r="A37" s="2" t="s">
        <v>38</v>
      </c>
      <c r="B37" s="2" t="s">
        <v>64</v>
      </c>
      <c r="C37" t="s">
        <v>65</v>
      </c>
      <c r="D37" s="49">
        <f t="shared" si="1"/>
        <v>-20450</v>
      </c>
      <c r="I37" s="49">
        <v>-20450</v>
      </c>
      <c r="S37" s="8">
        <f t="shared" si="2"/>
        <v>-0.00016259266350089776</v>
      </c>
    </row>
    <row r="38" spans="1:19" ht="12.75">
      <c r="A38" s="2" t="s">
        <v>38</v>
      </c>
      <c r="B38" s="2" t="s">
        <v>115</v>
      </c>
      <c r="C38" t="s">
        <v>66</v>
      </c>
      <c r="D38" s="49">
        <f t="shared" si="1"/>
        <v>472889.81000000006</v>
      </c>
      <c r="I38" s="49">
        <f>323747.52+149142.29</f>
        <v>472889.81000000006</v>
      </c>
      <c r="S38" s="8">
        <f t="shared" si="2"/>
        <v>0.003759824633268141</v>
      </c>
    </row>
    <row r="39" spans="1:19" ht="12.75">
      <c r="A39" s="2" t="s">
        <v>38</v>
      </c>
      <c r="B39" s="2" t="s">
        <v>64</v>
      </c>
      <c r="C39" t="s">
        <v>67</v>
      </c>
      <c r="D39" s="49">
        <f t="shared" si="1"/>
        <v>-106036.85</v>
      </c>
      <c r="I39" s="49">
        <f>-106036.85</f>
        <v>-106036.85</v>
      </c>
      <c r="S39" s="8">
        <f t="shared" si="2"/>
        <v>-0.0008430715829215243</v>
      </c>
    </row>
    <row r="40" spans="1:19" ht="12.75">
      <c r="A40" s="2" t="s">
        <v>38</v>
      </c>
      <c r="B40" s="2" t="s">
        <v>92</v>
      </c>
      <c r="C40" t="s">
        <v>89</v>
      </c>
      <c r="D40" s="49">
        <f t="shared" si="1"/>
        <v>-254929.15</v>
      </c>
      <c r="I40" s="49">
        <f>-18590-236339.15</f>
        <v>-254929.15</v>
      </c>
      <c r="S40" s="8">
        <f t="shared" si="2"/>
        <v>-0.0020268757702943713</v>
      </c>
    </row>
    <row r="41" spans="1:19" ht="12.75">
      <c r="A41" s="2" t="s">
        <v>40</v>
      </c>
      <c r="B41" s="2" t="s">
        <v>62</v>
      </c>
      <c r="C41" t="s">
        <v>68</v>
      </c>
      <c r="D41" s="49">
        <f t="shared" si="1"/>
        <v>312.92</v>
      </c>
      <c r="K41" s="49">
        <f>312.92</f>
        <v>312.92</v>
      </c>
      <c r="S41" s="8">
        <f t="shared" si="2"/>
        <v>2.487946027515938E-06</v>
      </c>
    </row>
    <row r="42" spans="1:19" ht="12.75">
      <c r="A42" s="2" t="s">
        <v>41</v>
      </c>
      <c r="B42" s="2" t="s">
        <v>116</v>
      </c>
      <c r="C42" t="s">
        <v>70</v>
      </c>
      <c r="D42" s="49">
        <f t="shared" si="1"/>
        <v>399371.2</v>
      </c>
      <c r="L42" s="49">
        <f>399371.2</f>
        <v>399371.2</v>
      </c>
      <c r="S42" s="8">
        <f t="shared" si="2"/>
        <v>0.0031752971703447306</v>
      </c>
    </row>
    <row r="43" spans="1:19" ht="12.75">
      <c r="A43" s="2" t="s">
        <v>44</v>
      </c>
      <c r="B43" s="2" t="s">
        <v>117</v>
      </c>
      <c r="C43" t="s">
        <v>72</v>
      </c>
      <c r="D43" s="49">
        <f t="shared" si="1"/>
        <v>905896.54</v>
      </c>
      <c r="O43" s="49">
        <f>41444.49+862030.06+203.84+2218.15</f>
        <v>905896.54</v>
      </c>
      <c r="S43" s="8">
        <f t="shared" si="2"/>
        <v>0.007202549207572009</v>
      </c>
    </row>
    <row r="44" spans="1:19" ht="12.75">
      <c r="A44" s="2" t="s">
        <v>44</v>
      </c>
      <c r="B44" s="2" t="s">
        <v>62</v>
      </c>
      <c r="C44" t="s">
        <v>73</v>
      </c>
      <c r="D44" s="49">
        <f t="shared" si="1"/>
        <v>10888.22</v>
      </c>
      <c r="O44" s="49">
        <f>10888.22</f>
        <v>10888.22</v>
      </c>
      <c r="S44" s="8">
        <f t="shared" si="2"/>
        <v>8.656942252243252E-05</v>
      </c>
    </row>
    <row r="45" spans="1:19" ht="12.75">
      <c r="A45" s="2" t="s">
        <v>44</v>
      </c>
      <c r="B45" s="2" t="s">
        <v>74</v>
      </c>
      <c r="C45" t="s">
        <v>75</v>
      </c>
      <c r="D45" s="49">
        <f t="shared" si="1"/>
        <v>58298.24</v>
      </c>
      <c r="O45" s="49">
        <f>58298.24</f>
        <v>58298.24</v>
      </c>
      <c r="S45" s="8">
        <f t="shared" si="2"/>
        <v>0.0004635142356486346</v>
      </c>
    </row>
    <row r="46" spans="1:19" ht="12.75">
      <c r="A46" s="2" t="s">
        <v>45</v>
      </c>
      <c r="B46" s="2" t="s">
        <v>88</v>
      </c>
      <c r="C46" t="s">
        <v>118</v>
      </c>
      <c r="D46" s="49">
        <f t="shared" si="1"/>
        <v>265675.02</v>
      </c>
      <c r="P46" s="49">
        <f>265675.02</f>
        <v>265675.02</v>
      </c>
      <c r="S46" s="8">
        <f t="shared" si="2"/>
        <v>0.002112313404765491</v>
      </c>
    </row>
    <row r="47" spans="1:19" ht="12.75">
      <c r="A47" s="2" t="s">
        <v>45</v>
      </c>
      <c r="B47" s="2" t="s">
        <v>76</v>
      </c>
      <c r="C47" t="s">
        <v>77</v>
      </c>
      <c r="D47" s="49">
        <f t="shared" si="1"/>
        <v>1444230.52</v>
      </c>
      <c r="P47" s="49">
        <f>1444230.52</f>
        <v>1444230.52</v>
      </c>
      <c r="S47" s="8">
        <f t="shared" si="2"/>
        <v>0.011482703518635042</v>
      </c>
    </row>
    <row r="48" spans="1:19" ht="12.75">
      <c r="A48" s="2" t="s">
        <v>45</v>
      </c>
      <c r="B48" s="2" t="s">
        <v>90</v>
      </c>
      <c r="C48" t="s">
        <v>66</v>
      </c>
      <c r="D48" s="49">
        <f t="shared" si="1"/>
        <v>4300033.9399999995</v>
      </c>
      <c r="P48" s="49">
        <f>4270423.51+29610.43</f>
        <v>4300033.9399999995</v>
      </c>
      <c r="S48" s="8">
        <f t="shared" si="2"/>
        <v>0.034188458261557926</v>
      </c>
    </row>
    <row r="49" spans="1:19" ht="12.75">
      <c r="A49" s="2" t="s">
        <v>45</v>
      </c>
      <c r="B49" s="2" t="s">
        <v>120</v>
      </c>
      <c r="C49" t="s">
        <v>78</v>
      </c>
      <c r="D49" s="49">
        <f t="shared" si="1"/>
        <v>4085992.21</v>
      </c>
      <c r="P49" s="49">
        <f>6135.54+4079856.67</f>
        <v>4085992.21</v>
      </c>
      <c r="S49" s="8">
        <f t="shared" si="2"/>
        <v>0.03248666779793739</v>
      </c>
    </row>
    <row r="50" spans="1:19" ht="12.75">
      <c r="A50" s="2" t="s">
        <v>45</v>
      </c>
      <c r="B50" s="2" t="s">
        <v>69</v>
      </c>
      <c r="C50" t="s">
        <v>119</v>
      </c>
      <c r="D50" s="49">
        <f t="shared" si="1"/>
        <v>-209416.4</v>
      </c>
      <c r="P50" s="49">
        <v>-209416.4</v>
      </c>
      <c r="S50" s="8">
        <f t="shared" si="2"/>
        <v>-0.0016650156604777215</v>
      </c>
    </row>
    <row r="51" spans="1:19" ht="12.75">
      <c r="A51" s="2" t="s">
        <v>45</v>
      </c>
      <c r="B51" s="2" t="s">
        <v>93</v>
      </c>
      <c r="C51" t="s">
        <v>79</v>
      </c>
      <c r="D51" s="49">
        <f t="shared" si="1"/>
        <v>983757.18</v>
      </c>
      <c r="P51" s="49">
        <f>983757.18</f>
        <v>983757.18</v>
      </c>
      <c r="S51" s="8">
        <f t="shared" si="2"/>
        <v>0.007821599028573697</v>
      </c>
    </row>
    <row r="52" spans="1:20" ht="12.75">
      <c r="A52" s="2" t="s">
        <v>45</v>
      </c>
      <c r="B52" s="2" t="s">
        <v>69</v>
      </c>
      <c r="C52" t="s">
        <v>80</v>
      </c>
      <c r="D52" s="49">
        <f t="shared" si="1"/>
        <v>534518.19</v>
      </c>
      <c r="P52" s="49">
        <f>534518.19</f>
        <v>534518.19</v>
      </c>
      <c r="S52" s="8">
        <f t="shared" si="2"/>
        <v>0.004249815951187234</v>
      </c>
      <c r="T52" s="8"/>
    </row>
    <row r="53" spans="1:20" ht="12.75">
      <c r="A53" s="2"/>
      <c r="B53" s="2"/>
      <c r="C53" t="s">
        <v>123</v>
      </c>
      <c r="D53" s="49">
        <f>SUM(E53:R53)</f>
        <v>104765975.46000001</v>
      </c>
      <c r="R53" s="49">
        <f>125774432.62-21008457.16</f>
        <v>104765975.46000001</v>
      </c>
      <c r="S53" s="8">
        <f>R53/$D$5</f>
        <v>0.8329671879858725</v>
      </c>
      <c r="T53" s="8"/>
    </row>
    <row r="54" spans="5:19" ht="12.75"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6"/>
    </row>
    <row r="55" spans="2:19" s="8" customFormat="1" ht="13.5" thickBot="1">
      <c r="B55" s="67"/>
      <c r="C55" s="68" t="s">
        <v>81</v>
      </c>
      <c r="D55" s="69">
        <f>SUM(E55:R55)</f>
        <v>1</v>
      </c>
      <c r="E55" s="70">
        <f>E5/D5</f>
        <v>0.04716130096107286</v>
      </c>
      <c r="F55" s="70">
        <f>F5/D5</f>
        <v>0.003039094448987545</v>
      </c>
      <c r="G55" s="70">
        <f>G5/D5</f>
        <v>3.715381498971615E-05</v>
      </c>
      <c r="H55" s="70">
        <f>H5/D5</f>
        <v>5.247918724421592E-05</v>
      </c>
      <c r="I55" s="70">
        <f>I5/D5</f>
        <v>0.006399784544700893</v>
      </c>
      <c r="J55" s="70">
        <f>J5/D5</f>
        <v>0.0004603476143274054</v>
      </c>
      <c r="K55" s="70">
        <f>K5/D5</f>
        <v>2.487946027515938E-06</v>
      </c>
      <c r="L55" s="70">
        <f>L5/D5</f>
        <v>0.004070549231152636</v>
      </c>
      <c r="M55" s="70">
        <f>M5/D5</f>
        <v>0.0007014338141881733</v>
      </c>
      <c r="N55" s="70">
        <f>N5/D5</f>
        <v>0.0010986468960467173</v>
      </c>
      <c r="O55" s="70">
        <f>O5/D5</f>
        <v>0.00934183701348825</v>
      </c>
      <c r="P55" s="70">
        <f>P5/D5</f>
        <v>0.09421622163704894</v>
      </c>
      <c r="Q55" s="70">
        <f>Q5/D5</f>
        <v>0.0004514749048525662</v>
      </c>
      <c r="R55" s="70">
        <f>R5/D5</f>
        <v>0.8329671879858725</v>
      </c>
      <c r="S55" s="70">
        <f>SUM(S6:S54)</f>
        <v>1</v>
      </c>
    </row>
    <row r="56" spans="1:19" s="8" customFormat="1" ht="13.5" thickTop="1">
      <c r="A56" s="71"/>
      <c r="C56" s="6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/>
  <printOptions/>
  <pageMargins left="0" right="0" top="0.25" bottom="0.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7" width="11.7109375" style="49" customWidth="1"/>
    <col min="8" max="8" width="10.7109375" style="49" customWidth="1"/>
    <col min="9" max="9" width="13.7109375" style="49" customWidth="1"/>
    <col min="10" max="10" width="11.7109375" style="49" customWidth="1"/>
    <col min="11" max="11" width="12.7109375" style="49" customWidth="1"/>
    <col min="12" max="12" width="13.7109375" style="49" customWidth="1"/>
    <col min="13" max="13" width="12.7109375" style="49" customWidth="1"/>
    <col min="14" max="16" width="13.7109375" style="49" customWidth="1"/>
    <col min="17" max="17" width="11.7109375" style="49" customWidth="1"/>
    <col min="18" max="18" width="12.7109375" style="8" customWidth="1"/>
    <col min="19" max="19" width="10.28125" style="0" bestFit="1" customWidth="1"/>
  </cols>
  <sheetData>
    <row r="1" ht="12.75">
      <c r="A1" s="48" t="s">
        <v>99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30</v>
      </c>
    </row>
    <row r="4" spans="1:18" ht="12.75">
      <c r="A4" s="53" t="s">
        <v>31</v>
      </c>
      <c r="B4" s="53" t="s">
        <v>32</v>
      </c>
      <c r="C4" s="53" t="s">
        <v>33</v>
      </c>
      <c r="D4" s="54" t="s">
        <v>16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5" t="s">
        <v>47</v>
      </c>
    </row>
    <row r="5" spans="1:18" s="59" customFormat="1" ht="13.5" thickBot="1">
      <c r="A5" s="56"/>
      <c r="B5" s="56"/>
      <c r="C5" s="56" t="s">
        <v>48</v>
      </c>
      <c r="D5" s="57">
        <f>SUM(E5:Q5)</f>
        <v>120493905.11000001</v>
      </c>
      <c r="E5" s="57">
        <f aca="true" t="shared" si="0" ref="E5:Q5">SUM(E6:E49)</f>
        <v>35297726</v>
      </c>
      <c r="F5" s="57">
        <f t="shared" si="0"/>
        <v>1788122.8199999998</v>
      </c>
      <c r="G5" s="57">
        <f t="shared" si="0"/>
        <v>239444.97</v>
      </c>
      <c r="H5" s="57">
        <f t="shared" si="0"/>
        <v>82629.26</v>
      </c>
      <c r="I5" s="57">
        <f t="shared" si="0"/>
        <v>10971655.21</v>
      </c>
      <c r="J5" s="57">
        <f t="shared" si="0"/>
        <v>374939.49</v>
      </c>
      <c r="K5" s="57">
        <f t="shared" si="0"/>
        <v>312.92</v>
      </c>
      <c r="L5" s="57">
        <f t="shared" si="0"/>
        <v>11503936.99</v>
      </c>
      <c r="M5" s="57">
        <f t="shared" si="0"/>
        <v>916986.1900000001</v>
      </c>
      <c r="N5" s="57">
        <f t="shared" si="0"/>
        <v>511589.39</v>
      </c>
      <c r="O5" s="57">
        <f t="shared" si="0"/>
        <v>5972990.77</v>
      </c>
      <c r="P5" s="57">
        <f t="shared" si="0"/>
        <v>52705455.10000001</v>
      </c>
      <c r="Q5" s="57">
        <f t="shared" si="0"/>
        <v>128116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34</v>
      </c>
      <c r="B7" s="61" t="s">
        <v>102</v>
      </c>
      <c r="C7" s="61" t="s">
        <v>50</v>
      </c>
      <c r="D7" s="49">
        <f aca="true" t="shared" si="1" ref="D7:D48">SUM(E7:Q7)</f>
        <v>7549474.93</v>
      </c>
      <c r="E7" s="63">
        <f>5465039.68+1290489.45+793945.8</f>
        <v>7549474.93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8">D7/$D$5</f>
        <v>0.06265441329258947</v>
      </c>
    </row>
    <row r="8" spans="1:18" ht="12.75">
      <c r="A8" s="61" t="s">
        <v>34</v>
      </c>
      <c r="B8" s="61" t="s">
        <v>112</v>
      </c>
      <c r="C8" s="61" t="s">
        <v>53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2.765866038583069E-05</v>
      </c>
    </row>
    <row r="9" spans="1:18" ht="12.75">
      <c r="A9" s="61" t="s">
        <v>35</v>
      </c>
      <c r="B9" s="61" t="s">
        <v>140</v>
      </c>
      <c r="C9" s="61" t="s">
        <v>50</v>
      </c>
      <c r="D9" s="49">
        <f t="shared" si="1"/>
        <v>668855.7699999999</v>
      </c>
      <c r="E9" s="63"/>
      <c r="F9" s="63">
        <f>271847.12+1242.65+320603.41+75162.59</f>
        <v>668855.7699999999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0.0055509510575609215</v>
      </c>
    </row>
    <row r="10" spans="1:18" ht="12.75">
      <c r="A10" s="61" t="s">
        <v>35</v>
      </c>
      <c r="B10" s="61" t="s">
        <v>51</v>
      </c>
      <c r="C10" s="61" t="s">
        <v>55</v>
      </c>
      <c r="D10" s="49">
        <f t="shared" si="1"/>
        <v>207272.78</v>
      </c>
      <c r="E10" s="63"/>
      <c r="F10" s="63">
        <f>207272.78</f>
        <v>207272.78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0.001720193065456537</v>
      </c>
    </row>
    <row r="11" spans="1:18" ht="12.75">
      <c r="A11" s="61" t="s">
        <v>35</v>
      </c>
      <c r="B11" s="61" t="s">
        <v>108</v>
      </c>
      <c r="C11" s="61" t="s">
        <v>53</v>
      </c>
      <c r="D11" s="49">
        <f t="shared" si="1"/>
        <v>390235.72</v>
      </c>
      <c r="E11" s="63"/>
      <c r="F11" s="63">
        <f>353280.72+36955</f>
        <v>390235.72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0.0032386345155279855</v>
      </c>
    </row>
    <row r="12" spans="1:18" ht="12.75">
      <c r="A12" s="61" t="s">
        <v>36</v>
      </c>
      <c r="B12" s="61" t="s">
        <v>54</v>
      </c>
      <c r="C12" s="61" t="s">
        <v>50</v>
      </c>
      <c r="D12" s="49">
        <f t="shared" si="1"/>
        <v>149444.97</v>
      </c>
      <c r="E12" s="63"/>
      <c r="F12" s="63"/>
      <c r="G12" s="63">
        <f>78749.97+70695</f>
        <v>149444.97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0.0012402699527712235</v>
      </c>
    </row>
    <row r="13" spans="1:18" ht="12.75">
      <c r="A13" s="61" t="s">
        <v>36</v>
      </c>
      <c r="B13" s="61" t="s">
        <v>84</v>
      </c>
      <c r="C13" s="61" t="s">
        <v>53</v>
      </c>
      <c r="D13" s="49">
        <f t="shared" si="1"/>
        <v>90000</v>
      </c>
      <c r="E13" s="63"/>
      <c r="F13" s="63"/>
      <c r="G13" s="63">
        <f>90000</f>
        <v>90000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0.0007469257463092275</v>
      </c>
    </row>
    <row r="14" spans="1:18" ht="12.75">
      <c r="A14" s="61" t="s">
        <v>37</v>
      </c>
      <c r="B14" s="61" t="s">
        <v>83</v>
      </c>
      <c r="C14" s="61" t="s">
        <v>50</v>
      </c>
      <c r="D14" s="49">
        <f t="shared" si="1"/>
        <v>82629.26</v>
      </c>
      <c r="E14" s="63"/>
      <c r="F14" s="63"/>
      <c r="G14" s="62"/>
      <c r="H14" s="63">
        <f>35172.5+22176.76+25280</f>
        <v>82629.26</v>
      </c>
      <c r="I14" s="62"/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0.000685754685471991</v>
      </c>
    </row>
    <row r="15" spans="1:18" ht="12.75">
      <c r="A15" s="61" t="s">
        <v>38</v>
      </c>
      <c r="B15" s="61" t="s">
        <v>151</v>
      </c>
      <c r="C15" s="61" t="s">
        <v>50</v>
      </c>
      <c r="D15" s="49">
        <f t="shared" si="1"/>
        <v>1473440.1500000001</v>
      </c>
      <c r="E15" s="63"/>
      <c r="F15" s="63"/>
      <c r="G15" s="62"/>
      <c r="H15" s="63"/>
      <c r="I15" s="63">
        <f>9700+376900.74+600591.65+130744.47+355503.29</f>
        <v>1473440.1500000001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0.012228337596452558</v>
      </c>
    </row>
    <row r="16" spans="1:18" ht="12.75">
      <c r="A16" s="61" t="s">
        <v>38</v>
      </c>
      <c r="B16" s="61" t="s">
        <v>100</v>
      </c>
      <c r="C16" s="61" t="s">
        <v>101</v>
      </c>
      <c r="D16" s="49">
        <f t="shared" si="1"/>
        <v>682212</v>
      </c>
      <c r="E16" s="63"/>
      <c r="F16" s="63"/>
      <c r="G16" s="62"/>
      <c r="H16" s="63"/>
      <c r="I16" s="63">
        <f>682212</f>
        <v>682212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0.005661796747123452</v>
      </c>
    </row>
    <row r="17" spans="1:18" ht="12.75">
      <c r="A17" s="61" t="s">
        <v>39</v>
      </c>
      <c r="B17" s="61" t="s">
        <v>152</v>
      </c>
      <c r="C17" s="61" t="s">
        <v>50</v>
      </c>
      <c r="D17" s="49">
        <f t="shared" si="1"/>
        <v>326727.49</v>
      </c>
      <c r="E17" s="63"/>
      <c r="F17" s="63"/>
      <c r="G17" s="62"/>
      <c r="H17" s="63"/>
      <c r="I17" s="62"/>
      <c r="J17" s="63">
        <f>74674+155066.67+39424.28+57562.54</f>
        <v>326727.49</v>
      </c>
      <c r="K17" s="63"/>
      <c r="L17" s="62"/>
      <c r="M17" s="62"/>
      <c r="N17" s="62"/>
      <c r="O17" s="62"/>
      <c r="P17" s="62"/>
      <c r="Q17" s="62"/>
      <c r="R17" s="8">
        <f t="shared" si="2"/>
        <v>0.0027115686034221184</v>
      </c>
    </row>
    <row r="18" spans="1:18" ht="12.75">
      <c r="A18" s="61" t="s">
        <v>39</v>
      </c>
      <c r="B18" s="61" t="s">
        <v>84</v>
      </c>
      <c r="C18" s="61" t="s">
        <v>53</v>
      </c>
      <c r="D18" s="49">
        <f t="shared" si="1"/>
        <v>48212</v>
      </c>
      <c r="E18" s="63"/>
      <c r="F18" s="63"/>
      <c r="G18" s="62"/>
      <c r="H18" s="63"/>
      <c r="I18" s="62"/>
      <c r="J18" s="63">
        <f>48212</f>
        <v>48212</v>
      </c>
      <c r="K18" s="63"/>
      <c r="L18" s="62"/>
      <c r="M18" s="62"/>
      <c r="N18" s="62"/>
      <c r="O18" s="62"/>
      <c r="P18" s="62"/>
      <c r="Q18" s="62"/>
      <c r="R18" s="8">
        <f t="shared" si="2"/>
        <v>0.00040011982312289417</v>
      </c>
    </row>
    <row r="19" spans="1:18" ht="12.75">
      <c r="A19" s="61" t="s">
        <v>41</v>
      </c>
      <c r="B19" s="61" t="s">
        <v>153</v>
      </c>
      <c r="C19" s="61" t="s">
        <v>50</v>
      </c>
      <c r="D19" s="49">
        <f t="shared" si="1"/>
        <v>213746.84</v>
      </c>
      <c r="E19" s="63"/>
      <c r="F19" s="63"/>
      <c r="G19" s="62"/>
      <c r="H19" s="63"/>
      <c r="I19" s="62"/>
      <c r="J19" s="63"/>
      <c r="K19" s="63"/>
      <c r="L19" s="63">
        <f>13775+195053.08+4918.76</f>
        <v>213746.84</v>
      </c>
      <c r="M19" s="62"/>
      <c r="N19" s="62"/>
      <c r="O19" s="62"/>
      <c r="P19" s="62"/>
      <c r="Q19" s="62"/>
      <c r="R19" s="8">
        <f t="shared" si="2"/>
        <v>0.001773922422091545</v>
      </c>
    </row>
    <row r="20" spans="1:18" ht="12.75">
      <c r="A20" s="61" t="s">
        <v>41</v>
      </c>
      <c r="B20" s="61" t="s">
        <v>49</v>
      </c>
      <c r="C20" s="61" t="s">
        <v>58</v>
      </c>
      <c r="D20" s="49">
        <f t="shared" si="1"/>
        <v>29432.82</v>
      </c>
      <c r="E20" s="63"/>
      <c r="F20" s="62"/>
      <c r="G20" s="62"/>
      <c r="H20" s="62"/>
      <c r="I20" s="62"/>
      <c r="J20" s="62"/>
      <c r="K20" s="62"/>
      <c r="L20" s="63">
        <f>29432.82</f>
        <v>29432.82</v>
      </c>
      <c r="M20" s="62"/>
      <c r="N20" s="62"/>
      <c r="O20" s="62"/>
      <c r="P20" s="62"/>
      <c r="Q20" s="62"/>
      <c r="R20" s="8">
        <f t="shared" si="2"/>
        <v>0.00024426812271650174</v>
      </c>
    </row>
    <row r="21" spans="1:18" ht="12.75">
      <c r="A21" s="61" t="s">
        <v>42</v>
      </c>
      <c r="B21" s="61" t="s">
        <v>139</v>
      </c>
      <c r="C21" s="61" t="s">
        <v>50</v>
      </c>
      <c r="D21" s="49">
        <f t="shared" si="1"/>
        <v>614082.79</v>
      </c>
      <c r="E21" s="63"/>
      <c r="F21" s="62"/>
      <c r="G21" s="62"/>
      <c r="H21" s="62"/>
      <c r="I21" s="62"/>
      <c r="J21" s="62"/>
      <c r="K21" s="62"/>
      <c r="L21" s="63"/>
      <c r="M21" s="63">
        <f>241560+286501.5+68444.01+17577.28</f>
        <v>614082.79</v>
      </c>
      <c r="N21" s="62"/>
      <c r="O21" s="62"/>
      <c r="P21" s="62"/>
      <c r="Q21" s="62"/>
      <c r="R21" s="8">
        <f t="shared" si="2"/>
        <v>0.005096380513515585</v>
      </c>
    </row>
    <row r="22" spans="1:18" ht="12.75">
      <c r="A22" s="61" t="s">
        <v>42</v>
      </c>
      <c r="B22" s="61" t="s">
        <v>57</v>
      </c>
      <c r="C22" s="61" t="s">
        <v>59</v>
      </c>
      <c r="D22" s="49">
        <f t="shared" si="1"/>
        <v>118957.11</v>
      </c>
      <c r="E22" s="63"/>
      <c r="F22" s="62"/>
      <c r="G22" s="62"/>
      <c r="H22" s="62"/>
      <c r="I22" s="62"/>
      <c r="J22" s="62"/>
      <c r="K22" s="62"/>
      <c r="L22" s="63"/>
      <c r="M22" s="63">
        <f>118957.11</f>
        <v>118957.11</v>
      </c>
      <c r="N22" s="62"/>
      <c r="O22" s="62"/>
      <c r="P22" s="62"/>
      <c r="Q22" s="62"/>
      <c r="R22" s="8">
        <f t="shared" si="2"/>
        <v>0.0009872458685059875</v>
      </c>
    </row>
    <row r="23" spans="1:18" ht="12.75">
      <c r="A23" s="61" t="s">
        <v>42</v>
      </c>
      <c r="B23" s="61" t="s">
        <v>60</v>
      </c>
      <c r="C23" s="61" t="s">
        <v>53</v>
      </c>
      <c r="D23" s="49">
        <f t="shared" si="1"/>
        <v>157373.79</v>
      </c>
      <c r="E23" s="63"/>
      <c r="F23" s="62"/>
      <c r="G23" s="62"/>
      <c r="H23" s="62"/>
      <c r="I23" s="62"/>
      <c r="J23" s="62"/>
      <c r="K23" s="62"/>
      <c r="L23" s="63"/>
      <c r="M23" s="63">
        <f>157373.79</f>
        <v>157373.79</v>
      </c>
      <c r="N23" s="62"/>
      <c r="O23" s="62"/>
      <c r="P23" s="62"/>
      <c r="Q23" s="62"/>
      <c r="R23" s="8">
        <f t="shared" si="2"/>
        <v>0.0013060726171695738</v>
      </c>
    </row>
    <row r="24" spans="1:18" ht="12.75">
      <c r="A24" s="61" t="s">
        <v>43</v>
      </c>
      <c r="B24" s="61" t="s">
        <v>154</v>
      </c>
      <c r="C24" s="61" t="s">
        <v>50</v>
      </c>
      <c r="D24" s="49">
        <f t="shared" si="1"/>
        <v>511589.39</v>
      </c>
      <c r="E24" s="63"/>
      <c r="F24" s="62"/>
      <c r="G24" s="62"/>
      <c r="H24" s="62"/>
      <c r="I24" s="62"/>
      <c r="J24" s="62"/>
      <c r="K24" s="62"/>
      <c r="L24" s="63"/>
      <c r="M24" s="63"/>
      <c r="N24" s="63">
        <f>49796.39+149747.86+312045.14</f>
        <v>511589.39</v>
      </c>
      <c r="O24" s="62"/>
      <c r="P24" s="62"/>
      <c r="Q24" s="62"/>
      <c r="R24" s="8">
        <f t="shared" si="2"/>
        <v>0.004245769854773694</v>
      </c>
    </row>
    <row r="25" spans="1:18" ht="12.75">
      <c r="A25" s="61" t="s">
        <v>44</v>
      </c>
      <c r="B25" s="61" t="s">
        <v>155</v>
      </c>
      <c r="C25" s="61" t="s">
        <v>50</v>
      </c>
      <c r="D25" s="49">
        <f t="shared" si="1"/>
        <v>300769.35</v>
      </c>
      <c r="E25" s="63"/>
      <c r="F25" s="62"/>
      <c r="G25" s="62"/>
      <c r="H25" s="62"/>
      <c r="I25" s="62"/>
      <c r="J25" s="62"/>
      <c r="K25" s="62"/>
      <c r="L25" s="63"/>
      <c r="M25" s="63"/>
      <c r="N25" s="63"/>
      <c r="O25" s="63">
        <f>9769.18+287299.5+3700.67</f>
        <v>300769.35</v>
      </c>
      <c r="P25" s="62"/>
      <c r="Q25" s="62"/>
      <c r="R25" s="8">
        <f t="shared" si="2"/>
        <v>0.002496137457952125</v>
      </c>
    </row>
    <row r="26" spans="1:18" ht="12.75">
      <c r="A26" s="61" t="s">
        <v>45</v>
      </c>
      <c r="B26" s="61" t="s">
        <v>138</v>
      </c>
      <c r="C26" s="61" t="s">
        <v>50</v>
      </c>
      <c r="D26" s="49">
        <f t="shared" si="1"/>
        <v>339520.73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2"/>
      <c r="P26" s="63">
        <f>13876.75+322735.38+2483.6+425</f>
        <v>339520.73</v>
      </c>
      <c r="Q26" s="62"/>
      <c r="R26" s="8">
        <f t="shared" si="2"/>
        <v>0.0028177419404744855</v>
      </c>
    </row>
    <row r="27" spans="1:18" ht="12.75">
      <c r="A27" s="61" t="s">
        <v>45</v>
      </c>
      <c r="B27" s="61" t="s">
        <v>111</v>
      </c>
      <c r="C27" s="61" t="s">
        <v>82</v>
      </c>
      <c r="D27" s="49">
        <f t="shared" si="1"/>
        <v>3930914.5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685640.92+936498+2308775.58</f>
        <v>3930914.5</v>
      </c>
      <c r="Q27" s="62"/>
      <c r="R27" s="8">
        <f t="shared" si="2"/>
        <v>0.032623347184336265</v>
      </c>
    </row>
    <row r="28" spans="1:18" ht="12.75">
      <c r="A28" s="61" t="s">
        <v>45</v>
      </c>
      <c r="B28" s="61" t="s">
        <v>51</v>
      </c>
      <c r="C28" s="61" t="s">
        <v>110</v>
      </c>
      <c r="D28" s="49">
        <f t="shared" si="1"/>
        <v>144740.3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>
        <f>144740.3</f>
        <v>144740.3</v>
      </c>
      <c r="Q28" s="62"/>
      <c r="R28" s="8">
        <f t="shared" si="2"/>
        <v>0.0012012250733169053</v>
      </c>
    </row>
    <row r="29" spans="1:19" ht="12.75">
      <c r="A29" s="61" t="s">
        <v>46</v>
      </c>
      <c r="B29" s="61" t="s">
        <v>86</v>
      </c>
      <c r="C29" s="61" t="s">
        <v>50</v>
      </c>
      <c r="D29" s="49">
        <f t="shared" si="1"/>
        <v>128116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/>
      <c r="Q29" s="63">
        <f>128116</f>
        <v>128116</v>
      </c>
      <c r="R29" s="8">
        <f t="shared" si="2"/>
        <v>0.0010632570990461443</v>
      </c>
      <c r="S29" s="8">
        <f>SUM(R7:R29)</f>
        <v>0.15072199190009303</v>
      </c>
    </row>
    <row r="30" spans="1:19" ht="12.75">
      <c r="A30" s="61" t="s">
        <v>34</v>
      </c>
      <c r="B30" s="61" t="s">
        <v>113</v>
      </c>
      <c r="C30" s="61" t="s">
        <v>114</v>
      </c>
      <c r="D30" s="49">
        <f t="shared" si="1"/>
        <v>4618537.79</v>
      </c>
      <c r="E30" s="63">
        <f>4618537.79</f>
        <v>4618537.79</v>
      </c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/>
      <c r="Q30" s="63"/>
      <c r="R30" s="8">
        <f t="shared" si="2"/>
        <v>0.03833005317392356</v>
      </c>
      <c r="S30" s="8"/>
    </row>
    <row r="31" spans="1:18" ht="12.75">
      <c r="A31" s="2" t="s">
        <v>34</v>
      </c>
      <c r="B31" s="2" t="s">
        <v>91</v>
      </c>
      <c r="C31" t="s">
        <v>61</v>
      </c>
      <c r="D31" s="49">
        <f t="shared" si="1"/>
        <v>8368993.14</v>
      </c>
      <c r="E31" s="49">
        <f>8367493.14+1500</f>
        <v>8368993.14</v>
      </c>
      <c r="R31" s="8">
        <f t="shared" si="2"/>
        <v>0.06945573829945895</v>
      </c>
    </row>
    <row r="32" spans="1:18" ht="12.75">
      <c r="A32" s="2" t="s">
        <v>34</v>
      </c>
      <c r="B32" s="2" t="s">
        <v>113</v>
      </c>
      <c r="C32" s="64" t="s">
        <v>63</v>
      </c>
      <c r="D32" s="49">
        <f t="shared" si="1"/>
        <v>8013935.04</v>
      </c>
      <c r="E32" s="49">
        <f>8013935.04</f>
        <v>8013935.04</v>
      </c>
      <c r="R32" s="8">
        <f t="shared" si="2"/>
        <v>0.06650904900695187</v>
      </c>
    </row>
    <row r="33" spans="1:18" ht="12.75">
      <c r="A33" s="2" t="s">
        <v>34</v>
      </c>
      <c r="B33" s="2" t="s">
        <v>88</v>
      </c>
      <c r="C33" s="64" t="s">
        <v>63</v>
      </c>
      <c r="D33" s="49">
        <f t="shared" si="1"/>
        <v>6743452.4</v>
      </c>
      <c r="E33" s="49">
        <f>6743452.4</f>
        <v>6743452.4</v>
      </c>
      <c r="R33" s="8">
        <f t="shared" si="2"/>
        <v>0.05596509129523057</v>
      </c>
    </row>
    <row r="34" spans="1:18" ht="12.75">
      <c r="A34" s="2" t="s">
        <v>35</v>
      </c>
      <c r="B34" s="2" t="s">
        <v>113</v>
      </c>
      <c r="C34" s="64" t="s">
        <v>142</v>
      </c>
      <c r="D34" s="49">
        <f t="shared" si="1"/>
        <v>478671.86</v>
      </c>
      <c r="F34" s="49">
        <f>478671.86</f>
        <v>478671.86</v>
      </c>
      <c r="R34" s="8">
        <f t="shared" si="2"/>
        <v>0.003972581514085845</v>
      </c>
    </row>
    <row r="35" spans="1:18" ht="12.75">
      <c r="A35" s="2" t="s">
        <v>35</v>
      </c>
      <c r="B35" s="2" t="s">
        <v>157</v>
      </c>
      <c r="C35" s="64" t="s">
        <v>156</v>
      </c>
      <c r="D35" s="49">
        <f t="shared" si="1"/>
        <v>43086.69</v>
      </c>
      <c r="F35" s="49">
        <f>121.64+17564.06+25400.99</f>
        <v>43086.69</v>
      </c>
      <c r="R35" s="8">
        <f t="shared" si="2"/>
        <v>0.0003575839787138259</v>
      </c>
    </row>
    <row r="36" spans="1:18" ht="12.75">
      <c r="A36" s="2" t="s">
        <v>38</v>
      </c>
      <c r="B36" s="2" t="s">
        <v>115</v>
      </c>
      <c r="C36" t="s">
        <v>66</v>
      </c>
      <c r="D36" s="49">
        <f t="shared" si="1"/>
        <v>8816003.06</v>
      </c>
      <c r="I36" s="49">
        <f>8023580.87+792422.19</f>
        <v>8816003.06</v>
      </c>
      <c r="R36" s="8">
        <f t="shared" si="2"/>
        <v>0.0731655518339437</v>
      </c>
    </row>
    <row r="37" spans="1:18" ht="12.75">
      <c r="A37" s="2" t="s">
        <v>40</v>
      </c>
      <c r="B37" s="2" t="s">
        <v>62</v>
      </c>
      <c r="C37" t="s">
        <v>68</v>
      </c>
      <c r="D37" s="49">
        <f t="shared" si="1"/>
        <v>312.92</v>
      </c>
      <c r="K37" s="49">
        <f>312.92</f>
        <v>312.92</v>
      </c>
      <c r="R37" s="8">
        <f t="shared" si="2"/>
        <v>2.5969778281675943E-06</v>
      </c>
    </row>
    <row r="38" spans="1:18" ht="12.75">
      <c r="A38" s="2" t="s">
        <v>41</v>
      </c>
      <c r="B38" s="2" t="s">
        <v>116</v>
      </c>
      <c r="C38" t="s">
        <v>70</v>
      </c>
      <c r="D38" s="49">
        <f t="shared" si="1"/>
        <v>11260757.33</v>
      </c>
      <c r="L38" s="49">
        <f>11260757.33</f>
        <v>11260757.33</v>
      </c>
      <c r="R38" s="8">
        <f t="shared" si="2"/>
        <v>0.09345499525241505</v>
      </c>
    </row>
    <row r="39" spans="1:18" ht="12.75">
      <c r="A39" s="2" t="s">
        <v>42</v>
      </c>
      <c r="B39" s="2" t="s">
        <v>64</v>
      </c>
      <c r="C39" t="s">
        <v>71</v>
      </c>
      <c r="D39" s="49">
        <f t="shared" si="1"/>
        <v>26572.5</v>
      </c>
      <c r="M39" s="49">
        <f>26572.5</f>
        <v>26572.5</v>
      </c>
      <c r="R39" s="8">
        <f t="shared" si="2"/>
        <v>0.00022052982659779942</v>
      </c>
    </row>
    <row r="40" spans="1:18" ht="12.75">
      <c r="A40" s="2" t="s">
        <v>44</v>
      </c>
      <c r="B40" s="2" t="s">
        <v>117</v>
      </c>
      <c r="C40" t="s">
        <v>72</v>
      </c>
      <c r="D40" s="49">
        <f t="shared" si="1"/>
        <v>4721712.95</v>
      </c>
      <c r="O40" s="49">
        <f>2998782.65+1371385.08+318207.17+33338.05</f>
        <v>4721712.95</v>
      </c>
      <c r="R40" s="8">
        <f t="shared" si="2"/>
        <v>0.03918632187818549</v>
      </c>
    </row>
    <row r="41" spans="1:18" ht="12.75">
      <c r="A41" s="2" t="s">
        <v>44</v>
      </c>
      <c r="B41" s="2" t="s">
        <v>62</v>
      </c>
      <c r="C41" t="s">
        <v>73</v>
      </c>
      <c r="D41" s="49">
        <f t="shared" si="1"/>
        <v>23833.49</v>
      </c>
      <c r="O41" s="49">
        <f>23833.49</f>
        <v>23833.49</v>
      </c>
      <c r="R41" s="8">
        <f t="shared" si="2"/>
        <v>0.00019779830339337236</v>
      </c>
    </row>
    <row r="42" spans="1:18" ht="12.75">
      <c r="A42" s="2" t="s">
        <v>44</v>
      </c>
      <c r="B42" s="2" t="s">
        <v>74</v>
      </c>
      <c r="C42" t="s">
        <v>75</v>
      </c>
      <c r="D42" s="49">
        <f t="shared" si="1"/>
        <v>926674.98</v>
      </c>
      <c r="O42" s="49">
        <f>926674.98</f>
        <v>926674.98</v>
      </c>
      <c r="R42" s="8">
        <f t="shared" si="2"/>
        <v>0.007690637789139872</v>
      </c>
    </row>
    <row r="43" spans="1:18" ht="12.75">
      <c r="A43" s="2" t="s">
        <v>45</v>
      </c>
      <c r="B43" s="2" t="s">
        <v>88</v>
      </c>
      <c r="C43" t="s">
        <v>118</v>
      </c>
      <c r="D43" s="49">
        <f t="shared" si="1"/>
        <v>493340.12</v>
      </c>
      <c r="P43" s="49">
        <f>493340.12</f>
        <v>493340.12</v>
      </c>
      <c r="R43" s="8">
        <f t="shared" si="2"/>
        <v>0.004094315970169821</v>
      </c>
    </row>
    <row r="44" spans="1:18" ht="12.75">
      <c r="A44" s="2" t="s">
        <v>45</v>
      </c>
      <c r="B44" s="2" t="s">
        <v>76</v>
      </c>
      <c r="C44" t="s">
        <v>77</v>
      </c>
      <c r="D44" s="49">
        <f t="shared" si="1"/>
        <v>1607556.62</v>
      </c>
      <c r="P44" s="49">
        <f>1607556.62</f>
        <v>1607556.62</v>
      </c>
      <c r="R44" s="8">
        <f t="shared" si="2"/>
        <v>0.01334139364586488</v>
      </c>
    </row>
    <row r="45" spans="1:18" ht="12.75">
      <c r="A45" s="2" t="s">
        <v>45</v>
      </c>
      <c r="B45" s="2" t="s">
        <v>143</v>
      </c>
      <c r="C45" t="s">
        <v>66</v>
      </c>
      <c r="D45" s="49">
        <f t="shared" si="1"/>
        <v>14150528.64</v>
      </c>
      <c r="P45" s="49">
        <f>2427437.11+3400000+8224418.78+98672.75</f>
        <v>14150528.64</v>
      </c>
      <c r="R45" s="8">
        <f t="shared" si="2"/>
        <v>0.11743771294557886</v>
      </c>
    </row>
    <row r="46" spans="1:18" ht="12.75">
      <c r="A46" s="2" t="s">
        <v>45</v>
      </c>
      <c r="B46" s="2" t="s">
        <v>120</v>
      </c>
      <c r="C46" t="s">
        <v>78</v>
      </c>
      <c r="D46" s="49">
        <f t="shared" si="1"/>
        <v>29296366.57</v>
      </c>
      <c r="P46" s="49">
        <f>22451911.7+6844454.87</f>
        <v>29296366.57</v>
      </c>
      <c r="R46" s="8">
        <f t="shared" si="2"/>
        <v>0.24313567182717727</v>
      </c>
    </row>
    <row r="47" spans="1:18" ht="12.75">
      <c r="A47" s="2" t="s">
        <v>45</v>
      </c>
      <c r="B47" s="2" t="s">
        <v>93</v>
      </c>
      <c r="C47" t="s">
        <v>79</v>
      </c>
      <c r="D47" s="49">
        <f t="shared" si="1"/>
        <v>1300233.84</v>
      </c>
      <c r="P47" s="49">
        <f>1294883.84+5350</f>
        <v>1300233.84</v>
      </c>
      <c r="R47" s="8">
        <f t="shared" si="2"/>
        <v>0.010790868125761252</v>
      </c>
    </row>
    <row r="48" spans="1:19" ht="12.75">
      <c r="A48" s="2" t="s">
        <v>45</v>
      </c>
      <c r="B48" s="2" t="s">
        <v>69</v>
      </c>
      <c r="C48" t="s">
        <v>80</v>
      </c>
      <c r="D48" s="49">
        <f t="shared" si="1"/>
        <v>1442253.78</v>
      </c>
      <c r="P48" s="49">
        <f>1442253.78</f>
        <v>1442253.78</v>
      </c>
      <c r="R48" s="8">
        <f t="shared" si="2"/>
        <v>0.011969516455486716</v>
      </c>
      <c r="S48" s="8"/>
    </row>
    <row r="49" spans="5:18" ht="12.75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6"/>
    </row>
    <row r="50" spans="2:18" s="8" customFormat="1" ht="13.5" thickBot="1">
      <c r="B50" s="67"/>
      <c r="C50" s="68" t="s">
        <v>81</v>
      </c>
      <c r="D50" s="69">
        <f>SUM(E50:Q50)</f>
        <v>1</v>
      </c>
      <c r="E50" s="70">
        <f>E5/D5</f>
        <v>0.29294200372854023</v>
      </c>
      <c r="F50" s="70">
        <f>F5/D5</f>
        <v>0.014839944131345114</v>
      </c>
      <c r="G50" s="70">
        <f>G5/D5</f>
        <v>0.001987195699080451</v>
      </c>
      <c r="H50" s="70">
        <f>H5/D5</f>
        <v>0.000685754685471991</v>
      </c>
      <c r="I50" s="70">
        <f>I5/D5</f>
        <v>0.09105568617751972</v>
      </c>
      <c r="J50" s="70">
        <f>J5/D5</f>
        <v>0.0031116884265450125</v>
      </c>
      <c r="K50" s="70">
        <f>K5/D5</f>
        <v>2.5969778281675943E-06</v>
      </c>
      <c r="L50" s="70">
        <f>L5/D5</f>
        <v>0.0954731857972231</v>
      </c>
      <c r="M50" s="70">
        <f>M5/D5</f>
        <v>0.007610228825788946</v>
      </c>
      <c r="N50" s="70">
        <f>N5/D5</f>
        <v>0.004245769854773694</v>
      </c>
      <c r="O50" s="70">
        <f>O5/D5</f>
        <v>0.04957089542867085</v>
      </c>
      <c r="P50" s="70">
        <f>P5/D5</f>
        <v>0.43741179316816653</v>
      </c>
      <c r="Q50" s="70">
        <f>Q5/D5</f>
        <v>0.0010632570990461443</v>
      </c>
      <c r="R50" s="70">
        <f>SUM(R6:R49)</f>
        <v>1</v>
      </c>
    </row>
    <row r="51" spans="1:18" s="8" customFormat="1" ht="13.5" thickTop="1">
      <c r="A51" s="71"/>
      <c r="C51" s="6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</sheetData>
  <sheetProtection/>
  <printOptions/>
  <pageMargins left="0" right="0" top="0.5" bottom="0.5" header="0.5" footer="0.25"/>
  <pageSetup horizontalDpi="600" verticalDpi="600" orientation="landscape" paperSize="5" scale="7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Microsoft Office User</cp:lastModifiedBy>
  <cp:lastPrinted>2016-06-01T20:37:31Z</cp:lastPrinted>
  <dcterms:created xsi:type="dcterms:W3CDTF">2011-02-21T16:49:07Z</dcterms:created>
  <dcterms:modified xsi:type="dcterms:W3CDTF">2016-06-01T20:37:38Z</dcterms:modified>
  <cp:category/>
  <cp:version/>
  <cp:contentType/>
  <cp:contentStatus/>
</cp:coreProperties>
</file>