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741" activeTab="0"/>
  </bookViews>
  <sheets>
    <sheet name="2017B" sheetId="1" r:id="rId1"/>
    <sheet name="Percentage" sheetId="2" r:id="rId2"/>
  </sheets>
  <definedNames/>
  <calcPr fullCalcOnLoad="1"/>
</workbook>
</file>

<file path=xl/sharedStrings.xml><?xml version="1.0" encoding="utf-8"?>
<sst xmlns="http://schemas.openxmlformats.org/spreadsheetml/2006/main" count="323" uniqueCount="86">
  <si>
    <t>Percent</t>
  </si>
  <si>
    <t>Inst</t>
  </si>
  <si>
    <t>Type</t>
  </si>
  <si>
    <t>Project</t>
  </si>
  <si>
    <t>Total</t>
  </si>
  <si>
    <t>UMCP</t>
  </si>
  <si>
    <t>UMBC</t>
  </si>
  <si>
    <t>CEES</t>
  </si>
  <si>
    <t>FSU</t>
  </si>
  <si>
    <t>by project</t>
  </si>
  <si>
    <t>Total dollars:</t>
  </si>
  <si>
    <t>Facilities Renewal</t>
  </si>
  <si>
    <t>Payment</t>
  </si>
  <si>
    <t xml:space="preserve">    USM Debt Service from Earnings (Auxiliary)</t>
  </si>
  <si>
    <t>Date</t>
  </si>
  <si>
    <t>Principal</t>
  </si>
  <si>
    <t>Interest</t>
  </si>
  <si>
    <t>UMB</t>
  </si>
  <si>
    <t>TU</t>
  </si>
  <si>
    <t>UMES</t>
  </si>
  <si>
    <t>CSC</t>
  </si>
  <si>
    <t>16th Aux</t>
  </si>
  <si>
    <t>SCUB 3 Planning &amp; Construct</t>
  </si>
  <si>
    <t>18th Aux</t>
  </si>
  <si>
    <t>New Residence Hall</t>
  </si>
  <si>
    <t>7800 York Road Garage</t>
  </si>
  <si>
    <t>New Parking Garage</t>
  </si>
  <si>
    <t>Health Center</t>
  </si>
  <si>
    <t>19th Aux</t>
  </si>
  <si>
    <t>Interim Fitness Center</t>
  </si>
  <si>
    <t>Housing Central Utility Plant</t>
  </si>
  <si>
    <t>Coastal Sciences Laboratories</t>
  </si>
  <si>
    <t xml:space="preserve">  UMCP Stamp Student Union Renov (Auxiliary)</t>
  </si>
  <si>
    <t xml:space="preserve">  UMCP N. Campus Parking Garage (Auxiliary)</t>
  </si>
  <si>
    <t>UMCP South Campus Parking Garage (Auxiliary)</t>
  </si>
  <si>
    <t xml:space="preserve">    UMES Student Services Building (Auxiliary)</t>
  </si>
  <si>
    <t xml:space="preserve">        UMES New Residence Hall (Auxiliary)</t>
  </si>
  <si>
    <t xml:space="preserve">       UMBC University Commons (Auxiliary)</t>
  </si>
  <si>
    <t xml:space="preserve">         UMBC Parking Garage (Auxiliary)</t>
  </si>
  <si>
    <t xml:space="preserve">  UMBC Housing Central Utility Plant (Auxiliary)</t>
  </si>
  <si>
    <t>CEES Coastal Sciences Laboratories (Auxiliary)</t>
  </si>
  <si>
    <t xml:space="preserve">    CSC New Residence Hall/Dining (Auxiliary)</t>
  </si>
  <si>
    <t xml:space="preserve">     FSU Athletic Facilities - Various (Auxiliary)</t>
  </si>
  <si>
    <t xml:space="preserve">      TU 7800 York Road Garage (Auxiliary)</t>
  </si>
  <si>
    <t xml:space="preserve">        TU Interim Fitness Center (Auxiliary)</t>
  </si>
  <si>
    <t xml:space="preserve">           Total Academic Projects - 2001A</t>
  </si>
  <si>
    <t xml:space="preserve">           Total Auxiliary Projects - 2001A</t>
  </si>
  <si>
    <t>2001 Series A Bonds</t>
  </si>
  <si>
    <t>UMUC</t>
  </si>
  <si>
    <t>20th Aux</t>
  </si>
  <si>
    <t>Comcast Arena</t>
  </si>
  <si>
    <t>S. Campus Parking Garage #5</t>
  </si>
  <si>
    <t>20th,19th Aux</t>
  </si>
  <si>
    <t>Stamp Student Union</t>
  </si>
  <si>
    <t>N. Campus Parking Garage #4</t>
  </si>
  <si>
    <t>18th,1st Aux</t>
  </si>
  <si>
    <t>Purchase of Hawk's Landing</t>
  </si>
  <si>
    <t>Student Services Center</t>
  </si>
  <si>
    <t>16th,15th Aux</t>
  </si>
  <si>
    <t>University Commons Center</t>
  </si>
  <si>
    <t>19th,18th Aux</t>
  </si>
  <si>
    <t>Parking Garage</t>
  </si>
  <si>
    <t>Hotel Addition at Inn &amp; Confer</t>
  </si>
  <si>
    <t>Athletic Facilities</t>
  </si>
  <si>
    <t>18th 2nd Aux</t>
  </si>
  <si>
    <t>18th &amp; 1st Aux</t>
  </si>
  <si>
    <t>Newell Dining Renov &amp; Add</t>
  </si>
  <si>
    <t xml:space="preserve">                  UMCP SCUB 3  (Auxiliary)</t>
  </si>
  <si>
    <t xml:space="preserve">       UMB New Parking Garage (Auxiliary)</t>
  </si>
  <si>
    <t xml:space="preserve">  UMES Purchase of Hawk's Landing (Auxiliary)</t>
  </si>
  <si>
    <t xml:space="preserve">        TU Newell Dining Renovation (Auxiliary)</t>
  </si>
  <si>
    <t>20th Academic</t>
  </si>
  <si>
    <t xml:space="preserve">  UMCP Arena Comcast - 19th Resol (Auxiliary) </t>
  </si>
  <si>
    <t xml:space="preserve">  UMCP Arena Comcast - 20th Resol (Auxiliary) </t>
  </si>
  <si>
    <t xml:space="preserve">        UMB Facilities Renewal (Academic)</t>
  </si>
  <si>
    <t xml:space="preserve">         CEES Facilities Renewal (Academic)</t>
  </si>
  <si>
    <t xml:space="preserve">     University System of Maryland</t>
  </si>
  <si>
    <t xml:space="preserve">           Distribution of Debt Services after 2007A Bond Issue  </t>
  </si>
  <si>
    <t xml:space="preserve">           UMCP Health Center (Auxiliary)</t>
  </si>
  <si>
    <t>Amort of</t>
  </si>
  <si>
    <t>Premium</t>
  </si>
  <si>
    <t>Loss on Refunding</t>
  </si>
  <si>
    <t>.</t>
  </si>
  <si>
    <t>USM (Paid off by UMUC) (Auxiliary)</t>
  </si>
  <si>
    <t>2001A Refinanced on 2017B</t>
  </si>
  <si>
    <t>2001 Series A Bond Funded Projects 2017B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</si>
</sst>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.000000%"/>
    <numFmt numFmtId="175" formatCode="0_);\(0\)"/>
    <numFmt numFmtId="176" formatCode="[$-409]dddd\,\ mmmm\ dd\,\ yyyy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3" xfId="0" applyNumberFormat="1" applyBorder="1" applyAlignment="1">
      <alignment horizontal="right"/>
    </xf>
    <xf numFmtId="40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3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3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5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6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7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6" xfId="0" applyNumberFormat="1" applyBorder="1" applyAlignment="1">
      <alignment horizontal="right"/>
    </xf>
    <xf numFmtId="3" fontId="0" fillId="0" borderId="21" xfId="0" applyNumberFormat="1" applyBorder="1" applyAlignment="1" quotePrefix="1">
      <alignment horizontal="lef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72" fontId="0" fillId="0" borderId="21" xfId="0" applyNumberFormat="1" applyBorder="1" applyAlignment="1" quotePrefix="1">
      <alignment horizontal="left"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40" fontId="0" fillId="0" borderId="0" xfId="0" applyNumberFormat="1" applyAlignment="1">
      <alignment horizontal="left"/>
    </xf>
    <xf numFmtId="3" fontId="0" fillId="0" borderId="10" xfId="0" applyNumberFormat="1" applyBorder="1" applyAlignment="1">
      <alignment horizontal="left"/>
    </xf>
    <xf numFmtId="38" fontId="0" fillId="33" borderId="17" xfId="0" applyNumberFormat="1" applyFill="1" applyBorder="1" applyAlignment="1">
      <alignment horizontal="centerContinuous"/>
    </xf>
    <xf numFmtId="38" fontId="0" fillId="0" borderId="10" xfId="0" applyNumberFormat="1" applyBorder="1" applyAlignment="1" quotePrefix="1">
      <alignment horizontal="centerContinuous"/>
    </xf>
    <xf numFmtId="172" fontId="0" fillId="0" borderId="0" xfId="0" applyNumberFormat="1" applyAlignment="1">
      <alignment horizontal="centerContinuous"/>
    </xf>
    <xf numFmtId="38" fontId="0" fillId="0" borderId="17" xfId="0" applyNumberFormat="1" applyBorder="1" applyAlignment="1">
      <alignment horizontal="centerContinuous"/>
    </xf>
    <xf numFmtId="38" fontId="0" fillId="33" borderId="24" xfId="0" applyNumberFormat="1" applyFill="1" applyBorder="1" applyAlignment="1">
      <alignment horizontal="centerContinuous"/>
    </xf>
    <xf numFmtId="38" fontId="0" fillId="33" borderId="21" xfId="0" applyNumberFormat="1" applyFill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Q18"/>
  <sheetViews>
    <sheetView tabSelected="1" zoomScale="145" zoomScaleNormal="145" zoomScalePageLayoutView="0" workbookViewId="0" topLeftCell="A1">
      <selection activeCell="E13" sqref="E13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41" customWidth="1"/>
    <col min="7" max="7" width="16.8515625" style="41" customWidth="1"/>
    <col min="8" max="8" width="3.7109375" style="38" customWidth="1"/>
    <col min="9" max="12" width="13.7109375" style="38" customWidth="1"/>
    <col min="13" max="13" width="17.421875" style="38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23" customWidth="1"/>
    <col min="25" max="25" width="16.421875" style="23" customWidth="1"/>
    <col min="26" max="26" width="3.7109375" style="23" customWidth="1"/>
    <col min="27" max="30" width="13.7109375" style="23" customWidth="1"/>
    <col min="31" max="31" width="17.140625" style="23" customWidth="1"/>
    <col min="32" max="32" width="3.7109375" style="23" customWidth="1"/>
    <col min="33" max="36" width="13.7109375" style="23" customWidth="1"/>
    <col min="37" max="37" width="16.7109375" style="23" customWidth="1"/>
    <col min="38" max="38" width="3.7109375" style="23" customWidth="1"/>
    <col min="39" max="42" width="13.7109375" style="23" customWidth="1"/>
    <col min="43" max="43" width="17.00390625" style="23" customWidth="1"/>
    <col min="44" max="44" width="3.7109375" style="23" customWidth="1"/>
    <col min="45" max="48" width="13.7109375" style="23" customWidth="1"/>
    <col min="49" max="49" width="16.28125" style="23" customWidth="1"/>
    <col min="50" max="50" width="3.7109375" style="23" customWidth="1"/>
    <col min="51" max="54" width="13.7109375" style="23" customWidth="1"/>
    <col min="55" max="55" width="16.140625" style="23" customWidth="1"/>
    <col min="56" max="56" width="3.7109375" style="23" customWidth="1"/>
    <col min="57" max="60" width="13.7109375" style="23" customWidth="1"/>
    <col min="61" max="61" width="15.8515625" style="23" customWidth="1"/>
    <col min="62" max="62" width="3.7109375" style="23" customWidth="1"/>
    <col min="63" max="66" width="13.7109375" style="23" customWidth="1"/>
    <col min="67" max="67" width="15.851562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6.140625" style="23" customWidth="1"/>
    <col min="80" max="80" width="3.7109375" style="23" customWidth="1"/>
    <col min="81" max="84" width="13.7109375" style="23" customWidth="1"/>
    <col min="85" max="85" width="17.281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7109375" style="23" customWidth="1"/>
    <col min="98" max="98" width="3.7109375" style="23" customWidth="1"/>
    <col min="99" max="102" width="13.7109375" style="23" customWidth="1"/>
    <col min="103" max="103" width="15.7109375" style="23" customWidth="1"/>
    <col min="104" max="104" width="3.7109375" style="23" customWidth="1"/>
    <col min="105" max="108" width="13.7109375" style="23" customWidth="1"/>
    <col min="109" max="109" width="15.7109375" style="23" customWidth="1"/>
    <col min="110" max="110" width="3.7109375" style="23" customWidth="1"/>
    <col min="111" max="114" width="13.7109375" style="23" customWidth="1"/>
    <col min="115" max="115" width="15.8515625" style="23" customWidth="1"/>
    <col min="116" max="116" width="3.7109375" style="23" customWidth="1"/>
    <col min="117" max="120" width="13.7109375" style="23" customWidth="1"/>
    <col min="121" max="121" width="16.7109375" style="23" customWidth="1"/>
    <col min="122" max="122" width="3.7109375" style="23" customWidth="1"/>
    <col min="123" max="126" width="13.7109375" style="23" customWidth="1"/>
    <col min="127" max="127" width="16.00390625" style="23" customWidth="1"/>
    <col min="128" max="128" width="3.7109375" style="23" customWidth="1"/>
    <col min="129" max="132" width="13.7109375" style="23" customWidth="1"/>
    <col min="133" max="133" width="16.00390625" style="23" customWidth="1"/>
    <col min="134" max="134" width="3.7109375" style="23" customWidth="1"/>
    <col min="135" max="138" width="13.7109375" style="23" customWidth="1"/>
    <col min="139" max="139" width="16.421875" style="23" customWidth="1"/>
    <col min="140" max="140" width="3.7109375" style="23" customWidth="1"/>
    <col min="141" max="144" width="13.7109375" style="23" customWidth="1"/>
    <col min="145" max="145" width="15.7109375" style="23" customWidth="1"/>
    <col min="146" max="146" width="3.7109375" style="23" customWidth="1"/>
    <col min="147" max="151" width="13.7109375" style="23" customWidth="1"/>
    <col min="152" max="152" width="3.7109375" style="23" customWidth="1"/>
    <col min="153" max="156" width="13.7109375" style="0" customWidth="1"/>
    <col min="157" max="157" width="16.140625" style="0" customWidth="1"/>
    <col min="158" max="158" width="3.7109375" style="0" customWidth="1"/>
    <col min="159" max="162" width="13.7109375" style="0" customWidth="1"/>
    <col min="163" max="163" width="15.7109375" style="0" customWidth="1"/>
  </cols>
  <sheetData>
    <row r="1" spans="1:153" ht="12.75">
      <c r="A1" s="49"/>
      <c r="B1" s="33"/>
      <c r="C1" s="48"/>
      <c r="D1" s="50"/>
      <c r="I1" s="50"/>
      <c r="J1" s="50"/>
      <c r="K1" s="41"/>
      <c r="L1" s="41"/>
      <c r="M1" s="41"/>
      <c r="O1" s="38"/>
      <c r="P1" s="50" t="s">
        <v>76</v>
      </c>
      <c r="V1" s="24"/>
      <c r="AA1" s="50"/>
      <c r="AG1" s="38"/>
      <c r="AH1" s="50" t="s">
        <v>76</v>
      </c>
      <c r="AM1" s="50"/>
      <c r="AN1" s="24"/>
      <c r="AS1" s="50"/>
      <c r="AY1" s="38"/>
      <c r="AZ1" s="50" t="s">
        <v>76</v>
      </c>
      <c r="BE1" s="50"/>
      <c r="BK1" s="50"/>
      <c r="BQ1" s="38"/>
      <c r="BR1" s="50" t="s">
        <v>76</v>
      </c>
      <c r="BW1" s="50"/>
      <c r="CC1" s="50"/>
      <c r="CI1" s="38"/>
      <c r="CJ1" s="50" t="s">
        <v>76</v>
      </c>
      <c r="CO1" s="50"/>
      <c r="CU1" s="50"/>
      <c r="CV1" s="24"/>
      <c r="DA1" s="38"/>
      <c r="DB1" s="50" t="s">
        <v>76</v>
      </c>
      <c r="DM1" s="50"/>
      <c r="DS1" s="38"/>
      <c r="DT1" s="50" t="s">
        <v>76</v>
      </c>
      <c r="EE1" s="50"/>
      <c r="EK1" s="38"/>
      <c r="EL1" s="50" t="s">
        <v>76</v>
      </c>
      <c r="ER1" s="24"/>
      <c r="EW1" s="50"/>
    </row>
    <row r="2" spans="1:153" ht="12.75">
      <c r="A2" s="49"/>
      <c r="B2" s="33"/>
      <c r="C2" s="48"/>
      <c r="D2" s="50"/>
      <c r="I2" s="50"/>
      <c r="J2" s="50"/>
      <c r="K2" s="41"/>
      <c r="L2" s="41"/>
      <c r="M2" s="41"/>
      <c r="O2" s="48" t="s">
        <v>77</v>
      </c>
      <c r="P2" s="38"/>
      <c r="V2" s="24"/>
      <c r="AA2" s="50"/>
      <c r="AG2" s="48" t="s">
        <v>77</v>
      </c>
      <c r="AH2" s="38"/>
      <c r="AM2" s="50"/>
      <c r="AN2" s="24"/>
      <c r="AS2" s="50"/>
      <c r="AY2" s="48" t="s">
        <v>77</v>
      </c>
      <c r="AZ2" s="38"/>
      <c r="BE2" s="50"/>
      <c r="BK2" s="50"/>
      <c r="BQ2" s="48" t="s">
        <v>77</v>
      </c>
      <c r="BR2" s="38"/>
      <c r="BW2" s="50"/>
      <c r="CC2" s="50"/>
      <c r="CI2" s="48" t="s">
        <v>77</v>
      </c>
      <c r="CJ2" s="38"/>
      <c r="CO2" s="50"/>
      <c r="CU2" s="50"/>
      <c r="CV2" s="24"/>
      <c r="DA2" s="48" t="s">
        <v>77</v>
      </c>
      <c r="DB2" s="38"/>
      <c r="DM2" s="50"/>
      <c r="DS2" s="48" t="s">
        <v>77</v>
      </c>
      <c r="DT2" s="38"/>
      <c r="EE2" s="50"/>
      <c r="EK2" s="48" t="s">
        <v>77</v>
      </c>
      <c r="EL2" s="38"/>
      <c r="ER2" s="24"/>
      <c r="EW2" s="50"/>
    </row>
    <row r="3" spans="1:153" ht="12.75">
      <c r="A3" s="49"/>
      <c r="B3" s="33"/>
      <c r="C3" s="48"/>
      <c r="D3" s="48"/>
      <c r="I3" s="50"/>
      <c r="J3" s="48"/>
      <c r="K3" s="41"/>
      <c r="L3" s="41"/>
      <c r="M3" s="41"/>
      <c r="O3" s="38"/>
      <c r="P3" s="50" t="s">
        <v>85</v>
      </c>
      <c r="AA3" s="50"/>
      <c r="AG3" s="38"/>
      <c r="AH3" s="50" t="str">
        <f>P3</f>
        <v>2001 Series A Bond Funded Projects 2017B</v>
      </c>
      <c r="AM3" s="50"/>
      <c r="AS3" s="50"/>
      <c r="AY3" s="38"/>
      <c r="AZ3" s="50" t="str">
        <f>AH3</f>
        <v>2001 Series A Bond Funded Projects 2017B</v>
      </c>
      <c r="BE3" s="50"/>
      <c r="BK3" s="50"/>
      <c r="BQ3" s="38"/>
      <c r="BR3" s="50" t="str">
        <f>AZ3</f>
        <v>2001 Series A Bond Funded Projects 2017B</v>
      </c>
      <c r="BW3" s="50"/>
      <c r="CC3" s="50"/>
      <c r="CI3" s="38"/>
      <c r="CJ3" s="50" t="str">
        <f>BR3</f>
        <v>2001 Series A Bond Funded Projects 2017B</v>
      </c>
      <c r="CO3" s="50"/>
      <c r="CU3" s="50"/>
      <c r="DA3" s="38"/>
      <c r="DB3" s="50" t="str">
        <f>CJ3</f>
        <v>2001 Series A Bond Funded Projects 2017B</v>
      </c>
      <c r="DM3" s="50"/>
      <c r="DS3" s="38"/>
      <c r="DT3" s="50" t="str">
        <f>DB3</f>
        <v>2001 Series A Bond Funded Projects 2017B</v>
      </c>
      <c r="EE3" s="50"/>
      <c r="EK3" s="38"/>
      <c r="EL3" s="50" t="str">
        <f>DT3</f>
        <v>2001 Series A Bond Funded Projects 2017B</v>
      </c>
      <c r="EW3" s="50"/>
    </row>
    <row r="4" spans="1:148" ht="12.75">
      <c r="A4" s="49"/>
      <c r="B4" s="33"/>
      <c r="C4" s="48"/>
      <c r="D4" s="50"/>
      <c r="J4" s="50"/>
      <c r="K4" s="41"/>
      <c r="L4" s="41"/>
      <c r="M4" s="41"/>
      <c r="V4" s="24"/>
      <c r="AH4" s="24"/>
      <c r="AN4" s="24"/>
      <c r="AZ4" s="24"/>
      <c r="CV4" s="24"/>
      <c r="ER4" s="24"/>
    </row>
    <row r="5" spans="1:163" ht="12.75">
      <c r="A5" s="25" t="s">
        <v>12</v>
      </c>
      <c r="C5" s="72" t="s">
        <v>84</v>
      </c>
      <c r="D5" s="71"/>
      <c r="E5" s="67"/>
      <c r="F5" s="46"/>
      <c r="G5" s="46"/>
      <c r="I5" s="42" t="s">
        <v>45</v>
      </c>
      <c r="J5" s="43"/>
      <c r="K5" s="44"/>
      <c r="L5" s="46"/>
      <c r="M5" s="46"/>
      <c r="O5" s="42" t="s">
        <v>46</v>
      </c>
      <c r="P5" s="43"/>
      <c r="Q5" s="44"/>
      <c r="R5" s="46"/>
      <c r="S5" s="46"/>
      <c r="U5" s="26" t="s">
        <v>72</v>
      </c>
      <c r="V5" s="27"/>
      <c r="W5" s="28"/>
      <c r="X5" s="46"/>
      <c r="Y5" s="46"/>
      <c r="AA5" s="26" t="s">
        <v>73</v>
      </c>
      <c r="AB5" s="27"/>
      <c r="AC5" s="28"/>
      <c r="AD5" s="46"/>
      <c r="AE5" s="46"/>
      <c r="AG5" s="26" t="s">
        <v>32</v>
      </c>
      <c r="AH5" s="27"/>
      <c r="AI5" s="28"/>
      <c r="AJ5" s="46"/>
      <c r="AK5" s="46"/>
      <c r="AM5" s="26" t="s">
        <v>33</v>
      </c>
      <c r="AN5" s="27"/>
      <c r="AO5" s="28"/>
      <c r="AP5" s="46"/>
      <c r="AQ5" s="46"/>
      <c r="AR5" s="34"/>
      <c r="AS5" s="26" t="s">
        <v>78</v>
      </c>
      <c r="AT5" s="27"/>
      <c r="AU5" s="28"/>
      <c r="AV5" s="46"/>
      <c r="AW5" s="46"/>
      <c r="AX5" s="34"/>
      <c r="AY5" s="26" t="s">
        <v>34</v>
      </c>
      <c r="AZ5" s="27"/>
      <c r="BA5" s="28"/>
      <c r="BB5" s="46"/>
      <c r="BC5" s="46"/>
      <c r="BD5" s="34"/>
      <c r="BE5" s="26" t="s">
        <v>67</v>
      </c>
      <c r="BF5" s="27"/>
      <c r="BG5" s="28"/>
      <c r="BH5" s="46"/>
      <c r="BI5" s="46"/>
      <c r="BK5" s="26" t="s">
        <v>68</v>
      </c>
      <c r="BL5" s="27"/>
      <c r="BM5" s="28"/>
      <c r="BN5" s="46"/>
      <c r="BO5" s="46"/>
      <c r="BQ5" s="26" t="s">
        <v>69</v>
      </c>
      <c r="BR5" s="27"/>
      <c r="BS5" s="28"/>
      <c r="BT5" s="46"/>
      <c r="BU5" s="46"/>
      <c r="BW5" s="59" t="s">
        <v>35</v>
      </c>
      <c r="BX5" s="60"/>
      <c r="BY5" s="61"/>
      <c r="BZ5" s="46"/>
      <c r="CA5" s="46"/>
      <c r="CC5" s="26" t="s">
        <v>36</v>
      </c>
      <c r="CD5" s="27"/>
      <c r="CE5" s="28"/>
      <c r="CF5" s="46"/>
      <c r="CG5" s="46"/>
      <c r="CI5" s="26" t="s">
        <v>37</v>
      </c>
      <c r="CJ5" s="27"/>
      <c r="CK5" s="28"/>
      <c r="CL5" s="46"/>
      <c r="CM5" s="46"/>
      <c r="CN5" s="34"/>
      <c r="CO5" s="26" t="s">
        <v>38</v>
      </c>
      <c r="CP5" s="27"/>
      <c r="CQ5" s="28"/>
      <c r="CR5" s="46"/>
      <c r="CS5" s="46"/>
      <c r="CU5" s="26" t="s">
        <v>39</v>
      </c>
      <c r="CV5" s="27"/>
      <c r="CW5" s="28"/>
      <c r="CX5" s="46"/>
      <c r="CY5" s="46"/>
      <c r="CZ5" s="34"/>
      <c r="DA5" s="84" t="s">
        <v>83</v>
      </c>
      <c r="DB5" s="73"/>
      <c r="DC5" s="74"/>
      <c r="DD5" s="75"/>
      <c r="DE5" s="75"/>
      <c r="DF5" s="34"/>
      <c r="DG5" s="26" t="s">
        <v>40</v>
      </c>
      <c r="DH5" s="27"/>
      <c r="DI5" s="28"/>
      <c r="DJ5" s="46"/>
      <c r="DK5" s="46"/>
      <c r="DM5" s="26" t="s">
        <v>41</v>
      </c>
      <c r="DN5" s="27"/>
      <c r="DO5" s="28"/>
      <c r="DP5" s="46"/>
      <c r="DQ5" s="46"/>
      <c r="DS5" s="26" t="s">
        <v>42</v>
      </c>
      <c r="DT5" s="27"/>
      <c r="DU5" s="28"/>
      <c r="DV5" s="46"/>
      <c r="DW5" s="46"/>
      <c r="DY5" s="26" t="s">
        <v>43</v>
      </c>
      <c r="DZ5" s="27"/>
      <c r="EA5" s="28"/>
      <c r="EB5" s="46"/>
      <c r="EC5" s="46"/>
      <c r="EE5" s="26" t="s">
        <v>44</v>
      </c>
      <c r="EF5" s="27"/>
      <c r="EG5" s="28"/>
      <c r="EH5" s="46"/>
      <c r="EI5" s="46"/>
      <c r="EJ5" s="34"/>
      <c r="EK5" s="26" t="s">
        <v>70</v>
      </c>
      <c r="EL5" s="27"/>
      <c r="EM5" s="28"/>
      <c r="EN5" s="46"/>
      <c r="EO5" s="46"/>
      <c r="EP5" s="34"/>
      <c r="EQ5" s="26" t="s">
        <v>13</v>
      </c>
      <c r="ER5" s="27"/>
      <c r="ES5" s="28"/>
      <c r="ET5" s="46"/>
      <c r="EU5" s="46"/>
      <c r="EV5" s="34"/>
      <c r="EW5" s="66" t="s">
        <v>74</v>
      </c>
      <c r="EX5" s="27"/>
      <c r="EY5" s="28"/>
      <c r="EZ5" s="46"/>
      <c r="FA5" s="46"/>
      <c r="FB5" s="23"/>
      <c r="FC5" s="26" t="s">
        <v>75</v>
      </c>
      <c r="FD5" s="27"/>
      <c r="FE5" s="28"/>
      <c r="FF5" s="46"/>
      <c r="FG5" s="46"/>
    </row>
    <row r="6" spans="1:163" s="13" customFormat="1" ht="12.75">
      <c r="A6" s="51" t="s">
        <v>14</v>
      </c>
      <c r="C6" s="68"/>
      <c r="D6" s="69"/>
      <c r="E6" s="70"/>
      <c r="F6" s="46" t="s">
        <v>79</v>
      </c>
      <c r="G6" s="46" t="s">
        <v>79</v>
      </c>
      <c r="H6" s="38"/>
      <c r="I6" s="45"/>
      <c r="J6" s="58">
        <f>1-P6</f>
        <v>0.00282030000000022</v>
      </c>
      <c r="K6" s="44"/>
      <c r="L6" s="46" t="s">
        <v>79</v>
      </c>
      <c r="M6" s="46" t="s">
        <v>79</v>
      </c>
      <c r="O6" s="45"/>
      <c r="P6" s="63">
        <f>V6+AB6+AH6+AN6+AT6+AZ6+BF6+BL6+BR6+BX6+CD6+CJ6+CP6+CV6+DB6+DH6+DN6+DT6+DZ6+EF6+ER6+EL6</f>
        <v>0.9971796999999998</v>
      </c>
      <c r="Q6" s="44"/>
      <c r="R6" s="46" t="s">
        <v>79</v>
      </c>
      <c r="S6" s="46" t="s">
        <v>79</v>
      </c>
      <c r="U6" s="52"/>
      <c r="V6" s="37">
        <v>0.1505006</v>
      </c>
      <c r="W6" s="53"/>
      <c r="X6" s="46" t="s">
        <v>79</v>
      </c>
      <c r="Y6" s="46" t="s">
        <v>79</v>
      </c>
      <c r="AA6" s="52"/>
      <c r="AB6" s="37">
        <v>0.1692584</v>
      </c>
      <c r="AC6" s="53"/>
      <c r="AD6" s="46" t="s">
        <v>79</v>
      </c>
      <c r="AE6" s="46" t="s">
        <v>79</v>
      </c>
      <c r="AG6" s="52"/>
      <c r="AH6" s="37">
        <v>0.0975766</v>
      </c>
      <c r="AI6" s="53"/>
      <c r="AJ6" s="46" t="s">
        <v>79</v>
      </c>
      <c r="AK6" s="46" t="s">
        <v>79</v>
      </c>
      <c r="AM6" s="52"/>
      <c r="AN6" s="37">
        <v>0.0748131</v>
      </c>
      <c r="AO6" s="53"/>
      <c r="AP6" s="46" t="s">
        <v>79</v>
      </c>
      <c r="AQ6" s="46" t="s">
        <v>79</v>
      </c>
      <c r="AR6" s="31"/>
      <c r="AS6" s="52"/>
      <c r="AT6" s="37">
        <v>0.0021612</v>
      </c>
      <c r="AU6" s="53"/>
      <c r="AV6" s="46" t="s">
        <v>79</v>
      </c>
      <c r="AW6" s="46" t="s">
        <v>79</v>
      </c>
      <c r="AX6" s="31"/>
      <c r="AY6" s="52"/>
      <c r="AZ6" s="37">
        <v>0.0001906</v>
      </c>
      <c r="BA6" s="53"/>
      <c r="BB6" s="46" t="s">
        <v>79</v>
      </c>
      <c r="BC6" s="46" t="s">
        <v>79</v>
      </c>
      <c r="BD6" s="31"/>
      <c r="BE6" s="52"/>
      <c r="BF6" s="37">
        <v>0.0001369</v>
      </c>
      <c r="BG6" s="53"/>
      <c r="BH6" s="46" t="s">
        <v>79</v>
      </c>
      <c r="BI6" s="46" t="s">
        <v>79</v>
      </c>
      <c r="BK6" s="52"/>
      <c r="BL6" s="37">
        <v>0.0023757</v>
      </c>
      <c r="BM6" s="53"/>
      <c r="BN6" s="46" t="s">
        <v>79</v>
      </c>
      <c r="BO6" s="46" t="s">
        <v>79</v>
      </c>
      <c r="BQ6" s="52"/>
      <c r="BR6" s="37">
        <v>0.0591225</v>
      </c>
      <c r="BS6" s="53"/>
      <c r="BT6" s="46" t="s">
        <v>79</v>
      </c>
      <c r="BU6" s="46" t="s">
        <v>79</v>
      </c>
      <c r="BW6" s="62"/>
      <c r="BX6" s="63">
        <v>0.0180534</v>
      </c>
      <c r="BY6" s="64"/>
      <c r="BZ6" s="46" t="s">
        <v>79</v>
      </c>
      <c r="CA6" s="46" t="s">
        <v>79</v>
      </c>
      <c r="CC6" s="52"/>
      <c r="CD6" s="37">
        <v>0.0515053</v>
      </c>
      <c r="CE6" s="53"/>
      <c r="CF6" s="46" t="s">
        <v>79</v>
      </c>
      <c r="CG6" s="46" t="s">
        <v>79</v>
      </c>
      <c r="CI6" s="52"/>
      <c r="CJ6" s="37">
        <v>0.1416042</v>
      </c>
      <c r="CK6" s="53"/>
      <c r="CL6" s="46" t="s">
        <v>79</v>
      </c>
      <c r="CM6" s="46" t="s">
        <v>79</v>
      </c>
      <c r="CN6" s="31"/>
      <c r="CO6" s="52"/>
      <c r="CP6" s="37">
        <v>0.0615602</v>
      </c>
      <c r="CQ6" s="53"/>
      <c r="CR6" s="46" t="s">
        <v>79</v>
      </c>
      <c r="CS6" s="46" t="s">
        <v>79</v>
      </c>
      <c r="CU6" s="52"/>
      <c r="CV6" s="37">
        <v>0.0537414</v>
      </c>
      <c r="CW6" s="53"/>
      <c r="CX6" s="46" t="s">
        <v>79</v>
      </c>
      <c r="CY6" s="46" t="s">
        <v>79</v>
      </c>
      <c r="CZ6" s="31"/>
      <c r="DA6" s="76"/>
      <c r="DB6" s="77">
        <v>0.0069717</v>
      </c>
      <c r="DC6" s="78"/>
      <c r="DD6" s="75" t="s">
        <v>79</v>
      </c>
      <c r="DE6" s="75" t="s">
        <v>79</v>
      </c>
      <c r="DF6" s="31"/>
      <c r="DG6" s="52"/>
      <c r="DH6" s="37">
        <v>0.0002011</v>
      </c>
      <c r="DI6" s="53"/>
      <c r="DJ6" s="46" t="s">
        <v>79</v>
      </c>
      <c r="DK6" s="46" t="s">
        <v>79</v>
      </c>
      <c r="DM6" s="52"/>
      <c r="DN6" s="37">
        <v>0.0470981</v>
      </c>
      <c r="DO6" s="53"/>
      <c r="DP6" s="46" t="s">
        <v>79</v>
      </c>
      <c r="DQ6" s="46" t="s">
        <v>79</v>
      </c>
      <c r="DS6" s="52"/>
      <c r="DT6" s="37">
        <v>0.0028727</v>
      </c>
      <c r="DU6" s="53"/>
      <c r="DV6" s="46" t="s">
        <v>79</v>
      </c>
      <c r="DW6" s="46" t="s">
        <v>79</v>
      </c>
      <c r="DY6" s="52"/>
      <c r="DZ6" s="37">
        <v>0.0487421</v>
      </c>
      <c r="EA6" s="53"/>
      <c r="EB6" s="46" t="s">
        <v>79</v>
      </c>
      <c r="EC6" s="46" t="s">
        <v>79</v>
      </c>
      <c r="EE6" s="52"/>
      <c r="EF6" s="37">
        <v>0.0060754</v>
      </c>
      <c r="EG6" s="53"/>
      <c r="EH6" s="46" t="s">
        <v>79</v>
      </c>
      <c r="EI6" s="46" t="s">
        <v>79</v>
      </c>
      <c r="EJ6" s="31"/>
      <c r="EK6" s="52"/>
      <c r="EL6" s="37">
        <v>0.0026185</v>
      </c>
      <c r="EM6" s="53"/>
      <c r="EN6" s="46" t="s">
        <v>79</v>
      </c>
      <c r="EO6" s="46" t="s">
        <v>79</v>
      </c>
      <c r="EP6" s="31"/>
      <c r="EQ6" s="52"/>
      <c r="ER6" s="37"/>
      <c r="ES6" s="53"/>
      <c r="ET6" s="46" t="s">
        <v>79</v>
      </c>
      <c r="EU6" s="46" t="s">
        <v>79</v>
      </c>
      <c r="EV6" s="31"/>
      <c r="EW6" s="52"/>
      <c r="EX6" s="37">
        <v>0.0008698</v>
      </c>
      <c r="EY6" s="53"/>
      <c r="EZ6" s="46" t="s">
        <v>79</v>
      </c>
      <c r="FA6" s="46" t="s">
        <v>79</v>
      </c>
      <c r="FC6" s="52"/>
      <c r="FD6" s="37">
        <v>0.0019505</v>
      </c>
      <c r="FE6" s="53"/>
      <c r="FF6" s="46" t="s">
        <v>79</v>
      </c>
      <c r="FG6" s="46" t="s">
        <v>79</v>
      </c>
    </row>
    <row r="7" spans="1:163" ht="12.75">
      <c r="A7" s="29"/>
      <c r="C7" s="46" t="s">
        <v>15</v>
      </c>
      <c r="D7" s="46" t="s">
        <v>16</v>
      </c>
      <c r="E7" s="46" t="s">
        <v>4</v>
      </c>
      <c r="F7" s="46" t="s">
        <v>80</v>
      </c>
      <c r="G7" s="46" t="s">
        <v>81</v>
      </c>
      <c r="I7" s="46" t="s">
        <v>15</v>
      </c>
      <c r="J7" s="46" t="s">
        <v>16</v>
      </c>
      <c r="K7" s="46" t="s">
        <v>4</v>
      </c>
      <c r="L7" s="46" t="s">
        <v>80</v>
      </c>
      <c r="M7" s="46" t="s">
        <v>81</v>
      </c>
      <c r="O7" s="46" t="s">
        <v>15</v>
      </c>
      <c r="P7" s="46" t="s">
        <v>16</v>
      </c>
      <c r="Q7" s="46" t="s">
        <v>4</v>
      </c>
      <c r="R7" s="46" t="s">
        <v>80</v>
      </c>
      <c r="S7" s="46" t="s">
        <v>81</v>
      </c>
      <c r="U7" s="30" t="s">
        <v>15</v>
      </c>
      <c r="V7" s="30" t="s">
        <v>16</v>
      </c>
      <c r="W7" s="30" t="s">
        <v>4</v>
      </c>
      <c r="X7" s="46" t="s">
        <v>80</v>
      </c>
      <c r="Y7" s="46" t="s">
        <v>81</v>
      </c>
      <c r="AA7" s="30" t="s">
        <v>15</v>
      </c>
      <c r="AB7" s="30" t="s">
        <v>16</v>
      </c>
      <c r="AC7" s="30" t="s">
        <v>4</v>
      </c>
      <c r="AD7" s="46" t="s">
        <v>80</v>
      </c>
      <c r="AE7" s="46" t="s">
        <v>81</v>
      </c>
      <c r="AG7" s="30" t="s">
        <v>15</v>
      </c>
      <c r="AH7" s="30" t="s">
        <v>16</v>
      </c>
      <c r="AI7" s="30" t="s">
        <v>4</v>
      </c>
      <c r="AJ7" s="46" t="s">
        <v>80</v>
      </c>
      <c r="AK7" s="46" t="s">
        <v>81</v>
      </c>
      <c r="AM7" s="30" t="s">
        <v>15</v>
      </c>
      <c r="AN7" s="30" t="s">
        <v>16</v>
      </c>
      <c r="AO7" s="30" t="s">
        <v>4</v>
      </c>
      <c r="AP7" s="46" t="s">
        <v>80</v>
      </c>
      <c r="AQ7" s="46" t="s">
        <v>81</v>
      </c>
      <c r="AR7" s="35"/>
      <c r="AS7" s="30" t="s">
        <v>15</v>
      </c>
      <c r="AT7" s="30" t="s">
        <v>16</v>
      </c>
      <c r="AU7" s="30" t="s">
        <v>4</v>
      </c>
      <c r="AV7" s="46" t="s">
        <v>80</v>
      </c>
      <c r="AW7" s="46" t="s">
        <v>81</v>
      </c>
      <c r="AX7" s="35"/>
      <c r="AY7" s="30" t="s">
        <v>15</v>
      </c>
      <c r="AZ7" s="30" t="s">
        <v>16</v>
      </c>
      <c r="BA7" s="30" t="s">
        <v>4</v>
      </c>
      <c r="BB7" s="46" t="s">
        <v>80</v>
      </c>
      <c r="BC7" s="46" t="s">
        <v>81</v>
      </c>
      <c r="BD7" s="35"/>
      <c r="BE7" s="30" t="s">
        <v>15</v>
      </c>
      <c r="BF7" s="30" t="s">
        <v>16</v>
      </c>
      <c r="BG7" s="30" t="s">
        <v>4</v>
      </c>
      <c r="BH7" s="46" t="s">
        <v>80</v>
      </c>
      <c r="BI7" s="46" t="s">
        <v>81</v>
      </c>
      <c r="BK7" s="30" t="s">
        <v>15</v>
      </c>
      <c r="BL7" s="30" t="s">
        <v>16</v>
      </c>
      <c r="BM7" s="30" t="s">
        <v>4</v>
      </c>
      <c r="BN7" s="46" t="s">
        <v>80</v>
      </c>
      <c r="BO7" s="46" t="s">
        <v>81</v>
      </c>
      <c r="BQ7" s="30" t="s">
        <v>15</v>
      </c>
      <c r="BR7" s="30" t="s">
        <v>16</v>
      </c>
      <c r="BS7" s="30" t="s">
        <v>4</v>
      </c>
      <c r="BT7" s="46" t="s">
        <v>80</v>
      </c>
      <c r="BU7" s="46" t="s">
        <v>81</v>
      </c>
      <c r="BW7" s="30" t="s">
        <v>15</v>
      </c>
      <c r="BX7" s="30" t="s">
        <v>16</v>
      </c>
      <c r="BY7" s="30" t="s">
        <v>4</v>
      </c>
      <c r="BZ7" s="46" t="s">
        <v>80</v>
      </c>
      <c r="CA7" s="46" t="s">
        <v>81</v>
      </c>
      <c r="CC7" s="30" t="s">
        <v>15</v>
      </c>
      <c r="CD7" s="30" t="s">
        <v>16</v>
      </c>
      <c r="CE7" s="30" t="s">
        <v>4</v>
      </c>
      <c r="CF7" s="46" t="s">
        <v>80</v>
      </c>
      <c r="CG7" s="46" t="s">
        <v>81</v>
      </c>
      <c r="CI7" s="30" t="s">
        <v>15</v>
      </c>
      <c r="CJ7" s="30" t="s">
        <v>16</v>
      </c>
      <c r="CK7" s="30" t="s">
        <v>4</v>
      </c>
      <c r="CL7" s="46" t="s">
        <v>80</v>
      </c>
      <c r="CM7" s="46" t="s">
        <v>81</v>
      </c>
      <c r="CN7" s="35"/>
      <c r="CO7" s="30" t="s">
        <v>15</v>
      </c>
      <c r="CP7" s="30" t="s">
        <v>16</v>
      </c>
      <c r="CQ7" s="30" t="s">
        <v>4</v>
      </c>
      <c r="CR7" s="46" t="s">
        <v>80</v>
      </c>
      <c r="CS7" s="46" t="s">
        <v>81</v>
      </c>
      <c r="CU7" s="30" t="s">
        <v>15</v>
      </c>
      <c r="CV7" s="30" t="s">
        <v>16</v>
      </c>
      <c r="CW7" s="30" t="s">
        <v>4</v>
      </c>
      <c r="CX7" s="46" t="s">
        <v>80</v>
      </c>
      <c r="CY7" s="46" t="s">
        <v>81</v>
      </c>
      <c r="CZ7" s="35"/>
      <c r="DA7" s="79" t="s">
        <v>15</v>
      </c>
      <c r="DB7" s="79" t="s">
        <v>16</v>
      </c>
      <c r="DC7" s="79" t="s">
        <v>4</v>
      </c>
      <c r="DD7" s="75" t="s">
        <v>80</v>
      </c>
      <c r="DE7" s="75" t="s">
        <v>81</v>
      </c>
      <c r="DF7" s="35"/>
      <c r="DG7" s="30" t="s">
        <v>15</v>
      </c>
      <c r="DH7" s="30" t="s">
        <v>16</v>
      </c>
      <c r="DI7" s="30" t="s">
        <v>4</v>
      </c>
      <c r="DJ7" s="46" t="s">
        <v>80</v>
      </c>
      <c r="DK7" s="46" t="s">
        <v>81</v>
      </c>
      <c r="DM7" s="30" t="s">
        <v>15</v>
      </c>
      <c r="DN7" s="30" t="s">
        <v>16</v>
      </c>
      <c r="DO7" s="30" t="s">
        <v>4</v>
      </c>
      <c r="DP7" s="46" t="s">
        <v>80</v>
      </c>
      <c r="DQ7" s="46" t="s">
        <v>81</v>
      </c>
      <c r="DS7" s="30" t="s">
        <v>15</v>
      </c>
      <c r="DT7" s="30" t="s">
        <v>16</v>
      </c>
      <c r="DU7" s="30" t="s">
        <v>4</v>
      </c>
      <c r="DV7" s="46" t="s">
        <v>80</v>
      </c>
      <c r="DW7" s="46" t="s">
        <v>81</v>
      </c>
      <c r="DY7" s="30" t="s">
        <v>15</v>
      </c>
      <c r="DZ7" s="30" t="s">
        <v>16</v>
      </c>
      <c r="EA7" s="30" t="s">
        <v>4</v>
      </c>
      <c r="EB7" s="46" t="s">
        <v>80</v>
      </c>
      <c r="EC7" s="46" t="s">
        <v>81</v>
      </c>
      <c r="EE7" s="30" t="s">
        <v>15</v>
      </c>
      <c r="EF7" s="30" t="s">
        <v>16</v>
      </c>
      <c r="EG7" s="30" t="s">
        <v>4</v>
      </c>
      <c r="EH7" s="46" t="s">
        <v>80</v>
      </c>
      <c r="EI7" s="46" t="s">
        <v>81</v>
      </c>
      <c r="EJ7" s="35"/>
      <c r="EK7" s="30" t="s">
        <v>15</v>
      </c>
      <c r="EL7" s="30" t="s">
        <v>16</v>
      </c>
      <c r="EM7" s="30" t="s">
        <v>4</v>
      </c>
      <c r="EN7" s="46" t="s">
        <v>80</v>
      </c>
      <c r="EO7" s="46" t="s">
        <v>81</v>
      </c>
      <c r="EP7" s="35"/>
      <c r="EQ7" s="30" t="s">
        <v>15</v>
      </c>
      <c r="ER7" s="30" t="s">
        <v>16</v>
      </c>
      <c r="ES7" s="30" t="s">
        <v>4</v>
      </c>
      <c r="ET7" s="46" t="s">
        <v>80</v>
      </c>
      <c r="EU7" s="46" t="s">
        <v>81</v>
      </c>
      <c r="EV7" s="35"/>
      <c r="EW7" s="30" t="s">
        <v>15</v>
      </c>
      <c r="EX7" s="30" t="s">
        <v>16</v>
      </c>
      <c r="EY7" s="30" t="s">
        <v>4</v>
      </c>
      <c r="EZ7" s="46" t="s">
        <v>80</v>
      </c>
      <c r="FA7" s="46" t="s">
        <v>81</v>
      </c>
      <c r="FB7" s="23"/>
      <c r="FC7" s="30" t="s">
        <v>15</v>
      </c>
      <c r="FD7" s="30" t="s">
        <v>16</v>
      </c>
      <c r="FE7" s="30" t="s">
        <v>4</v>
      </c>
      <c r="FF7" s="46" t="s">
        <v>80</v>
      </c>
      <c r="FG7" s="46" t="s">
        <v>81</v>
      </c>
    </row>
    <row r="8" spans="1:173" ht="12.75">
      <c r="A8" s="56">
        <v>43374</v>
      </c>
      <c r="C8" s="38"/>
      <c r="D8" s="38">
        <v>361625</v>
      </c>
      <c r="E8" s="41">
        <f aca="true" t="shared" si="0" ref="E8:E13">C8+D8</f>
        <v>361625</v>
      </c>
      <c r="F8" s="41">
        <v>269338</v>
      </c>
      <c r="G8" s="41">
        <v>44635</v>
      </c>
      <c r="I8" s="41">
        <f aca="true" t="shared" si="1" ref="I8:J13">EW8+FC8</f>
        <v>0</v>
      </c>
      <c r="J8" s="47">
        <f t="shared" si="1"/>
        <v>1019.8909875</v>
      </c>
      <c r="K8" s="41">
        <f aca="true" t="shared" si="2" ref="K8:K13">I8+J8</f>
        <v>1019.8909875</v>
      </c>
      <c r="L8" s="41">
        <f aca="true" t="shared" si="3" ref="L8:M13">EZ8+FF8</f>
        <v>759.6139614</v>
      </c>
      <c r="M8" s="41">
        <f t="shared" si="3"/>
        <v>125.88409050000001</v>
      </c>
      <c r="O8" s="38"/>
      <c r="P8" s="38">
        <f aca="true" t="shared" si="4" ref="P8:P13">V8+AB8+AH8+AN8+AT8+AZ8+BF8+BL8+BR8+BX8+CD8+CJ8+CP8+CV8+DB8+DH8+DN8+DT8+DZ8+EF8+ER8+EL8</f>
        <v>360605.1090125</v>
      </c>
      <c r="Q8" s="38">
        <f aca="true" t="shared" si="5" ref="Q8:Q13">O8+P8</f>
        <v>360605.1090125</v>
      </c>
      <c r="R8" s="38">
        <f aca="true" t="shared" si="6" ref="R8:S13">X8+AD8+AJ8+AP8+AV8+BB8+BH8+BN8+BT8+BZ8+CF8+CL8+CR8+CX8+DD8+DJ8+DP8+DV8+EB8+EH8+EN8+ET8</f>
        <v>268578.38603860006</v>
      </c>
      <c r="S8" s="38">
        <f t="shared" si="6"/>
        <v>44509.11590949998</v>
      </c>
      <c r="U8" s="55"/>
      <c r="V8" s="55">
        <f aca="true" t="shared" si="7" ref="V8:V13">D8*15.05006/100</f>
        <v>54424.779474999996</v>
      </c>
      <c r="W8" s="38">
        <f aca="true" t="shared" si="8" ref="W8:W13">U8+V8</f>
        <v>54424.779474999996</v>
      </c>
      <c r="X8" s="38">
        <f aca="true" t="shared" si="9" ref="X8:X13">V$6*$F8</f>
        <v>40535.530602800005</v>
      </c>
      <c r="Y8" s="38">
        <f aca="true" t="shared" si="10" ref="Y8:Y13">V$6*$G8</f>
        <v>6717.594281000001</v>
      </c>
      <c r="Z8" s="38"/>
      <c r="AA8" s="38"/>
      <c r="AB8" s="38">
        <f aca="true" t="shared" si="11" ref="AB8:AB13">D8*16.92584/100</f>
        <v>61208.068900000006</v>
      </c>
      <c r="AC8" s="38">
        <f aca="true" t="shared" si="12" ref="AC8:AC13">AA8+AB8</f>
        <v>61208.068900000006</v>
      </c>
      <c r="AD8" s="38">
        <f aca="true" t="shared" si="13" ref="AD8:AD13">AB$6*$F8</f>
        <v>45587.7189392</v>
      </c>
      <c r="AE8" s="38">
        <f aca="true" t="shared" si="14" ref="AE8:AE13">AB$6*$G8</f>
        <v>7554.8486840000005</v>
      </c>
      <c r="AF8" s="38"/>
      <c r="AG8" s="38"/>
      <c r="AH8" s="38">
        <f aca="true" t="shared" si="15" ref="AH8:AH13">D8*9.75766/100</f>
        <v>35286.137975</v>
      </c>
      <c r="AI8" s="38">
        <f aca="true" t="shared" si="16" ref="AI8:AI13">AG8+AH8</f>
        <v>35286.137975</v>
      </c>
      <c r="AJ8" s="38">
        <f aca="true" t="shared" si="17" ref="AJ8:AJ13">AH$6*$F8</f>
        <v>26281.086290799998</v>
      </c>
      <c r="AK8" s="38">
        <f aca="true" t="shared" si="18" ref="AK8:AK13">AH$6*$G8</f>
        <v>4355.331541</v>
      </c>
      <c r="AL8" s="38"/>
      <c r="AM8" s="38"/>
      <c r="AN8" s="38">
        <f aca="true" t="shared" si="19" ref="AN8:AN13">D8*7.48131/100</f>
        <v>27054.2872875</v>
      </c>
      <c r="AO8" s="38">
        <f aca="true" t="shared" si="20" ref="AO8:AO13">AM8+AN8</f>
        <v>27054.2872875</v>
      </c>
      <c r="AP8" s="38">
        <f aca="true" t="shared" si="21" ref="AP8:AP13">AN$6*$F8</f>
        <v>20150.0107278</v>
      </c>
      <c r="AQ8" s="38">
        <f aca="true" t="shared" si="22" ref="AQ8:AQ13">AN$6*$G8</f>
        <v>3339.2827184999996</v>
      </c>
      <c r="AR8" s="38"/>
      <c r="AS8" s="38"/>
      <c r="AT8" s="38">
        <f aca="true" t="shared" si="23" ref="AT8:AT13">D8*0.21612/100</f>
        <v>781.54395</v>
      </c>
      <c r="AU8" s="38">
        <f aca="true" t="shared" si="24" ref="AU8:AU13">AS8+AT8</f>
        <v>781.54395</v>
      </c>
      <c r="AV8" s="38">
        <f aca="true" t="shared" si="25" ref="AV8:AV13">AT$6*$F8</f>
        <v>582.0932856</v>
      </c>
      <c r="AW8" s="38">
        <f aca="true" t="shared" si="26" ref="AW8:AW13">AT$6*$G8</f>
        <v>96.46516199999999</v>
      </c>
      <c r="AX8" s="38"/>
      <c r="AY8" s="38"/>
      <c r="AZ8" s="38">
        <f aca="true" t="shared" si="27" ref="AZ8:AZ13">D8*0.01906/100</f>
        <v>68.925725</v>
      </c>
      <c r="BA8" s="38">
        <f aca="true" t="shared" si="28" ref="BA8:BA13">AY8+AZ8</f>
        <v>68.925725</v>
      </c>
      <c r="BB8" s="38">
        <f aca="true" t="shared" si="29" ref="BB8:BB13">AZ$6*$F8</f>
        <v>51.3358228</v>
      </c>
      <c r="BC8" s="38">
        <f aca="true" t="shared" si="30" ref="BC8:BC13">AZ$6*$G8</f>
        <v>8.507431</v>
      </c>
      <c r="BD8" s="38"/>
      <c r="BE8" s="38"/>
      <c r="BF8" s="38">
        <f aca="true" t="shared" si="31" ref="BF8:BF13">D8*0.01369/100</f>
        <v>49.506462500000005</v>
      </c>
      <c r="BG8" s="38">
        <f aca="true" t="shared" si="32" ref="BG8:BG13">BE8+BF8</f>
        <v>49.506462500000005</v>
      </c>
      <c r="BH8" s="38">
        <f aca="true" t="shared" si="33" ref="BH8:BH13">BF$6*$F8</f>
        <v>36.8723722</v>
      </c>
      <c r="BI8" s="38">
        <f aca="true" t="shared" si="34" ref="BI8:BI13">BF$6*$G8</f>
        <v>6.1105315</v>
      </c>
      <c r="BJ8" s="38"/>
      <c r="BK8" s="38"/>
      <c r="BL8" s="38">
        <f aca="true" t="shared" si="35" ref="BL8:BL13">D8*0.23757/100</f>
        <v>859.1125125</v>
      </c>
      <c r="BM8" s="38">
        <f aca="true" t="shared" si="36" ref="BM8:BM13">BK8+BL8</f>
        <v>859.1125125</v>
      </c>
      <c r="BN8" s="38">
        <f aca="true" t="shared" si="37" ref="BN8:BN13">BL$6*$F8</f>
        <v>639.8662866000001</v>
      </c>
      <c r="BO8" s="38">
        <f aca="true" t="shared" si="38" ref="BO8:BO13">BL$6*$G8</f>
        <v>106.0393695</v>
      </c>
      <c r="BP8" s="38"/>
      <c r="BQ8" s="38"/>
      <c r="BR8" s="38">
        <f aca="true" t="shared" si="39" ref="BR8:BR13">D8*5.91225/100</f>
        <v>21380.1740625</v>
      </c>
      <c r="BS8" s="38">
        <f aca="true" t="shared" si="40" ref="BS8:BS13">BQ8+BR8</f>
        <v>21380.1740625</v>
      </c>
      <c r="BT8" s="38">
        <f aca="true" t="shared" si="41" ref="BT8:BT13">BR$6*$F8</f>
        <v>15923.935905</v>
      </c>
      <c r="BU8" s="38">
        <f aca="true" t="shared" si="42" ref="BU8:BU13">BR$6*$G8</f>
        <v>2638.9327875</v>
      </c>
      <c r="BV8" s="38"/>
      <c r="BW8" s="38"/>
      <c r="BX8" s="38">
        <f aca="true" t="shared" si="43" ref="BX8:BX13">D8*1.80534/100</f>
        <v>6528.560775</v>
      </c>
      <c r="BY8" s="38">
        <f aca="true" t="shared" si="44" ref="BY8:BY13">BW8+BX8</f>
        <v>6528.560775</v>
      </c>
      <c r="BZ8" s="38">
        <f aca="true" t="shared" si="45" ref="BZ8:BZ13">BX$6*$F8</f>
        <v>4862.466649200001</v>
      </c>
      <c r="CA8" s="38">
        <f aca="true" t="shared" si="46" ref="CA8:CA13">BX$6*$G8</f>
        <v>805.8135090000001</v>
      </c>
      <c r="CB8" s="38"/>
      <c r="CC8" s="38"/>
      <c r="CD8" s="38">
        <f aca="true" t="shared" si="47" ref="CD8:CD13">D8*5.15053/100</f>
        <v>18625.604112499997</v>
      </c>
      <c r="CE8" s="38">
        <f aca="true" t="shared" si="48" ref="CE8:CE13">CC8+CD8</f>
        <v>18625.604112499997</v>
      </c>
      <c r="CF8" s="38">
        <f aca="true" t="shared" si="49" ref="CF8:CF13">CD$6*$F8</f>
        <v>13872.334491399999</v>
      </c>
      <c r="CG8" s="38">
        <f aca="true" t="shared" si="50" ref="CG8:CG13">CD$6*$G8</f>
        <v>2298.9390654999997</v>
      </c>
      <c r="CH8" s="38"/>
      <c r="CI8" s="38"/>
      <c r="CJ8" s="38">
        <f aca="true" t="shared" si="51" ref="CJ8:CJ13">D8*14.16042/100</f>
        <v>51207.618825000005</v>
      </c>
      <c r="CK8" s="38">
        <f aca="true" t="shared" si="52" ref="CK8:CK13">CI8+CJ8</f>
        <v>51207.618825000005</v>
      </c>
      <c r="CL8" s="38">
        <f aca="true" t="shared" si="53" ref="CL8:CL13">CJ$6*$F8</f>
        <v>38139.3920196</v>
      </c>
      <c r="CM8" s="38">
        <f aca="true" t="shared" si="54" ref="CM8:CM13">CJ$6*$G8</f>
        <v>6320.5034670000005</v>
      </c>
      <c r="CN8" s="38"/>
      <c r="CO8" s="38"/>
      <c r="CP8" s="38">
        <f aca="true" t="shared" si="55" ref="CP8:CP13">D8*6.15602/100</f>
        <v>22261.707325</v>
      </c>
      <c r="CQ8" s="38">
        <f aca="true" t="shared" si="56" ref="CQ8:CQ13">CO8+CP8</f>
        <v>22261.707325</v>
      </c>
      <c r="CR8" s="38">
        <f aca="true" t="shared" si="57" ref="CR8:CR13">CP$6*$F8</f>
        <v>16580.5011476</v>
      </c>
      <c r="CS8" s="38">
        <f aca="true" t="shared" si="58" ref="CS8:CS13">CP$6*$G8</f>
        <v>2747.739527</v>
      </c>
      <c r="CT8" s="38"/>
      <c r="CU8" s="38"/>
      <c r="CV8" s="38">
        <f aca="true" t="shared" si="59" ref="CV8:CV13">D8*5.37414/100</f>
        <v>19434.233775</v>
      </c>
      <c r="CW8" s="38">
        <f aca="true" t="shared" si="60" ref="CW8:CW13">CU8+CV8</f>
        <v>19434.233775</v>
      </c>
      <c r="CX8" s="38">
        <f aca="true" t="shared" si="61" ref="CX8:CX13">CV$6*$F8</f>
        <v>14474.6011932</v>
      </c>
      <c r="CY8" s="38">
        <f aca="true" t="shared" si="62" ref="CY8:CY13">CV$6*$G8</f>
        <v>2398.747389</v>
      </c>
      <c r="CZ8" s="38"/>
      <c r="DA8" s="80"/>
      <c r="DB8" s="80">
        <f aca="true" t="shared" si="63" ref="DB8:DB13">D8*0.69717/100</f>
        <v>2521.1410124999998</v>
      </c>
      <c r="DC8" s="80">
        <f aca="true" t="shared" si="64" ref="DC8:DC13">DA8+DB8</f>
        <v>2521.1410124999998</v>
      </c>
      <c r="DD8" s="38">
        <f aca="true" t="shared" si="65" ref="DD8:DD13">DB$6*$F8</f>
        <v>1877.7437346</v>
      </c>
      <c r="DE8" s="38">
        <f aca="true" t="shared" si="66" ref="DE8:DE13">DB$6*$G8</f>
        <v>311.1818295</v>
      </c>
      <c r="DF8" s="38"/>
      <c r="DG8" s="38"/>
      <c r="DH8" s="38">
        <f aca="true" t="shared" si="67" ref="DH8:DH13">D8*0.02011/100</f>
        <v>72.7227875</v>
      </c>
      <c r="DI8" s="38">
        <f aca="true" t="shared" si="68" ref="DI8:DI13">DG8+DH8</f>
        <v>72.7227875</v>
      </c>
      <c r="DJ8" s="38">
        <f aca="true" t="shared" si="69" ref="DJ8:DJ13">DH$6*$F8</f>
        <v>54.1638718</v>
      </c>
      <c r="DK8" s="38">
        <f aca="true" t="shared" si="70" ref="DK8:DK13">DH$6*$G8</f>
        <v>8.9760985</v>
      </c>
      <c r="DL8" s="38"/>
      <c r="DM8" s="38"/>
      <c r="DN8" s="38">
        <f aca="true" t="shared" si="71" ref="DN8:DN13">D8*4.70981/100</f>
        <v>17031.8504125</v>
      </c>
      <c r="DO8" s="38">
        <f aca="true" t="shared" si="72" ref="DO8:DO13">DM8+DN8</f>
        <v>17031.8504125</v>
      </c>
      <c r="DP8" s="38">
        <f aca="true" t="shared" si="73" ref="DP8:DP13">DN$6*$F8</f>
        <v>12685.308057799999</v>
      </c>
      <c r="DQ8" s="38">
        <f aca="true" t="shared" si="74" ref="DQ8:DQ13">DN$6*$G8</f>
        <v>2102.2236935</v>
      </c>
      <c r="DR8" s="38"/>
      <c r="DS8" s="38"/>
      <c r="DT8" s="38">
        <f aca="true" t="shared" si="75" ref="DT8:DT13">D8*0.28727/100</f>
        <v>1038.8401375</v>
      </c>
      <c r="DU8" s="38">
        <f aca="true" t="shared" si="76" ref="DU8:DU13">DS8+DT8</f>
        <v>1038.8401375</v>
      </c>
      <c r="DV8" s="38">
        <f aca="true" t="shared" si="77" ref="DV8:DV13">DT$6*$F8</f>
        <v>773.7272726</v>
      </c>
      <c r="DW8" s="38">
        <f aca="true" t="shared" si="78" ref="DW8:DW13">DT$6*$G8</f>
        <v>128.22296450000002</v>
      </c>
      <c r="DX8" s="38"/>
      <c r="DY8" s="38"/>
      <c r="DZ8" s="38">
        <f aca="true" t="shared" si="79" ref="DZ8:DZ13">D8*4.87421/100</f>
        <v>17626.3619125</v>
      </c>
      <c r="EA8" s="38">
        <f aca="true" t="shared" si="80" ref="EA8:EA13">DY8+DZ8</f>
        <v>17626.3619125</v>
      </c>
      <c r="EB8" s="38">
        <f aca="true" t="shared" si="81" ref="EB8:EB13">DZ$6*$F8</f>
        <v>13128.099729799998</v>
      </c>
      <c r="EC8" s="38">
        <f aca="true" t="shared" si="82" ref="EC8:EC13">DZ$6*$G8</f>
        <v>2175.6036335</v>
      </c>
      <c r="ED8" s="38"/>
      <c r="EE8" s="38"/>
      <c r="EF8" s="38">
        <f aca="true" t="shared" si="83" ref="EF8:EF13">D8*0.60754/100</f>
        <v>2197.016525</v>
      </c>
      <c r="EG8" s="38">
        <f aca="true" t="shared" si="84" ref="EG8:EG13">EE8+EF8</f>
        <v>2197.016525</v>
      </c>
      <c r="EH8" s="38">
        <f aca="true" t="shared" si="85" ref="EH8:EH13">EF$6*$F8</f>
        <v>1636.3360852</v>
      </c>
      <c r="EI8" s="38">
        <f aca="true" t="shared" si="86" ref="EI8:EI13">EF$6*$G8</f>
        <v>271.175479</v>
      </c>
      <c r="EJ8" s="38"/>
      <c r="EK8" s="38"/>
      <c r="EL8" s="38">
        <f aca="true" t="shared" si="87" ref="EL8:EL13">D8*0.26185/100</f>
        <v>946.9150625000001</v>
      </c>
      <c r="EM8" s="38">
        <f aca="true" t="shared" si="88" ref="EM8:EM13">EK8+EL8</f>
        <v>946.9150625000001</v>
      </c>
      <c r="EN8" s="38">
        <f aca="true" t="shared" si="89" ref="EN8:EN13">EL$6*$F8</f>
        <v>705.261553</v>
      </c>
      <c r="EO8" s="38">
        <f aca="true" t="shared" si="90" ref="EO8:EO13">EL$6*$G8</f>
        <v>116.87674750000001</v>
      </c>
      <c r="EP8" s="38"/>
      <c r="EQ8" s="38"/>
      <c r="ER8" s="38"/>
      <c r="ES8" s="38"/>
      <c r="ET8" s="38"/>
      <c r="EU8" s="38"/>
      <c r="EV8" s="38"/>
      <c r="EW8" s="55">
        <f aca="true" t="shared" si="91" ref="EW8:EX13">C8*0.08698/100</f>
        <v>0</v>
      </c>
      <c r="EX8" s="55">
        <f t="shared" si="91"/>
        <v>314.541425</v>
      </c>
      <c r="EY8" s="38">
        <f aca="true" t="shared" si="92" ref="EY8:EY13">EW8+EX8</f>
        <v>314.541425</v>
      </c>
      <c r="EZ8" s="38">
        <f aca="true" t="shared" si="93" ref="EZ8:EZ13">EX$6*$F8</f>
        <v>234.2701924</v>
      </c>
      <c r="FA8" s="38">
        <f aca="true" t="shared" si="94" ref="FA8:FA13">EX$6*$G8</f>
        <v>38.823523</v>
      </c>
      <c r="FB8" s="38"/>
      <c r="FC8" s="38">
        <f aca="true" t="shared" si="95" ref="FC8:FD13">C8*0.19505/100</f>
        <v>0</v>
      </c>
      <c r="FD8" s="38">
        <f t="shared" si="95"/>
        <v>705.3495625</v>
      </c>
      <c r="FE8" s="38">
        <f aca="true" t="shared" si="96" ref="FE8:FE13">FC8+FD8</f>
        <v>705.3495625</v>
      </c>
      <c r="FF8" s="38">
        <f aca="true" t="shared" si="97" ref="FF8:FF13">FD$6*$F8</f>
        <v>525.343769</v>
      </c>
      <c r="FG8" s="38">
        <f aca="true" t="shared" si="98" ref="FG8:FG13">FD$6*$G8</f>
        <v>87.0605675</v>
      </c>
      <c r="FH8" s="38"/>
      <c r="FI8" s="38"/>
      <c r="FJ8" s="38"/>
      <c r="FK8" s="38"/>
      <c r="FL8" s="38"/>
      <c r="FM8" s="38"/>
      <c r="FN8" s="38"/>
      <c r="FO8" s="38"/>
      <c r="FP8" s="38"/>
      <c r="FQ8" s="38"/>
    </row>
    <row r="9" spans="1:173" s="57" customFormat="1" ht="12.75">
      <c r="A9" s="56">
        <v>43556</v>
      </c>
      <c r="C9" s="55">
        <v>4725000</v>
      </c>
      <c r="D9" s="55">
        <v>361625</v>
      </c>
      <c r="E9" s="41">
        <f t="shared" si="0"/>
        <v>5086625</v>
      </c>
      <c r="F9" s="41">
        <v>269338</v>
      </c>
      <c r="G9" s="41">
        <v>44635</v>
      </c>
      <c r="H9" s="55"/>
      <c r="I9" s="41">
        <f t="shared" si="1"/>
        <v>13325.9175</v>
      </c>
      <c r="J9" s="47">
        <f t="shared" si="1"/>
        <v>1019.8909875</v>
      </c>
      <c r="K9" s="41">
        <f t="shared" si="2"/>
        <v>14345.8084875</v>
      </c>
      <c r="L9" s="41">
        <f t="shared" si="3"/>
        <v>759.6139614</v>
      </c>
      <c r="M9" s="41">
        <f t="shared" si="3"/>
        <v>125.88409050000001</v>
      </c>
      <c r="O9" s="38">
        <f>U9+AA9+AG9+AM9+AS9+AY9+BE9+BK9+BQ9+BW9+CC9+CI9+CO9+CU9+DA9+DG9+DM9+DS9+DY9+EE9+EQ9+EK9</f>
        <v>4711674.082499999</v>
      </c>
      <c r="P9" s="38">
        <f t="shared" si="4"/>
        <v>360605.1090125</v>
      </c>
      <c r="Q9" s="38">
        <f t="shared" si="5"/>
        <v>5072279.191512499</v>
      </c>
      <c r="R9" s="38">
        <f t="shared" si="6"/>
        <v>268578.38603860006</v>
      </c>
      <c r="S9" s="38">
        <f t="shared" si="6"/>
        <v>44509.11590949998</v>
      </c>
      <c r="U9" s="55">
        <f>C9*15.05006/100</f>
        <v>711115.335</v>
      </c>
      <c r="V9" s="55">
        <f t="shared" si="7"/>
        <v>54424.779474999996</v>
      </c>
      <c r="W9" s="38">
        <f t="shared" si="8"/>
        <v>765540.114475</v>
      </c>
      <c r="X9" s="38">
        <f t="shared" si="9"/>
        <v>40535.530602800005</v>
      </c>
      <c r="Y9" s="38">
        <f t="shared" si="10"/>
        <v>6717.594281000001</v>
      </c>
      <c r="Z9" s="55"/>
      <c r="AA9" s="38">
        <f>C9*16.92584/100</f>
        <v>799745.94</v>
      </c>
      <c r="AB9" s="38">
        <f t="shared" si="11"/>
        <v>61208.068900000006</v>
      </c>
      <c r="AC9" s="38">
        <f t="shared" si="12"/>
        <v>860954.0088999999</v>
      </c>
      <c r="AD9" s="38">
        <f t="shared" si="13"/>
        <v>45587.7189392</v>
      </c>
      <c r="AE9" s="38">
        <f t="shared" si="14"/>
        <v>7554.8486840000005</v>
      </c>
      <c r="AF9" s="55"/>
      <c r="AG9" s="38">
        <f>C9*9.75766/100</f>
        <v>461049.435</v>
      </c>
      <c r="AH9" s="38">
        <f t="shared" si="15"/>
        <v>35286.137975</v>
      </c>
      <c r="AI9" s="38">
        <f t="shared" si="16"/>
        <v>496335.572975</v>
      </c>
      <c r="AJ9" s="38">
        <f t="shared" si="17"/>
        <v>26281.086290799998</v>
      </c>
      <c r="AK9" s="38">
        <f t="shared" si="18"/>
        <v>4355.331541</v>
      </c>
      <c r="AL9" s="55"/>
      <c r="AM9" s="38">
        <f>C9*7.48131/100</f>
        <v>353491.8975</v>
      </c>
      <c r="AN9" s="38">
        <f t="shared" si="19"/>
        <v>27054.2872875</v>
      </c>
      <c r="AO9" s="38">
        <f t="shared" si="20"/>
        <v>380546.1847875</v>
      </c>
      <c r="AP9" s="38">
        <f t="shared" si="21"/>
        <v>20150.0107278</v>
      </c>
      <c r="AQ9" s="38">
        <f t="shared" si="22"/>
        <v>3339.2827184999996</v>
      </c>
      <c r="AR9" s="55"/>
      <c r="AS9" s="38">
        <f>C9*0.21612/100</f>
        <v>10211.67</v>
      </c>
      <c r="AT9" s="38">
        <f t="shared" si="23"/>
        <v>781.54395</v>
      </c>
      <c r="AU9" s="38">
        <f t="shared" si="24"/>
        <v>10993.21395</v>
      </c>
      <c r="AV9" s="38">
        <f t="shared" si="25"/>
        <v>582.0932856</v>
      </c>
      <c r="AW9" s="38">
        <f t="shared" si="26"/>
        <v>96.46516199999999</v>
      </c>
      <c r="AX9" s="55"/>
      <c r="AY9" s="38">
        <f>C9*0.01906/100</f>
        <v>900.585</v>
      </c>
      <c r="AZ9" s="38">
        <f t="shared" si="27"/>
        <v>68.925725</v>
      </c>
      <c r="BA9" s="38">
        <f t="shared" si="28"/>
        <v>969.5107250000001</v>
      </c>
      <c r="BB9" s="38">
        <f t="shared" si="29"/>
        <v>51.3358228</v>
      </c>
      <c r="BC9" s="38">
        <f t="shared" si="30"/>
        <v>8.507431</v>
      </c>
      <c r="BD9" s="55"/>
      <c r="BE9" s="38">
        <f>C9*0.01369/100</f>
        <v>646.8525000000001</v>
      </c>
      <c r="BF9" s="38">
        <f t="shared" si="31"/>
        <v>49.506462500000005</v>
      </c>
      <c r="BG9" s="38">
        <f t="shared" si="32"/>
        <v>696.3589625000001</v>
      </c>
      <c r="BH9" s="38">
        <f t="shared" si="33"/>
        <v>36.8723722</v>
      </c>
      <c r="BI9" s="38">
        <f t="shared" si="34"/>
        <v>6.1105315</v>
      </c>
      <c r="BJ9" s="55"/>
      <c r="BK9" s="38">
        <f>C9*0.23757/100</f>
        <v>11225.1825</v>
      </c>
      <c r="BL9" s="38">
        <f t="shared" si="35"/>
        <v>859.1125125</v>
      </c>
      <c r="BM9" s="38">
        <f t="shared" si="36"/>
        <v>12084.2950125</v>
      </c>
      <c r="BN9" s="38">
        <f t="shared" si="37"/>
        <v>639.8662866000001</v>
      </c>
      <c r="BO9" s="38">
        <f t="shared" si="38"/>
        <v>106.0393695</v>
      </c>
      <c r="BP9" s="55"/>
      <c r="BQ9" s="38">
        <f>C9*5.91225/100</f>
        <v>279353.8125</v>
      </c>
      <c r="BR9" s="38">
        <f t="shared" si="39"/>
        <v>21380.1740625</v>
      </c>
      <c r="BS9" s="38">
        <f t="shared" si="40"/>
        <v>300733.9865625</v>
      </c>
      <c r="BT9" s="38">
        <f t="shared" si="41"/>
        <v>15923.935905</v>
      </c>
      <c r="BU9" s="38">
        <f t="shared" si="42"/>
        <v>2638.9327875</v>
      </c>
      <c r="BV9" s="55"/>
      <c r="BW9" s="38">
        <f>C9*1.80534/100</f>
        <v>85302.315</v>
      </c>
      <c r="BX9" s="38">
        <f t="shared" si="43"/>
        <v>6528.560775</v>
      </c>
      <c r="BY9" s="38">
        <f t="shared" si="44"/>
        <v>91830.87577500001</v>
      </c>
      <c r="BZ9" s="38">
        <f t="shared" si="45"/>
        <v>4862.466649200001</v>
      </c>
      <c r="CA9" s="38">
        <f t="shared" si="46"/>
        <v>805.8135090000001</v>
      </c>
      <c r="CB9" s="55"/>
      <c r="CC9" s="38">
        <f>C9*5.15053/100</f>
        <v>243362.5425</v>
      </c>
      <c r="CD9" s="38">
        <f t="shared" si="47"/>
        <v>18625.604112499997</v>
      </c>
      <c r="CE9" s="38">
        <f t="shared" si="48"/>
        <v>261988.14661250002</v>
      </c>
      <c r="CF9" s="38">
        <f t="shared" si="49"/>
        <v>13872.334491399999</v>
      </c>
      <c r="CG9" s="38">
        <f t="shared" si="50"/>
        <v>2298.9390654999997</v>
      </c>
      <c r="CH9" s="55"/>
      <c r="CI9" s="38">
        <f>C9*14.16042/100</f>
        <v>669079.845</v>
      </c>
      <c r="CJ9" s="38">
        <f t="shared" si="51"/>
        <v>51207.618825000005</v>
      </c>
      <c r="CK9" s="38">
        <f t="shared" si="52"/>
        <v>720287.463825</v>
      </c>
      <c r="CL9" s="38">
        <f t="shared" si="53"/>
        <v>38139.3920196</v>
      </c>
      <c r="CM9" s="38">
        <f t="shared" si="54"/>
        <v>6320.5034670000005</v>
      </c>
      <c r="CN9" s="38"/>
      <c r="CO9" s="38">
        <f>C9*6.15602/100</f>
        <v>290871.945</v>
      </c>
      <c r="CP9" s="38">
        <f t="shared" si="55"/>
        <v>22261.707325</v>
      </c>
      <c r="CQ9" s="38">
        <f t="shared" si="56"/>
        <v>313133.65232500003</v>
      </c>
      <c r="CR9" s="38">
        <f t="shared" si="57"/>
        <v>16580.5011476</v>
      </c>
      <c r="CS9" s="38">
        <f t="shared" si="58"/>
        <v>2747.739527</v>
      </c>
      <c r="CT9" s="55"/>
      <c r="CU9" s="38">
        <f>C9*5.37414/100</f>
        <v>253928.115</v>
      </c>
      <c r="CV9" s="38">
        <f t="shared" si="59"/>
        <v>19434.233775</v>
      </c>
      <c r="CW9" s="38">
        <f t="shared" si="60"/>
        <v>273362.34877499996</v>
      </c>
      <c r="CX9" s="38">
        <f t="shared" si="61"/>
        <v>14474.6011932</v>
      </c>
      <c r="CY9" s="38">
        <f t="shared" si="62"/>
        <v>2398.747389</v>
      </c>
      <c r="CZ9" s="55"/>
      <c r="DA9" s="80">
        <f>C9*0.69717/100</f>
        <v>32941.2825</v>
      </c>
      <c r="DB9" s="80">
        <f t="shared" si="63"/>
        <v>2521.1410124999998</v>
      </c>
      <c r="DC9" s="80">
        <f t="shared" si="64"/>
        <v>35462.4235125</v>
      </c>
      <c r="DD9" s="38">
        <f t="shared" si="65"/>
        <v>1877.7437346</v>
      </c>
      <c r="DE9" s="38">
        <f t="shared" si="66"/>
        <v>311.1818295</v>
      </c>
      <c r="DF9" s="55"/>
      <c r="DG9" s="38">
        <f>C9*0.02011/100</f>
        <v>950.1975</v>
      </c>
      <c r="DH9" s="38">
        <f t="shared" si="67"/>
        <v>72.7227875</v>
      </c>
      <c r="DI9" s="38">
        <f t="shared" si="68"/>
        <v>1022.9202875</v>
      </c>
      <c r="DJ9" s="38">
        <f t="shared" si="69"/>
        <v>54.1638718</v>
      </c>
      <c r="DK9" s="38">
        <f t="shared" si="70"/>
        <v>8.9760985</v>
      </c>
      <c r="DL9" s="55"/>
      <c r="DM9" s="38">
        <f>C9*4.70981/100</f>
        <v>222538.5225</v>
      </c>
      <c r="DN9" s="38">
        <f t="shared" si="71"/>
        <v>17031.8504125</v>
      </c>
      <c r="DO9" s="38">
        <f t="shared" si="72"/>
        <v>239570.3729125</v>
      </c>
      <c r="DP9" s="38">
        <f t="shared" si="73"/>
        <v>12685.308057799999</v>
      </c>
      <c r="DQ9" s="38">
        <f t="shared" si="74"/>
        <v>2102.2236935</v>
      </c>
      <c r="DR9" s="55"/>
      <c r="DS9" s="38">
        <f>C9*0.28727/100</f>
        <v>13573.507500000002</v>
      </c>
      <c r="DT9" s="38">
        <f t="shared" si="75"/>
        <v>1038.8401375</v>
      </c>
      <c r="DU9" s="38">
        <f t="shared" si="76"/>
        <v>14612.347637500001</v>
      </c>
      <c r="DV9" s="38">
        <f t="shared" si="77"/>
        <v>773.7272726</v>
      </c>
      <c r="DW9" s="38">
        <f t="shared" si="78"/>
        <v>128.22296450000002</v>
      </c>
      <c r="DX9" s="55"/>
      <c r="DY9" s="38">
        <f>C9*4.87421/100</f>
        <v>230306.4225</v>
      </c>
      <c r="DZ9" s="38">
        <f t="shared" si="79"/>
        <v>17626.3619125</v>
      </c>
      <c r="EA9" s="38">
        <f t="shared" si="80"/>
        <v>247932.78441249998</v>
      </c>
      <c r="EB9" s="38">
        <f t="shared" si="81"/>
        <v>13128.099729799998</v>
      </c>
      <c r="EC9" s="38">
        <f t="shared" si="82"/>
        <v>2175.6036335</v>
      </c>
      <c r="ED9" s="55"/>
      <c r="EE9" s="38">
        <f>C9*0.60754/100</f>
        <v>28706.265</v>
      </c>
      <c r="EF9" s="38">
        <f t="shared" si="83"/>
        <v>2197.016525</v>
      </c>
      <c r="EG9" s="38">
        <f t="shared" si="84"/>
        <v>30903.281525</v>
      </c>
      <c r="EH9" s="38">
        <f t="shared" si="85"/>
        <v>1636.3360852</v>
      </c>
      <c r="EI9" s="38">
        <f t="shared" si="86"/>
        <v>271.175479</v>
      </c>
      <c r="EJ9" s="55"/>
      <c r="EK9" s="38">
        <f>C9*0.26185/100</f>
        <v>12372.412500000002</v>
      </c>
      <c r="EL9" s="38">
        <f t="shared" si="87"/>
        <v>946.9150625000001</v>
      </c>
      <c r="EM9" s="38">
        <f t="shared" si="88"/>
        <v>13319.327562500002</v>
      </c>
      <c r="EN9" s="38">
        <f t="shared" si="89"/>
        <v>705.261553</v>
      </c>
      <c r="EO9" s="38">
        <f t="shared" si="90"/>
        <v>116.87674750000001</v>
      </c>
      <c r="EP9" s="55"/>
      <c r="EQ9" s="38"/>
      <c r="ER9" s="38"/>
      <c r="ES9" s="38"/>
      <c r="ET9" s="38"/>
      <c r="EU9" s="38"/>
      <c r="EV9" s="55"/>
      <c r="EW9" s="55">
        <f t="shared" si="91"/>
        <v>4109.805</v>
      </c>
      <c r="EX9" s="55">
        <f t="shared" si="91"/>
        <v>314.541425</v>
      </c>
      <c r="EY9" s="38">
        <f t="shared" si="92"/>
        <v>4424.346425000001</v>
      </c>
      <c r="EZ9" s="38">
        <f t="shared" si="93"/>
        <v>234.2701924</v>
      </c>
      <c r="FA9" s="38">
        <f t="shared" si="94"/>
        <v>38.823523</v>
      </c>
      <c r="FB9" s="55"/>
      <c r="FC9" s="38">
        <f t="shared" si="95"/>
        <v>9216.1125</v>
      </c>
      <c r="FD9" s="38">
        <f t="shared" si="95"/>
        <v>705.3495625</v>
      </c>
      <c r="FE9" s="38">
        <f t="shared" si="96"/>
        <v>9921.462062499999</v>
      </c>
      <c r="FF9" s="38">
        <f t="shared" si="97"/>
        <v>525.343769</v>
      </c>
      <c r="FG9" s="38">
        <f t="shared" si="98"/>
        <v>87.0605675</v>
      </c>
      <c r="FH9" s="55"/>
      <c r="FI9" s="55"/>
      <c r="FJ9" s="55"/>
      <c r="FK9" s="55"/>
      <c r="FL9" s="55"/>
      <c r="FM9" s="55"/>
      <c r="FN9" s="55"/>
      <c r="FO9" s="55"/>
      <c r="FP9" s="55"/>
      <c r="FQ9" s="55"/>
    </row>
    <row r="10" spans="1:173" s="57" customFormat="1" ht="12.75">
      <c r="A10" s="56">
        <v>43739</v>
      </c>
      <c r="C10" s="55"/>
      <c r="D10" s="55">
        <v>243500</v>
      </c>
      <c r="E10" s="41">
        <f t="shared" si="0"/>
        <v>243500</v>
      </c>
      <c r="F10" s="41">
        <v>269338</v>
      </c>
      <c r="G10" s="41">
        <v>44635</v>
      </c>
      <c r="H10" s="55"/>
      <c r="I10" s="41">
        <f t="shared" si="1"/>
        <v>0</v>
      </c>
      <c r="J10" s="47">
        <f t="shared" si="1"/>
        <v>686.74305</v>
      </c>
      <c r="K10" s="41">
        <f t="shared" si="2"/>
        <v>686.74305</v>
      </c>
      <c r="L10" s="41">
        <f t="shared" si="3"/>
        <v>759.6139614</v>
      </c>
      <c r="M10" s="41">
        <f t="shared" si="3"/>
        <v>125.88409050000001</v>
      </c>
      <c r="O10" s="38"/>
      <c r="P10" s="38">
        <f t="shared" si="4"/>
        <v>242813.25694999998</v>
      </c>
      <c r="Q10" s="38">
        <f t="shared" si="5"/>
        <v>242813.25694999998</v>
      </c>
      <c r="R10" s="38">
        <f t="shared" si="6"/>
        <v>268578.38603860006</v>
      </c>
      <c r="S10" s="38">
        <f t="shared" si="6"/>
        <v>44509.11590949998</v>
      </c>
      <c r="U10" s="55"/>
      <c r="V10" s="55">
        <f t="shared" si="7"/>
        <v>36646.8961</v>
      </c>
      <c r="W10" s="38">
        <f t="shared" si="8"/>
        <v>36646.8961</v>
      </c>
      <c r="X10" s="38">
        <f t="shared" si="9"/>
        <v>40535.530602800005</v>
      </c>
      <c r="Y10" s="38">
        <f t="shared" si="10"/>
        <v>6717.594281000001</v>
      </c>
      <c r="Z10" s="55"/>
      <c r="AA10" s="38"/>
      <c r="AB10" s="38">
        <f t="shared" si="11"/>
        <v>41214.4204</v>
      </c>
      <c r="AC10" s="38">
        <f t="shared" si="12"/>
        <v>41214.4204</v>
      </c>
      <c r="AD10" s="38">
        <f t="shared" si="13"/>
        <v>45587.7189392</v>
      </c>
      <c r="AE10" s="38">
        <f t="shared" si="14"/>
        <v>7554.8486840000005</v>
      </c>
      <c r="AF10" s="55"/>
      <c r="AG10" s="38"/>
      <c r="AH10" s="38">
        <f t="shared" si="15"/>
        <v>23759.9021</v>
      </c>
      <c r="AI10" s="38">
        <f t="shared" si="16"/>
        <v>23759.9021</v>
      </c>
      <c r="AJ10" s="38">
        <f t="shared" si="17"/>
        <v>26281.086290799998</v>
      </c>
      <c r="AK10" s="38">
        <f t="shared" si="18"/>
        <v>4355.331541</v>
      </c>
      <c r="AL10" s="55"/>
      <c r="AM10" s="38"/>
      <c r="AN10" s="38">
        <f t="shared" si="19"/>
        <v>18216.989849999998</v>
      </c>
      <c r="AO10" s="38">
        <f t="shared" si="20"/>
        <v>18216.989849999998</v>
      </c>
      <c r="AP10" s="38">
        <f t="shared" si="21"/>
        <v>20150.0107278</v>
      </c>
      <c r="AQ10" s="38">
        <f t="shared" si="22"/>
        <v>3339.2827184999996</v>
      </c>
      <c r="AR10" s="55"/>
      <c r="AS10" s="38"/>
      <c r="AT10" s="38">
        <f t="shared" si="23"/>
        <v>526.2522</v>
      </c>
      <c r="AU10" s="38">
        <f t="shared" si="24"/>
        <v>526.2522</v>
      </c>
      <c r="AV10" s="38">
        <f t="shared" si="25"/>
        <v>582.0932856</v>
      </c>
      <c r="AW10" s="38">
        <f t="shared" si="26"/>
        <v>96.46516199999999</v>
      </c>
      <c r="AX10" s="55"/>
      <c r="AY10" s="38"/>
      <c r="AZ10" s="38">
        <f t="shared" si="27"/>
        <v>46.411100000000005</v>
      </c>
      <c r="BA10" s="38">
        <f t="shared" si="28"/>
        <v>46.411100000000005</v>
      </c>
      <c r="BB10" s="38">
        <f t="shared" si="29"/>
        <v>51.3358228</v>
      </c>
      <c r="BC10" s="38">
        <f t="shared" si="30"/>
        <v>8.507431</v>
      </c>
      <c r="BD10" s="55"/>
      <c r="BE10" s="38"/>
      <c r="BF10" s="38">
        <f t="shared" si="31"/>
        <v>33.335150000000006</v>
      </c>
      <c r="BG10" s="38">
        <f t="shared" si="32"/>
        <v>33.335150000000006</v>
      </c>
      <c r="BH10" s="38">
        <f t="shared" si="33"/>
        <v>36.8723722</v>
      </c>
      <c r="BI10" s="38">
        <f t="shared" si="34"/>
        <v>6.1105315</v>
      </c>
      <c r="BJ10" s="55"/>
      <c r="BK10" s="38"/>
      <c r="BL10" s="38">
        <f t="shared" si="35"/>
        <v>578.48295</v>
      </c>
      <c r="BM10" s="38">
        <f t="shared" si="36"/>
        <v>578.48295</v>
      </c>
      <c r="BN10" s="38">
        <f t="shared" si="37"/>
        <v>639.8662866000001</v>
      </c>
      <c r="BO10" s="38">
        <f t="shared" si="38"/>
        <v>106.0393695</v>
      </c>
      <c r="BP10" s="55"/>
      <c r="BQ10" s="38"/>
      <c r="BR10" s="38">
        <f t="shared" si="39"/>
        <v>14396.32875</v>
      </c>
      <c r="BS10" s="38">
        <f t="shared" si="40"/>
        <v>14396.32875</v>
      </c>
      <c r="BT10" s="38">
        <f t="shared" si="41"/>
        <v>15923.935905</v>
      </c>
      <c r="BU10" s="38">
        <f t="shared" si="42"/>
        <v>2638.9327875</v>
      </c>
      <c r="BV10" s="55"/>
      <c r="BW10" s="38"/>
      <c r="BX10" s="38">
        <f t="shared" si="43"/>
        <v>4396.0028999999995</v>
      </c>
      <c r="BY10" s="38">
        <f t="shared" si="44"/>
        <v>4396.0028999999995</v>
      </c>
      <c r="BZ10" s="38">
        <f t="shared" si="45"/>
        <v>4862.466649200001</v>
      </c>
      <c r="CA10" s="38">
        <f t="shared" si="46"/>
        <v>805.8135090000001</v>
      </c>
      <c r="CB10" s="55"/>
      <c r="CC10" s="38"/>
      <c r="CD10" s="38">
        <f t="shared" si="47"/>
        <v>12541.54055</v>
      </c>
      <c r="CE10" s="38">
        <f t="shared" si="48"/>
        <v>12541.54055</v>
      </c>
      <c r="CF10" s="38">
        <f t="shared" si="49"/>
        <v>13872.334491399999</v>
      </c>
      <c r="CG10" s="38">
        <f t="shared" si="50"/>
        <v>2298.9390654999997</v>
      </c>
      <c r="CH10" s="55"/>
      <c r="CI10" s="38"/>
      <c r="CJ10" s="38">
        <f t="shared" si="51"/>
        <v>34480.6227</v>
      </c>
      <c r="CK10" s="38">
        <f t="shared" si="52"/>
        <v>34480.6227</v>
      </c>
      <c r="CL10" s="38">
        <f t="shared" si="53"/>
        <v>38139.3920196</v>
      </c>
      <c r="CM10" s="38">
        <f t="shared" si="54"/>
        <v>6320.5034670000005</v>
      </c>
      <c r="CN10" s="38"/>
      <c r="CO10" s="38"/>
      <c r="CP10" s="38">
        <f t="shared" si="55"/>
        <v>14989.908699999998</v>
      </c>
      <c r="CQ10" s="38">
        <f t="shared" si="56"/>
        <v>14989.908699999998</v>
      </c>
      <c r="CR10" s="38">
        <f t="shared" si="57"/>
        <v>16580.5011476</v>
      </c>
      <c r="CS10" s="38">
        <f t="shared" si="58"/>
        <v>2747.739527</v>
      </c>
      <c r="CT10" s="55"/>
      <c r="CU10" s="38"/>
      <c r="CV10" s="38">
        <f t="shared" si="59"/>
        <v>13086.030899999998</v>
      </c>
      <c r="CW10" s="38">
        <f t="shared" si="60"/>
        <v>13086.030899999998</v>
      </c>
      <c r="CX10" s="38">
        <f t="shared" si="61"/>
        <v>14474.6011932</v>
      </c>
      <c r="CY10" s="38">
        <f t="shared" si="62"/>
        <v>2398.747389</v>
      </c>
      <c r="CZ10" s="55"/>
      <c r="DA10" s="80"/>
      <c r="DB10" s="80">
        <f t="shared" si="63"/>
        <v>1697.6089499999998</v>
      </c>
      <c r="DC10" s="80">
        <f t="shared" si="64"/>
        <v>1697.6089499999998</v>
      </c>
      <c r="DD10" s="38">
        <f t="shared" si="65"/>
        <v>1877.7437346</v>
      </c>
      <c r="DE10" s="38">
        <f t="shared" si="66"/>
        <v>311.1818295</v>
      </c>
      <c r="DF10" s="55"/>
      <c r="DG10" s="38"/>
      <c r="DH10" s="38">
        <f t="shared" si="67"/>
        <v>48.96785</v>
      </c>
      <c r="DI10" s="38">
        <f t="shared" si="68"/>
        <v>48.96785</v>
      </c>
      <c r="DJ10" s="38">
        <f t="shared" si="69"/>
        <v>54.1638718</v>
      </c>
      <c r="DK10" s="38">
        <f t="shared" si="70"/>
        <v>8.9760985</v>
      </c>
      <c r="DL10" s="55"/>
      <c r="DM10" s="38"/>
      <c r="DN10" s="38">
        <f t="shared" si="71"/>
        <v>11468.38735</v>
      </c>
      <c r="DO10" s="38">
        <f t="shared" si="72"/>
        <v>11468.38735</v>
      </c>
      <c r="DP10" s="38">
        <f t="shared" si="73"/>
        <v>12685.308057799999</v>
      </c>
      <c r="DQ10" s="38">
        <f t="shared" si="74"/>
        <v>2102.2236935</v>
      </c>
      <c r="DR10" s="55"/>
      <c r="DS10" s="38"/>
      <c r="DT10" s="38">
        <f t="shared" si="75"/>
        <v>699.5024500000001</v>
      </c>
      <c r="DU10" s="38">
        <f t="shared" si="76"/>
        <v>699.5024500000001</v>
      </c>
      <c r="DV10" s="38">
        <f t="shared" si="77"/>
        <v>773.7272726</v>
      </c>
      <c r="DW10" s="38">
        <f t="shared" si="78"/>
        <v>128.22296450000002</v>
      </c>
      <c r="DX10" s="55"/>
      <c r="DY10" s="38"/>
      <c r="DZ10" s="38">
        <f t="shared" si="79"/>
        <v>11868.70135</v>
      </c>
      <c r="EA10" s="38">
        <f t="shared" si="80"/>
        <v>11868.70135</v>
      </c>
      <c r="EB10" s="38">
        <f t="shared" si="81"/>
        <v>13128.099729799998</v>
      </c>
      <c r="EC10" s="38">
        <f t="shared" si="82"/>
        <v>2175.6036335</v>
      </c>
      <c r="ED10" s="55"/>
      <c r="EE10" s="38"/>
      <c r="EF10" s="38">
        <f t="shared" si="83"/>
        <v>1479.3599</v>
      </c>
      <c r="EG10" s="38">
        <f t="shared" si="84"/>
        <v>1479.3599</v>
      </c>
      <c r="EH10" s="38">
        <f t="shared" si="85"/>
        <v>1636.3360852</v>
      </c>
      <c r="EI10" s="38">
        <f t="shared" si="86"/>
        <v>271.175479</v>
      </c>
      <c r="EJ10" s="55"/>
      <c r="EK10" s="38"/>
      <c r="EL10" s="38">
        <f t="shared" si="87"/>
        <v>637.6047500000001</v>
      </c>
      <c r="EM10" s="38">
        <f t="shared" si="88"/>
        <v>637.6047500000001</v>
      </c>
      <c r="EN10" s="38">
        <f t="shared" si="89"/>
        <v>705.261553</v>
      </c>
      <c r="EO10" s="38">
        <f t="shared" si="90"/>
        <v>116.87674750000001</v>
      </c>
      <c r="EP10" s="55"/>
      <c r="EQ10" s="38"/>
      <c r="ER10" s="38"/>
      <c r="ES10" s="38"/>
      <c r="ET10" s="38"/>
      <c r="EU10" s="38"/>
      <c r="EV10" s="55"/>
      <c r="EW10" s="55">
        <f t="shared" si="91"/>
        <v>0</v>
      </c>
      <c r="EX10" s="55">
        <f t="shared" si="91"/>
        <v>211.7963</v>
      </c>
      <c r="EY10" s="38">
        <f t="shared" si="92"/>
        <v>211.7963</v>
      </c>
      <c r="EZ10" s="38">
        <f t="shared" si="93"/>
        <v>234.2701924</v>
      </c>
      <c r="FA10" s="38">
        <f t="shared" si="94"/>
        <v>38.823523</v>
      </c>
      <c r="FB10" s="55"/>
      <c r="FC10" s="38">
        <f t="shared" si="95"/>
        <v>0</v>
      </c>
      <c r="FD10" s="38">
        <f t="shared" si="95"/>
        <v>474.94675</v>
      </c>
      <c r="FE10" s="38">
        <f t="shared" si="96"/>
        <v>474.94675</v>
      </c>
      <c r="FF10" s="38">
        <f t="shared" si="97"/>
        <v>525.343769</v>
      </c>
      <c r="FG10" s="38">
        <f t="shared" si="98"/>
        <v>87.0605675</v>
      </c>
      <c r="FH10" s="55"/>
      <c r="FI10" s="55"/>
      <c r="FJ10" s="55"/>
      <c r="FK10" s="55"/>
      <c r="FL10" s="55"/>
      <c r="FM10" s="55"/>
      <c r="FN10" s="55"/>
      <c r="FO10" s="55"/>
      <c r="FP10" s="55"/>
      <c r="FQ10" s="55"/>
    </row>
    <row r="11" spans="1:173" s="57" customFormat="1" ht="12.75">
      <c r="A11" s="56">
        <v>43922</v>
      </c>
      <c r="C11" s="55">
        <v>4555000</v>
      </c>
      <c r="D11" s="55">
        <v>243500</v>
      </c>
      <c r="E11" s="41">
        <f t="shared" si="0"/>
        <v>4798500</v>
      </c>
      <c r="F11" s="41">
        <v>269338</v>
      </c>
      <c r="G11" s="41">
        <v>44635</v>
      </c>
      <c r="H11" s="55"/>
      <c r="I11" s="41">
        <f t="shared" si="1"/>
        <v>12846.4665</v>
      </c>
      <c r="J11" s="47">
        <f t="shared" si="1"/>
        <v>686.74305</v>
      </c>
      <c r="K11" s="41">
        <f t="shared" si="2"/>
        <v>13533.20955</v>
      </c>
      <c r="L11" s="41">
        <f t="shared" si="3"/>
        <v>759.6139614</v>
      </c>
      <c r="M11" s="41">
        <f t="shared" si="3"/>
        <v>125.88409050000001</v>
      </c>
      <c r="O11" s="38">
        <f>U11+AA11+AG11+AM11+AS11+AY11+BE11+BK11+BQ11+BW11+CC11+CI11+CO11+CU11+DA11+DG11+DM11+DS11+DY11+EE11+EQ11+EK11</f>
        <v>4542153.5335</v>
      </c>
      <c r="P11" s="38">
        <f t="shared" si="4"/>
        <v>242813.25694999998</v>
      </c>
      <c r="Q11" s="38">
        <f t="shared" si="5"/>
        <v>4784966.79045</v>
      </c>
      <c r="R11" s="38">
        <f t="shared" si="6"/>
        <v>268578.38603860006</v>
      </c>
      <c r="S11" s="38">
        <f t="shared" si="6"/>
        <v>44509.11590949998</v>
      </c>
      <c r="U11" s="55">
        <f>C11*15.05006/100</f>
        <v>685530.233</v>
      </c>
      <c r="V11" s="55">
        <f t="shared" si="7"/>
        <v>36646.8961</v>
      </c>
      <c r="W11" s="38">
        <f t="shared" si="8"/>
        <v>722177.1291</v>
      </c>
      <c r="X11" s="38">
        <f t="shared" si="9"/>
        <v>40535.530602800005</v>
      </c>
      <c r="Y11" s="38">
        <f t="shared" si="10"/>
        <v>6717.594281000001</v>
      </c>
      <c r="Z11" s="55"/>
      <c r="AA11" s="38">
        <f>C11*16.92584/100</f>
        <v>770972.012</v>
      </c>
      <c r="AB11" s="38">
        <f t="shared" si="11"/>
        <v>41214.4204</v>
      </c>
      <c r="AC11" s="38">
        <f t="shared" si="12"/>
        <v>812186.4324</v>
      </c>
      <c r="AD11" s="38">
        <f t="shared" si="13"/>
        <v>45587.7189392</v>
      </c>
      <c r="AE11" s="38">
        <f t="shared" si="14"/>
        <v>7554.8486840000005</v>
      </c>
      <c r="AF11" s="55"/>
      <c r="AG11" s="38">
        <f>C11*9.75766/100</f>
        <v>444461.41299999994</v>
      </c>
      <c r="AH11" s="38">
        <f t="shared" si="15"/>
        <v>23759.9021</v>
      </c>
      <c r="AI11" s="38">
        <f t="shared" si="16"/>
        <v>468221.31509999995</v>
      </c>
      <c r="AJ11" s="38">
        <f t="shared" si="17"/>
        <v>26281.086290799998</v>
      </c>
      <c r="AK11" s="38">
        <f t="shared" si="18"/>
        <v>4355.331541</v>
      </c>
      <c r="AL11" s="55"/>
      <c r="AM11" s="38">
        <f>C11*7.48131/100</f>
        <v>340773.67049999995</v>
      </c>
      <c r="AN11" s="38">
        <f t="shared" si="19"/>
        <v>18216.989849999998</v>
      </c>
      <c r="AO11" s="38">
        <f t="shared" si="20"/>
        <v>358990.66034999996</v>
      </c>
      <c r="AP11" s="38">
        <f t="shared" si="21"/>
        <v>20150.0107278</v>
      </c>
      <c r="AQ11" s="38">
        <f t="shared" si="22"/>
        <v>3339.2827184999996</v>
      </c>
      <c r="AR11" s="55"/>
      <c r="AS11" s="38">
        <f>C11*0.21612/100</f>
        <v>9844.266</v>
      </c>
      <c r="AT11" s="38">
        <f t="shared" si="23"/>
        <v>526.2522</v>
      </c>
      <c r="AU11" s="38">
        <f t="shared" si="24"/>
        <v>10370.5182</v>
      </c>
      <c r="AV11" s="38">
        <f t="shared" si="25"/>
        <v>582.0932856</v>
      </c>
      <c r="AW11" s="38">
        <f t="shared" si="26"/>
        <v>96.46516199999999</v>
      </c>
      <c r="AX11" s="55"/>
      <c r="AY11" s="38">
        <f>C11*0.01906/100</f>
        <v>868.183</v>
      </c>
      <c r="AZ11" s="38">
        <f t="shared" si="27"/>
        <v>46.411100000000005</v>
      </c>
      <c r="BA11" s="38">
        <f t="shared" si="28"/>
        <v>914.5941</v>
      </c>
      <c r="BB11" s="38">
        <f t="shared" si="29"/>
        <v>51.3358228</v>
      </c>
      <c r="BC11" s="38">
        <f t="shared" si="30"/>
        <v>8.507431</v>
      </c>
      <c r="BD11" s="55"/>
      <c r="BE11" s="38">
        <f>C11*0.01369/100</f>
        <v>623.5795</v>
      </c>
      <c r="BF11" s="38">
        <f t="shared" si="31"/>
        <v>33.335150000000006</v>
      </c>
      <c r="BG11" s="38">
        <f t="shared" si="32"/>
        <v>656.91465</v>
      </c>
      <c r="BH11" s="38">
        <f t="shared" si="33"/>
        <v>36.8723722</v>
      </c>
      <c r="BI11" s="38">
        <f t="shared" si="34"/>
        <v>6.1105315</v>
      </c>
      <c r="BJ11" s="55"/>
      <c r="BK11" s="38">
        <f>C11*0.23757/100</f>
        <v>10821.3135</v>
      </c>
      <c r="BL11" s="38">
        <f t="shared" si="35"/>
        <v>578.48295</v>
      </c>
      <c r="BM11" s="38">
        <f t="shared" si="36"/>
        <v>11399.79645</v>
      </c>
      <c r="BN11" s="38">
        <f t="shared" si="37"/>
        <v>639.8662866000001</v>
      </c>
      <c r="BO11" s="38">
        <f t="shared" si="38"/>
        <v>106.0393695</v>
      </c>
      <c r="BP11" s="55"/>
      <c r="BQ11" s="38">
        <f>C11*5.91225/100</f>
        <v>269302.9875</v>
      </c>
      <c r="BR11" s="38">
        <f t="shared" si="39"/>
        <v>14396.32875</v>
      </c>
      <c r="BS11" s="38">
        <f t="shared" si="40"/>
        <v>283699.31625</v>
      </c>
      <c r="BT11" s="38">
        <f t="shared" si="41"/>
        <v>15923.935905</v>
      </c>
      <c r="BU11" s="38">
        <f t="shared" si="42"/>
        <v>2638.9327875</v>
      </c>
      <c r="BV11" s="55"/>
      <c r="BW11" s="38">
        <f>C11*1.80534/100</f>
        <v>82233.23700000001</v>
      </c>
      <c r="BX11" s="38">
        <f t="shared" si="43"/>
        <v>4396.0028999999995</v>
      </c>
      <c r="BY11" s="38">
        <f t="shared" si="44"/>
        <v>86629.23990000002</v>
      </c>
      <c r="BZ11" s="38">
        <f t="shared" si="45"/>
        <v>4862.466649200001</v>
      </c>
      <c r="CA11" s="38">
        <f t="shared" si="46"/>
        <v>805.8135090000001</v>
      </c>
      <c r="CB11" s="55"/>
      <c r="CC11" s="38">
        <f>C11*5.15053/100</f>
        <v>234606.6415</v>
      </c>
      <c r="CD11" s="38">
        <f t="shared" si="47"/>
        <v>12541.54055</v>
      </c>
      <c r="CE11" s="38">
        <f t="shared" si="48"/>
        <v>247148.18205</v>
      </c>
      <c r="CF11" s="38">
        <f t="shared" si="49"/>
        <v>13872.334491399999</v>
      </c>
      <c r="CG11" s="38">
        <f t="shared" si="50"/>
        <v>2298.9390654999997</v>
      </c>
      <c r="CH11" s="55"/>
      <c r="CI11" s="38">
        <f>C11*14.16042/100</f>
        <v>645007.131</v>
      </c>
      <c r="CJ11" s="38">
        <f t="shared" si="51"/>
        <v>34480.6227</v>
      </c>
      <c r="CK11" s="38">
        <f t="shared" si="52"/>
        <v>679487.7537</v>
      </c>
      <c r="CL11" s="38">
        <f t="shared" si="53"/>
        <v>38139.3920196</v>
      </c>
      <c r="CM11" s="38">
        <f t="shared" si="54"/>
        <v>6320.5034670000005</v>
      </c>
      <c r="CN11" s="38"/>
      <c r="CO11" s="38">
        <f>C11*6.15602/100</f>
        <v>280406.71099999995</v>
      </c>
      <c r="CP11" s="38">
        <f t="shared" si="55"/>
        <v>14989.908699999998</v>
      </c>
      <c r="CQ11" s="38">
        <f t="shared" si="56"/>
        <v>295396.6196999999</v>
      </c>
      <c r="CR11" s="38">
        <f t="shared" si="57"/>
        <v>16580.5011476</v>
      </c>
      <c r="CS11" s="38">
        <f t="shared" si="58"/>
        <v>2747.739527</v>
      </c>
      <c r="CT11" s="55"/>
      <c r="CU11" s="38">
        <f>C11*5.37414/100</f>
        <v>244792.077</v>
      </c>
      <c r="CV11" s="38">
        <f t="shared" si="59"/>
        <v>13086.030899999998</v>
      </c>
      <c r="CW11" s="38">
        <f t="shared" si="60"/>
        <v>257878.1079</v>
      </c>
      <c r="CX11" s="38">
        <f t="shared" si="61"/>
        <v>14474.6011932</v>
      </c>
      <c r="CY11" s="38">
        <f t="shared" si="62"/>
        <v>2398.747389</v>
      </c>
      <c r="CZ11" s="55"/>
      <c r="DA11" s="80">
        <f>C11*0.69717/100</f>
        <v>31756.093499999995</v>
      </c>
      <c r="DB11" s="80">
        <f t="shared" si="63"/>
        <v>1697.6089499999998</v>
      </c>
      <c r="DC11" s="80">
        <f t="shared" si="64"/>
        <v>33453.70245</v>
      </c>
      <c r="DD11" s="38">
        <f t="shared" si="65"/>
        <v>1877.7437346</v>
      </c>
      <c r="DE11" s="38">
        <f t="shared" si="66"/>
        <v>311.1818295</v>
      </c>
      <c r="DF11" s="55"/>
      <c r="DG11" s="38">
        <f>C11*0.02011/100</f>
        <v>916.0105</v>
      </c>
      <c r="DH11" s="38">
        <f t="shared" si="67"/>
        <v>48.96785</v>
      </c>
      <c r="DI11" s="38">
        <f t="shared" si="68"/>
        <v>964.97835</v>
      </c>
      <c r="DJ11" s="38">
        <f t="shared" si="69"/>
        <v>54.1638718</v>
      </c>
      <c r="DK11" s="38">
        <f t="shared" si="70"/>
        <v>8.9760985</v>
      </c>
      <c r="DL11" s="55"/>
      <c r="DM11" s="38">
        <f>C11*4.70981/100</f>
        <v>214531.8455</v>
      </c>
      <c r="DN11" s="38">
        <f t="shared" si="71"/>
        <v>11468.38735</v>
      </c>
      <c r="DO11" s="38">
        <f t="shared" si="72"/>
        <v>226000.23285</v>
      </c>
      <c r="DP11" s="38">
        <f t="shared" si="73"/>
        <v>12685.308057799999</v>
      </c>
      <c r="DQ11" s="38">
        <f t="shared" si="74"/>
        <v>2102.2236935</v>
      </c>
      <c r="DR11" s="55"/>
      <c r="DS11" s="38">
        <f>C11*0.28727/100</f>
        <v>13085.148500000001</v>
      </c>
      <c r="DT11" s="38">
        <f t="shared" si="75"/>
        <v>699.5024500000001</v>
      </c>
      <c r="DU11" s="38">
        <f t="shared" si="76"/>
        <v>13784.650950000001</v>
      </c>
      <c r="DV11" s="38">
        <f t="shared" si="77"/>
        <v>773.7272726</v>
      </c>
      <c r="DW11" s="38">
        <f t="shared" si="78"/>
        <v>128.22296450000002</v>
      </c>
      <c r="DX11" s="55"/>
      <c r="DY11" s="38">
        <f>C11*4.87421/100</f>
        <v>222020.26549999998</v>
      </c>
      <c r="DZ11" s="38">
        <f t="shared" si="79"/>
        <v>11868.70135</v>
      </c>
      <c r="EA11" s="38">
        <f t="shared" si="80"/>
        <v>233888.96684999997</v>
      </c>
      <c r="EB11" s="38">
        <f t="shared" si="81"/>
        <v>13128.099729799998</v>
      </c>
      <c r="EC11" s="38">
        <f t="shared" si="82"/>
        <v>2175.6036335</v>
      </c>
      <c r="ED11" s="55"/>
      <c r="EE11" s="38">
        <f>C11*0.60754/100</f>
        <v>27673.446999999996</v>
      </c>
      <c r="EF11" s="38">
        <f t="shared" si="83"/>
        <v>1479.3599</v>
      </c>
      <c r="EG11" s="38">
        <f t="shared" si="84"/>
        <v>29152.806899999996</v>
      </c>
      <c r="EH11" s="38">
        <f t="shared" si="85"/>
        <v>1636.3360852</v>
      </c>
      <c r="EI11" s="38">
        <f t="shared" si="86"/>
        <v>271.175479</v>
      </c>
      <c r="EJ11" s="55"/>
      <c r="EK11" s="38">
        <f>C11*0.26185/100</f>
        <v>11927.267500000002</v>
      </c>
      <c r="EL11" s="38">
        <f t="shared" si="87"/>
        <v>637.6047500000001</v>
      </c>
      <c r="EM11" s="38">
        <f t="shared" si="88"/>
        <v>12564.872250000002</v>
      </c>
      <c r="EN11" s="38">
        <f t="shared" si="89"/>
        <v>705.261553</v>
      </c>
      <c r="EO11" s="38">
        <f t="shared" si="90"/>
        <v>116.87674750000001</v>
      </c>
      <c r="EP11" s="55"/>
      <c r="EQ11" s="38"/>
      <c r="ER11" s="38"/>
      <c r="ES11" s="38"/>
      <c r="ET11" s="38"/>
      <c r="EU11" s="38"/>
      <c r="EV11" s="55"/>
      <c r="EW11" s="55">
        <f t="shared" si="91"/>
        <v>3961.9390000000003</v>
      </c>
      <c r="EX11" s="55">
        <f t="shared" si="91"/>
        <v>211.7963</v>
      </c>
      <c r="EY11" s="38">
        <f t="shared" si="92"/>
        <v>4173.7353</v>
      </c>
      <c r="EZ11" s="38">
        <f t="shared" si="93"/>
        <v>234.2701924</v>
      </c>
      <c r="FA11" s="38">
        <f t="shared" si="94"/>
        <v>38.823523</v>
      </c>
      <c r="FB11" s="55"/>
      <c r="FC11" s="38">
        <f t="shared" si="95"/>
        <v>8884.5275</v>
      </c>
      <c r="FD11" s="38">
        <f t="shared" si="95"/>
        <v>474.94675</v>
      </c>
      <c r="FE11" s="38">
        <f t="shared" si="96"/>
        <v>9359.47425</v>
      </c>
      <c r="FF11" s="38">
        <f t="shared" si="97"/>
        <v>525.343769</v>
      </c>
      <c r="FG11" s="38">
        <f t="shared" si="98"/>
        <v>87.0605675</v>
      </c>
      <c r="FH11" s="55"/>
      <c r="FI11" s="55"/>
      <c r="FJ11" s="55"/>
      <c r="FK11" s="55"/>
      <c r="FL11" s="55"/>
      <c r="FM11" s="55"/>
      <c r="FN11" s="55"/>
      <c r="FO11" s="55"/>
      <c r="FP11" s="55"/>
      <c r="FQ11" s="55"/>
    </row>
    <row r="12" spans="1:173" s="57" customFormat="1" ht="12.75">
      <c r="A12" s="56">
        <v>44105</v>
      </c>
      <c r="C12" s="55"/>
      <c r="D12" s="55">
        <v>129625</v>
      </c>
      <c r="E12" s="41">
        <f t="shared" si="0"/>
        <v>129625</v>
      </c>
      <c r="F12" s="41">
        <v>269338</v>
      </c>
      <c r="G12" s="41">
        <v>44635</v>
      </c>
      <c r="H12" s="55"/>
      <c r="I12" s="41">
        <f t="shared" si="1"/>
        <v>0</v>
      </c>
      <c r="J12" s="47">
        <f t="shared" si="1"/>
        <v>365.5813875</v>
      </c>
      <c r="K12" s="41">
        <f t="shared" si="2"/>
        <v>365.5813875</v>
      </c>
      <c r="L12" s="41">
        <f t="shared" si="3"/>
        <v>759.6139614</v>
      </c>
      <c r="M12" s="41">
        <f t="shared" si="3"/>
        <v>125.88409050000001</v>
      </c>
      <c r="O12" s="38"/>
      <c r="P12" s="38">
        <f t="shared" si="4"/>
        <v>129259.41861250004</v>
      </c>
      <c r="Q12" s="38">
        <f t="shared" si="5"/>
        <v>129259.41861250004</v>
      </c>
      <c r="R12" s="38">
        <f t="shared" si="6"/>
        <v>268578.38603860006</v>
      </c>
      <c r="S12" s="38">
        <f t="shared" si="6"/>
        <v>44509.11590949998</v>
      </c>
      <c r="U12" s="55"/>
      <c r="V12" s="55">
        <f t="shared" si="7"/>
        <v>19508.640275</v>
      </c>
      <c r="W12" s="38">
        <f t="shared" si="8"/>
        <v>19508.640275</v>
      </c>
      <c r="X12" s="38">
        <f t="shared" si="9"/>
        <v>40535.530602800005</v>
      </c>
      <c r="Y12" s="38">
        <f t="shared" si="10"/>
        <v>6717.594281000001</v>
      </c>
      <c r="Z12" s="55"/>
      <c r="AA12" s="38"/>
      <c r="AB12" s="38">
        <f t="shared" si="11"/>
        <v>21940.120100000004</v>
      </c>
      <c r="AC12" s="38">
        <f t="shared" si="12"/>
        <v>21940.120100000004</v>
      </c>
      <c r="AD12" s="38">
        <f t="shared" si="13"/>
        <v>45587.7189392</v>
      </c>
      <c r="AE12" s="38">
        <f t="shared" si="14"/>
        <v>7554.8486840000005</v>
      </c>
      <c r="AF12" s="55"/>
      <c r="AG12" s="38"/>
      <c r="AH12" s="38">
        <f t="shared" si="15"/>
        <v>12648.366775</v>
      </c>
      <c r="AI12" s="38">
        <f t="shared" si="16"/>
        <v>12648.366775</v>
      </c>
      <c r="AJ12" s="38">
        <f t="shared" si="17"/>
        <v>26281.086290799998</v>
      </c>
      <c r="AK12" s="38">
        <f t="shared" si="18"/>
        <v>4355.331541</v>
      </c>
      <c r="AL12" s="55"/>
      <c r="AM12" s="38"/>
      <c r="AN12" s="38">
        <f t="shared" si="19"/>
        <v>9697.6480875</v>
      </c>
      <c r="AO12" s="38">
        <f t="shared" si="20"/>
        <v>9697.6480875</v>
      </c>
      <c r="AP12" s="38">
        <f t="shared" si="21"/>
        <v>20150.0107278</v>
      </c>
      <c r="AQ12" s="38">
        <f t="shared" si="22"/>
        <v>3339.2827184999996</v>
      </c>
      <c r="AR12" s="55"/>
      <c r="AS12" s="38"/>
      <c r="AT12" s="38">
        <f t="shared" si="23"/>
        <v>280.14555</v>
      </c>
      <c r="AU12" s="38">
        <f t="shared" si="24"/>
        <v>280.14555</v>
      </c>
      <c r="AV12" s="38">
        <f t="shared" si="25"/>
        <v>582.0932856</v>
      </c>
      <c r="AW12" s="38">
        <f t="shared" si="26"/>
        <v>96.46516199999999</v>
      </c>
      <c r="AX12" s="55"/>
      <c r="AY12" s="38"/>
      <c r="AZ12" s="38">
        <f t="shared" si="27"/>
        <v>24.706525000000003</v>
      </c>
      <c r="BA12" s="38">
        <f t="shared" si="28"/>
        <v>24.706525000000003</v>
      </c>
      <c r="BB12" s="38">
        <f t="shared" si="29"/>
        <v>51.3358228</v>
      </c>
      <c r="BC12" s="38">
        <f t="shared" si="30"/>
        <v>8.507431</v>
      </c>
      <c r="BD12" s="55"/>
      <c r="BE12" s="38"/>
      <c r="BF12" s="38">
        <f t="shared" si="31"/>
        <v>17.7456625</v>
      </c>
      <c r="BG12" s="38">
        <f t="shared" si="32"/>
        <v>17.7456625</v>
      </c>
      <c r="BH12" s="38">
        <f t="shared" si="33"/>
        <v>36.8723722</v>
      </c>
      <c r="BI12" s="38">
        <f t="shared" si="34"/>
        <v>6.1105315</v>
      </c>
      <c r="BJ12" s="55"/>
      <c r="BK12" s="38"/>
      <c r="BL12" s="38">
        <f t="shared" si="35"/>
        <v>307.9501125</v>
      </c>
      <c r="BM12" s="38">
        <f t="shared" si="36"/>
        <v>307.9501125</v>
      </c>
      <c r="BN12" s="38">
        <f t="shared" si="37"/>
        <v>639.8662866000001</v>
      </c>
      <c r="BO12" s="38">
        <f t="shared" si="38"/>
        <v>106.0393695</v>
      </c>
      <c r="BP12" s="55"/>
      <c r="BQ12" s="38"/>
      <c r="BR12" s="38">
        <f t="shared" si="39"/>
        <v>7663.7540625</v>
      </c>
      <c r="BS12" s="38">
        <f t="shared" si="40"/>
        <v>7663.7540625</v>
      </c>
      <c r="BT12" s="38">
        <f t="shared" si="41"/>
        <v>15923.935905</v>
      </c>
      <c r="BU12" s="38">
        <f t="shared" si="42"/>
        <v>2638.9327875</v>
      </c>
      <c r="BV12" s="55"/>
      <c r="BW12" s="38"/>
      <c r="BX12" s="38">
        <f t="shared" si="43"/>
        <v>2340.1719749999997</v>
      </c>
      <c r="BY12" s="38">
        <f t="shared" si="44"/>
        <v>2340.1719749999997</v>
      </c>
      <c r="BZ12" s="38">
        <f t="shared" si="45"/>
        <v>4862.466649200001</v>
      </c>
      <c r="CA12" s="38">
        <f t="shared" si="46"/>
        <v>805.8135090000001</v>
      </c>
      <c r="CB12" s="55"/>
      <c r="CC12" s="38"/>
      <c r="CD12" s="38">
        <f t="shared" si="47"/>
        <v>6676.3745125</v>
      </c>
      <c r="CE12" s="38">
        <f t="shared" si="48"/>
        <v>6676.3745125</v>
      </c>
      <c r="CF12" s="38">
        <f t="shared" si="49"/>
        <v>13872.334491399999</v>
      </c>
      <c r="CG12" s="38">
        <f t="shared" si="50"/>
        <v>2298.9390654999997</v>
      </c>
      <c r="CH12" s="55"/>
      <c r="CI12" s="38"/>
      <c r="CJ12" s="38">
        <f t="shared" si="51"/>
        <v>18355.444425</v>
      </c>
      <c r="CK12" s="38">
        <f t="shared" si="52"/>
        <v>18355.444425</v>
      </c>
      <c r="CL12" s="38">
        <f t="shared" si="53"/>
        <v>38139.3920196</v>
      </c>
      <c r="CM12" s="38">
        <f t="shared" si="54"/>
        <v>6320.5034670000005</v>
      </c>
      <c r="CN12" s="38"/>
      <c r="CO12" s="38"/>
      <c r="CP12" s="38">
        <f t="shared" si="55"/>
        <v>7979.740925</v>
      </c>
      <c r="CQ12" s="38">
        <f t="shared" si="56"/>
        <v>7979.740925</v>
      </c>
      <c r="CR12" s="38">
        <f t="shared" si="57"/>
        <v>16580.5011476</v>
      </c>
      <c r="CS12" s="38">
        <f t="shared" si="58"/>
        <v>2747.739527</v>
      </c>
      <c r="CT12" s="55"/>
      <c r="CU12" s="38"/>
      <c r="CV12" s="38">
        <f t="shared" si="59"/>
        <v>6966.228975</v>
      </c>
      <c r="CW12" s="38">
        <f t="shared" si="60"/>
        <v>6966.228975</v>
      </c>
      <c r="CX12" s="38">
        <f t="shared" si="61"/>
        <v>14474.6011932</v>
      </c>
      <c r="CY12" s="38">
        <f t="shared" si="62"/>
        <v>2398.747389</v>
      </c>
      <c r="CZ12" s="55"/>
      <c r="DA12" s="80"/>
      <c r="DB12" s="80">
        <f t="shared" si="63"/>
        <v>903.7066124999999</v>
      </c>
      <c r="DC12" s="80">
        <f t="shared" si="64"/>
        <v>903.7066124999999</v>
      </c>
      <c r="DD12" s="38">
        <f t="shared" si="65"/>
        <v>1877.7437346</v>
      </c>
      <c r="DE12" s="38">
        <f t="shared" si="66"/>
        <v>311.1818295</v>
      </c>
      <c r="DF12" s="55"/>
      <c r="DG12" s="38"/>
      <c r="DH12" s="38">
        <f t="shared" si="67"/>
        <v>26.0675875</v>
      </c>
      <c r="DI12" s="38">
        <f t="shared" si="68"/>
        <v>26.0675875</v>
      </c>
      <c r="DJ12" s="38">
        <f t="shared" si="69"/>
        <v>54.1638718</v>
      </c>
      <c r="DK12" s="38">
        <f t="shared" si="70"/>
        <v>8.9760985</v>
      </c>
      <c r="DL12" s="55"/>
      <c r="DM12" s="38"/>
      <c r="DN12" s="38">
        <f t="shared" si="71"/>
        <v>6105.0912124999995</v>
      </c>
      <c r="DO12" s="38">
        <f t="shared" si="72"/>
        <v>6105.0912124999995</v>
      </c>
      <c r="DP12" s="38">
        <f t="shared" si="73"/>
        <v>12685.308057799999</v>
      </c>
      <c r="DQ12" s="38">
        <f t="shared" si="74"/>
        <v>2102.2236935</v>
      </c>
      <c r="DR12" s="55"/>
      <c r="DS12" s="38"/>
      <c r="DT12" s="38">
        <f t="shared" si="75"/>
        <v>372.37373750000006</v>
      </c>
      <c r="DU12" s="38">
        <f t="shared" si="76"/>
        <v>372.37373750000006</v>
      </c>
      <c r="DV12" s="38">
        <f t="shared" si="77"/>
        <v>773.7272726</v>
      </c>
      <c r="DW12" s="38">
        <f t="shared" si="78"/>
        <v>128.22296450000002</v>
      </c>
      <c r="DX12" s="55"/>
      <c r="DY12" s="38"/>
      <c r="DZ12" s="38">
        <f t="shared" si="79"/>
        <v>6318.1947125</v>
      </c>
      <c r="EA12" s="38">
        <f t="shared" si="80"/>
        <v>6318.1947125</v>
      </c>
      <c r="EB12" s="38">
        <f t="shared" si="81"/>
        <v>13128.099729799998</v>
      </c>
      <c r="EC12" s="38">
        <f t="shared" si="82"/>
        <v>2175.6036335</v>
      </c>
      <c r="ED12" s="55"/>
      <c r="EE12" s="38"/>
      <c r="EF12" s="38">
        <f t="shared" si="83"/>
        <v>787.523725</v>
      </c>
      <c r="EG12" s="38">
        <f t="shared" si="84"/>
        <v>787.523725</v>
      </c>
      <c r="EH12" s="38">
        <f t="shared" si="85"/>
        <v>1636.3360852</v>
      </c>
      <c r="EI12" s="38">
        <f t="shared" si="86"/>
        <v>271.175479</v>
      </c>
      <c r="EJ12" s="55"/>
      <c r="EK12" s="38"/>
      <c r="EL12" s="38">
        <f t="shared" si="87"/>
        <v>339.4230625</v>
      </c>
      <c r="EM12" s="38">
        <f t="shared" si="88"/>
        <v>339.4230625</v>
      </c>
      <c r="EN12" s="38">
        <f t="shared" si="89"/>
        <v>705.261553</v>
      </c>
      <c r="EO12" s="38">
        <f t="shared" si="90"/>
        <v>116.87674750000001</v>
      </c>
      <c r="EP12" s="55"/>
      <c r="EQ12" s="38"/>
      <c r="ER12" s="38"/>
      <c r="ES12" s="38"/>
      <c r="ET12" s="38"/>
      <c r="EU12" s="38"/>
      <c r="EV12" s="55"/>
      <c r="EW12" s="55">
        <f t="shared" si="91"/>
        <v>0</v>
      </c>
      <c r="EX12" s="55">
        <f t="shared" si="91"/>
        <v>112.74782499999999</v>
      </c>
      <c r="EY12" s="38">
        <f t="shared" si="92"/>
        <v>112.74782499999999</v>
      </c>
      <c r="EZ12" s="38">
        <f t="shared" si="93"/>
        <v>234.2701924</v>
      </c>
      <c r="FA12" s="38">
        <f t="shared" si="94"/>
        <v>38.823523</v>
      </c>
      <c r="FB12" s="55"/>
      <c r="FC12" s="38">
        <f t="shared" si="95"/>
        <v>0</v>
      </c>
      <c r="FD12" s="38">
        <f t="shared" si="95"/>
        <v>252.8335625</v>
      </c>
      <c r="FE12" s="38">
        <f t="shared" si="96"/>
        <v>252.8335625</v>
      </c>
      <c r="FF12" s="38">
        <f t="shared" si="97"/>
        <v>525.343769</v>
      </c>
      <c r="FG12" s="38">
        <f t="shared" si="98"/>
        <v>87.0605675</v>
      </c>
      <c r="FH12" s="55"/>
      <c r="FI12" s="55"/>
      <c r="FJ12" s="55"/>
      <c r="FK12" s="55"/>
      <c r="FL12" s="55"/>
      <c r="FM12" s="55"/>
      <c r="FN12" s="55"/>
      <c r="FO12" s="55"/>
      <c r="FP12" s="55"/>
      <c r="FQ12" s="55"/>
    </row>
    <row r="13" spans="1:173" s="57" customFormat="1" ht="12.75">
      <c r="A13" s="56">
        <v>44287</v>
      </c>
      <c r="C13" s="55">
        <v>5185000</v>
      </c>
      <c r="D13" s="55">
        <v>129625</v>
      </c>
      <c r="E13" s="41">
        <f t="shared" si="0"/>
        <v>5314625</v>
      </c>
      <c r="F13" s="41">
        <v>269338</v>
      </c>
      <c r="G13" s="41">
        <v>44635</v>
      </c>
      <c r="H13" s="55"/>
      <c r="I13" s="41">
        <f t="shared" si="1"/>
        <v>14623.2555</v>
      </c>
      <c r="J13" s="47">
        <f t="shared" si="1"/>
        <v>365.5813875</v>
      </c>
      <c r="K13" s="41">
        <f t="shared" si="2"/>
        <v>14988.8368875</v>
      </c>
      <c r="L13" s="41">
        <f t="shared" si="3"/>
        <v>759.6139614</v>
      </c>
      <c r="M13" s="41">
        <f t="shared" si="3"/>
        <v>125.88409050000001</v>
      </c>
      <c r="O13" s="38">
        <f>U13+AA13+AG13+AM13+AS13+AY13+BE13+BK13+BQ13+BW13+CC13+CI13+CO13+CU13+DA13+DG13+DM13+DS13+DY13+EE13+EQ13+EK13</f>
        <v>5170376.7445</v>
      </c>
      <c r="P13" s="38">
        <f t="shared" si="4"/>
        <v>129259.41861250004</v>
      </c>
      <c r="Q13" s="38">
        <f t="shared" si="5"/>
        <v>5299636.1631125</v>
      </c>
      <c r="R13" s="38">
        <f t="shared" si="6"/>
        <v>268578.38603860006</v>
      </c>
      <c r="S13" s="38">
        <f t="shared" si="6"/>
        <v>44509.11590949998</v>
      </c>
      <c r="U13" s="55">
        <f>C13*15.05006/100</f>
        <v>780345.6109999999</v>
      </c>
      <c r="V13" s="55">
        <f t="shared" si="7"/>
        <v>19508.640275</v>
      </c>
      <c r="W13" s="38">
        <f t="shared" si="8"/>
        <v>799854.2512749999</v>
      </c>
      <c r="X13" s="38">
        <f t="shared" si="9"/>
        <v>40535.530602800005</v>
      </c>
      <c r="Y13" s="38">
        <f t="shared" si="10"/>
        <v>6717.594281000001</v>
      </c>
      <c r="Z13" s="55"/>
      <c r="AA13" s="38">
        <f>C13*16.92584/100</f>
        <v>877604.804</v>
      </c>
      <c r="AB13" s="38">
        <f t="shared" si="11"/>
        <v>21940.120100000004</v>
      </c>
      <c r="AC13" s="38">
        <f t="shared" si="12"/>
        <v>899544.9241000001</v>
      </c>
      <c r="AD13" s="38">
        <f t="shared" si="13"/>
        <v>45587.7189392</v>
      </c>
      <c r="AE13" s="38">
        <f t="shared" si="14"/>
        <v>7554.8486840000005</v>
      </c>
      <c r="AF13" s="55"/>
      <c r="AG13" s="38">
        <f>C13*9.75766/100</f>
        <v>505934.6709999999</v>
      </c>
      <c r="AH13" s="38">
        <f t="shared" si="15"/>
        <v>12648.366775</v>
      </c>
      <c r="AI13" s="38">
        <f t="shared" si="16"/>
        <v>518583.0377749999</v>
      </c>
      <c r="AJ13" s="38">
        <f t="shared" si="17"/>
        <v>26281.086290799998</v>
      </c>
      <c r="AK13" s="38">
        <f t="shared" si="18"/>
        <v>4355.331541</v>
      </c>
      <c r="AL13" s="55"/>
      <c r="AM13" s="38">
        <f>C13*7.48131/100</f>
        <v>387905.92350000003</v>
      </c>
      <c r="AN13" s="38">
        <f t="shared" si="19"/>
        <v>9697.6480875</v>
      </c>
      <c r="AO13" s="38">
        <f t="shared" si="20"/>
        <v>397603.57158750005</v>
      </c>
      <c r="AP13" s="38">
        <f t="shared" si="21"/>
        <v>20150.0107278</v>
      </c>
      <c r="AQ13" s="38">
        <f t="shared" si="22"/>
        <v>3339.2827184999996</v>
      </c>
      <c r="AR13" s="55"/>
      <c r="AS13" s="38">
        <f>C13*0.21612/100</f>
        <v>11205.822</v>
      </c>
      <c r="AT13" s="38">
        <f t="shared" si="23"/>
        <v>280.14555</v>
      </c>
      <c r="AU13" s="38">
        <f t="shared" si="24"/>
        <v>11485.96755</v>
      </c>
      <c r="AV13" s="38">
        <f t="shared" si="25"/>
        <v>582.0932856</v>
      </c>
      <c r="AW13" s="38">
        <f t="shared" si="26"/>
        <v>96.46516199999999</v>
      </c>
      <c r="AX13" s="55"/>
      <c r="AY13" s="38">
        <f>C13*0.01906/100</f>
        <v>988.2610000000001</v>
      </c>
      <c r="AZ13" s="38">
        <f t="shared" si="27"/>
        <v>24.706525000000003</v>
      </c>
      <c r="BA13" s="38">
        <f t="shared" si="28"/>
        <v>1012.9675250000001</v>
      </c>
      <c r="BB13" s="38">
        <f t="shared" si="29"/>
        <v>51.3358228</v>
      </c>
      <c r="BC13" s="38">
        <f t="shared" si="30"/>
        <v>8.507431</v>
      </c>
      <c r="BD13" s="55"/>
      <c r="BE13" s="38">
        <f>C13*0.01369/100</f>
        <v>709.8265000000001</v>
      </c>
      <c r="BF13" s="38">
        <f t="shared" si="31"/>
        <v>17.7456625</v>
      </c>
      <c r="BG13" s="38">
        <f t="shared" si="32"/>
        <v>727.5721625000001</v>
      </c>
      <c r="BH13" s="38">
        <f t="shared" si="33"/>
        <v>36.8723722</v>
      </c>
      <c r="BI13" s="38">
        <f t="shared" si="34"/>
        <v>6.1105315</v>
      </c>
      <c r="BJ13" s="55"/>
      <c r="BK13" s="38">
        <f>C13*0.23757/100</f>
        <v>12318.0045</v>
      </c>
      <c r="BL13" s="38">
        <f t="shared" si="35"/>
        <v>307.9501125</v>
      </c>
      <c r="BM13" s="38">
        <f t="shared" si="36"/>
        <v>12625.9546125</v>
      </c>
      <c r="BN13" s="38">
        <f t="shared" si="37"/>
        <v>639.8662866000001</v>
      </c>
      <c r="BO13" s="38">
        <f t="shared" si="38"/>
        <v>106.0393695</v>
      </c>
      <c r="BP13" s="55"/>
      <c r="BQ13" s="38">
        <f>C13*5.91225/100</f>
        <v>306550.1625</v>
      </c>
      <c r="BR13" s="38">
        <f t="shared" si="39"/>
        <v>7663.7540625</v>
      </c>
      <c r="BS13" s="38">
        <f t="shared" si="40"/>
        <v>314213.9165625</v>
      </c>
      <c r="BT13" s="38">
        <f t="shared" si="41"/>
        <v>15923.935905</v>
      </c>
      <c r="BU13" s="38">
        <f t="shared" si="42"/>
        <v>2638.9327875</v>
      </c>
      <c r="BV13" s="55"/>
      <c r="BW13" s="38">
        <f>C13*1.80534/100</f>
        <v>93606.879</v>
      </c>
      <c r="BX13" s="38">
        <f t="shared" si="43"/>
        <v>2340.1719749999997</v>
      </c>
      <c r="BY13" s="38">
        <f t="shared" si="44"/>
        <v>95947.050975</v>
      </c>
      <c r="BZ13" s="38">
        <f t="shared" si="45"/>
        <v>4862.466649200001</v>
      </c>
      <c r="CA13" s="38">
        <f t="shared" si="46"/>
        <v>805.8135090000001</v>
      </c>
      <c r="CB13" s="55"/>
      <c r="CC13" s="38">
        <f>C13*5.15053/100</f>
        <v>267054.9805</v>
      </c>
      <c r="CD13" s="38">
        <f t="shared" si="47"/>
        <v>6676.3745125</v>
      </c>
      <c r="CE13" s="38">
        <f t="shared" si="48"/>
        <v>273731.3550125</v>
      </c>
      <c r="CF13" s="38">
        <f t="shared" si="49"/>
        <v>13872.334491399999</v>
      </c>
      <c r="CG13" s="38">
        <f t="shared" si="50"/>
        <v>2298.9390654999997</v>
      </c>
      <c r="CH13" s="55"/>
      <c r="CI13" s="38">
        <f>C13*14.16042/100</f>
        <v>734217.777</v>
      </c>
      <c r="CJ13" s="38">
        <f t="shared" si="51"/>
        <v>18355.444425</v>
      </c>
      <c r="CK13" s="38">
        <f t="shared" si="52"/>
        <v>752573.221425</v>
      </c>
      <c r="CL13" s="38">
        <f t="shared" si="53"/>
        <v>38139.3920196</v>
      </c>
      <c r="CM13" s="38">
        <f t="shared" si="54"/>
        <v>6320.5034670000005</v>
      </c>
      <c r="CN13" s="38"/>
      <c r="CO13" s="38">
        <f>C13*6.15602/100</f>
        <v>319189.637</v>
      </c>
      <c r="CP13" s="38">
        <f t="shared" si="55"/>
        <v>7979.740925</v>
      </c>
      <c r="CQ13" s="38">
        <f t="shared" si="56"/>
        <v>327169.377925</v>
      </c>
      <c r="CR13" s="38">
        <f t="shared" si="57"/>
        <v>16580.5011476</v>
      </c>
      <c r="CS13" s="38">
        <f t="shared" si="58"/>
        <v>2747.739527</v>
      </c>
      <c r="CT13" s="55"/>
      <c r="CU13" s="38">
        <f>C13*5.37414/100</f>
        <v>278649.159</v>
      </c>
      <c r="CV13" s="38">
        <f t="shared" si="59"/>
        <v>6966.228975</v>
      </c>
      <c r="CW13" s="38">
        <f t="shared" si="60"/>
        <v>285615.38797499996</v>
      </c>
      <c r="CX13" s="38">
        <f t="shared" si="61"/>
        <v>14474.6011932</v>
      </c>
      <c r="CY13" s="38">
        <f t="shared" si="62"/>
        <v>2398.747389</v>
      </c>
      <c r="CZ13" s="55"/>
      <c r="DA13" s="80">
        <f>C13*0.69717/100</f>
        <v>36148.2645</v>
      </c>
      <c r="DB13" s="80">
        <f t="shared" si="63"/>
        <v>903.7066124999999</v>
      </c>
      <c r="DC13" s="80">
        <f t="shared" si="64"/>
        <v>37051.971112499996</v>
      </c>
      <c r="DD13" s="38">
        <f t="shared" si="65"/>
        <v>1877.7437346</v>
      </c>
      <c r="DE13" s="38">
        <f t="shared" si="66"/>
        <v>311.1818295</v>
      </c>
      <c r="DF13" s="55"/>
      <c r="DG13" s="38">
        <f>C13*0.02011/100</f>
        <v>1042.7034999999998</v>
      </c>
      <c r="DH13" s="38">
        <f t="shared" si="67"/>
        <v>26.0675875</v>
      </c>
      <c r="DI13" s="38">
        <f t="shared" si="68"/>
        <v>1068.7710874999998</v>
      </c>
      <c r="DJ13" s="38">
        <f t="shared" si="69"/>
        <v>54.1638718</v>
      </c>
      <c r="DK13" s="38">
        <f t="shared" si="70"/>
        <v>8.9760985</v>
      </c>
      <c r="DL13" s="55"/>
      <c r="DM13" s="38">
        <f>C13*4.70981/100</f>
        <v>244203.6485</v>
      </c>
      <c r="DN13" s="38">
        <f t="shared" si="71"/>
        <v>6105.0912124999995</v>
      </c>
      <c r="DO13" s="38">
        <f t="shared" si="72"/>
        <v>250308.7397125</v>
      </c>
      <c r="DP13" s="38">
        <f t="shared" si="73"/>
        <v>12685.308057799999</v>
      </c>
      <c r="DQ13" s="38">
        <f t="shared" si="74"/>
        <v>2102.2236935</v>
      </c>
      <c r="DR13" s="55"/>
      <c r="DS13" s="38">
        <f>C13*0.28727/100</f>
        <v>14894.949500000002</v>
      </c>
      <c r="DT13" s="38">
        <f t="shared" si="75"/>
        <v>372.37373750000006</v>
      </c>
      <c r="DU13" s="38">
        <f t="shared" si="76"/>
        <v>15267.323237500003</v>
      </c>
      <c r="DV13" s="38">
        <f t="shared" si="77"/>
        <v>773.7272726</v>
      </c>
      <c r="DW13" s="38">
        <f t="shared" si="78"/>
        <v>128.22296450000002</v>
      </c>
      <c r="DX13" s="55"/>
      <c r="DY13" s="38">
        <f>C13*4.87421/100</f>
        <v>252727.78849999997</v>
      </c>
      <c r="DZ13" s="38">
        <f t="shared" si="79"/>
        <v>6318.1947125</v>
      </c>
      <c r="EA13" s="38">
        <f t="shared" si="80"/>
        <v>259045.98321249997</v>
      </c>
      <c r="EB13" s="38">
        <f t="shared" si="81"/>
        <v>13128.099729799998</v>
      </c>
      <c r="EC13" s="38">
        <f t="shared" si="82"/>
        <v>2175.6036335</v>
      </c>
      <c r="ED13" s="55"/>
      <c r="EE13" s="38">
        <f>C13*0.60754/100</f>
        <v>31500.949</v>
      </c>
      <c r="EF13" s="38">
        <f t="shared" si="83"/>
        <v>787.523725</v>
      </c>
      <c r="EG13" s="38">
        <f t="shared" si="84"/>
        <v>32288.472725</v>
      </c>
      <c r="EH13" s="38">
        <f t="shared" si="85"/>
        <v>1636.3360852</v>
      </c>
      <c r="EI13" s="38">
        <f t="shared" si="86"/>
        <v>271.175479</v>
      </c>
      <c r="EJ13" s="55"/>
      <c r="EK13" s="38">
        <f>C13*0.26185/100</f>
        <v>13576.922500000002</v>
      </c>
      <c r="EL13" s="38">
        <f t="shared" si="87"/>
        <v>339.4230625</v>
      </c>
      <c r="EM13" s="38">
        <f t="shared" si="88"/>
        <v>13916.345562500002</v>
      </c>
      <c r="EN13" s="38">
        <f t="shared" si="89"/>
        <v>705.261553</v>
      </c>
      <c r="EO13" s="38">
        <f t="shared" si="90"/>
        <v>116.87674750000001</v>
      </c>
      <c r="EP13" s="55"/>
      <c r="EQ13" s="38"/>
      <c r="ER13" s="38"/>
      <c r="ES13" s="38"/>
      <c r="ET13" s="38"/>
      <c r="EU13" s="38"/>
      <c r="EV13" s="55"/>
      <c r="EW13" s="55">
        <f t="shared" si="91"/>
        <v>4509.913</v>
      </c>
      <c r="EX13" s="55">
        <f t="shared" si="91"/>
        <v>112.74782499999999</v>
      </c>
      <c r="EY13" s="38">
        <f t="shared" si="92"/>
        <v>4622.660825</v>
      </c>
      <c r="EZ13" s="38">
        <f t="shared" si="93"/>
        <v>234.2701924</v>
      </c>
      <c r="FA13" s="38">
        <f t="shared" si="94"/>
        <v>38.823523</v>
      </c>
      <c r="FB13" s="55"/>
      <c r="FC13" s="38">
        <f t="shared" si="95"/>
        <v>10113.3425</v>
      </c>
      <c r="FD13" s="38">
        <f t="shared" si="95"/>
        <v>252.8335625</v>
      </c>
      <c r="FE13" s="38">
        <f t="shared" si="96"/>
        <v>10366.1760625</v>
      </c>
      <c r="FF13" s="38">
        <f t="shared" si="97"/>
        <v>525.343769</v>
      </c>
      <c r="FG13" s="38">
        <f t="shared" si="98"/>
        <v>87.0605675</v>
      </c>
      <c r="FH13" s="55"/>
      <c r="FI13" s="55"/>
      <c r="FJ13" s="55"/>
      <c r="FK13" s="55"/>
      <c r="FL13" s="55"/>
      <c r="FM13" s="55"/>
      <c r="FN13" s="55"/>
      <c r="FO13" s="55"/>
      <c r="FP13" s="55"/>
      <c r="FQ13" s="55"/>
    </row>
    <row r="14" spans="3:173" ht="12.75">
      <c r="C14" s="47"/>
      <c r="D14" s="47"/>
      <c r="E14" s="47"/>
      <c r="F14" s="47"/>
      <c r="G14" s="47"/>
      <c r="I14" s="47"/>
      <c r="J14" s="47"/>
      <c r="K14" s="47"/>
      <c r="L14" s="47"/>
      <c r="M14" s="47"/>
      <c r="U14" s="55"/>
      <c r="V14" s="55"/>
      <c r="W14" s="55"/>
      <c r="X14" s="55"/>
      <c r="Y14" s="55"/>
      <c r="Z14" s="38"/>
      <c r="AA14" s="38"/>
      <c r="AB14" s="38"/>
      <c r="AC14" s="38"/>
      <c r="AD14" s="38"/>
      <c r="AE14" s="38"/>
      <c r="AF14" s="38"/>
      <c r="AG14" s="55"/>
      <c r="AH14" s="55"/>
      <c r="AI14" s="55"/>
      <c r="AJ14" s="55"/>
      <c r="AK14" s="55"/>
      <c r="AL14" s="38"/>
      <c r="AM14" s="55"/>
      <c r="AN14" s="55"/>
      <c r="AO14" s="55"/>
      <c r="AP14" s="55"/>
      <c r="AQ14" s="55"/>
      <c r="AR14" s="38"/>
      <c r="AS14" s="55"/>
      <c r="AT14" s="55"/>
      <c r="AU14" s="55"/>
      <c r="AV14" s="55"/>
      <c r="AW14" s="55"/>
      <c r="AX14" s="38"/>
      <c r="AY14" s="55"/>
      <c r="AZ14" s="55"/>
      <c r="BA14" s="55"/>
      <c r="BB14" s="55"/>
      <c r="BC14" s="55"/>
      <c r="BD14" s="38"/>
      <c r="BE14" s="55"/>
      <c r="BF14" s="55"/>
      <c r="BG14" s="55"/>
      <c r="BH14" s="55"/>
      <c r="BI14" s="55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55"/>
      <c r="CV14" s="55"/>
      <c r="CW14" s="55"/>
      <c r="CX14" s="55"/>
      <c r="CY14" s="55"/>
      <c r="CZ14" s="55"/>
      <c r="DA14" s="81"/>
      <c r="DB14" s="81"/>
      <c r="DC14" s="81"/>
      <c r="DD14" s="81"/>
      <c r="DE14" s="81"/>
      <c r="DF14" s="55"/>
      <c r="DG14" s="55"/>
      <c r="DH14" s="55"/>
      <c r="DI14" s="55"/>
      <c r="DJ14" s="55"/>
      <c r="DK14" s="55"/>
      <c r="DL14" s="38"/>
      <c r="DM14" s="38"/>
      <c r="DN14" s="38"/>
      <c r="DO14" s="38"/>
      <c r="DP14" s="38" t="s">
        <v>82</v>
      </c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55"/>
      <c r="ER14" s="55"/>
      <c r="ES14" s="55"/>
      <c r="ET14" s="55"/>
      <c r="EU14" s="55"/>
      <c r="EV14" s="38"/>
      <c r="EW14" s="55"/>
      <c r="EX14" s="55"/>
      <c r="EY14" s="55"/>
      <c r="EZ14" s="55"/>
      <c r="FA14" s="55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</row>
    <row r="15" spans="1:173" ht="13.5" thickBot="1">
      <c r="A15" s="36" t="s">
        <v>4</v>
      </c>
      <c r="C15" s="54">
        <f>SUM(C8:C13)</f>
        <v>14465000</v>
      </c>
      <c r="D15" s="54">
        <f>SUM(D8:D13)</f>
        <v>1469500</v>
      </c>
      <c r="E15" s="54">
        <f>SUM(E8:E13)</f>
        <v>15934500</v>
      </c>
      <c r="F15" s="54">
        <f>SUM(F8:F13)</f>
        <v>1616028</v>
      </c>
      <c r="G15" s="54">
        <f>SUM(G8:G13)</f>
        <v>267810</v>
      </c>
      <c r="I15" s="54">
        <f>SUM(I8:I13)</f>
        <v>40795.6395</v>
      </c>
      <c r="J15" s="54">
        <f>SUM(J8:J13)</f>
        <v>4144.43085</v>
      </c>
      <c r="K15" s="54">
        <f>SUM(K8:K13)</f>
        <v>44940.07035</v>
      </c>
      <c r="L15" s="54">
        <f>SUM(L8:L13)</f>
        <v>4557.6837684</v>
      </c>
      <c r="M15" s="54">
        <f>SUM(M8:M13)</f>
        <v>755.304543</v>
      </c>
      <c r="O15" s="54">
        <f>SUM(O8:O13)</f>
        <v>14424204.360499999</v>
      </c>
      <c r="P15" s="54">
        <f>SUM(P8:P13)</f>
        <v>1465355.5691499999</v>
      </c>
      <c r="Q15" s="54">
        <f>SUM(Q8:Q13)</f>
        <v>15889559.929650001</v>
      </c>
      <c r="R15" s="54">
        <f>SUM(R8:R13)</f>
        <v>1611470.3162316002</v>
      </c>
      <c r="S15" s="54">
        <f>SUM(S8:S13)</f>
        <v>267054.6954569999</v>
      </c>
      <c r="U15" s="54">
        <f>SUM(U8:U13)</f>
        <v>2176991.179</v>
      </c>
      <c r="V15" s="54">
        <f>SUM(V8:V13)</f>
        <v>221160.63170000003</v>
      </c>
      <c r="W15" s="54">
        <f>SUM(W8:W13)</f>
        <v>2398151.8107</v>
      </c>
      <c r="X15" s="54">
        <f>SUM(X8:X14)</f>
        <v>243213.18361680006</v>
      </c>
      <c r="Y15" s="54">
        <f>SUM(Y8:Y14)</f>
        <v>40305.565686</v>
      </c>
      <c r="Z15" s="38"/>
      <c r="AA15" s="54">
        <f>SUM(AA8:AA13)</f>
        <v>2448322.756</v>
      </c>
      <c r="AB15" s="54">
        <f>SUM(AB8:AB13)</f>
        <v>248725.21880000003</v>
      </c>
      <c r="AC15" s="54">
        <f>SUM(AC8:AC13)</f>
        <v>2697047.9748</v>
      </c>
      <c r="AD15" s="54">
        <f>SUM(AD8:AD13)</f>
        <v>273526.3136352</v>
      </c>
      <c r="AE15" s="54">
        <f>SUM(AE8:AE13)</f>
        <v>45329.092103999996</v>
      </c>
      <c r="AF15" s="38"/>
      <c r="AG15" s="54">
        <f>SUM(AG8:AG13)</f>
        <v>1411445.5189999999</v>
      </c>
      <c r="AH15" s="54">
        <f>SUM(AH8:AH13)</f>
        <v>143388.8137</v>
      </c>
      <c r="AI15" s="54">
        <f>SUM(AI8:AI13)</f>
        <v>1554834.3326999997</v>
      </c>
      <c r="AJ15" s="54">
        <f>SUM(AJ8:AJ13)</f>
        <v>157686.51774480002</v>
      </c>
      <c r="AK15" s="54">
        <f>SUM(AK8:AK13)</f>
        <v>26131.989245999997</v>
      </c>
      <c r="AL15" s="38"/>
      <c r="AM15" s="54">
        <f>SUM(AM8:AM13)</f>
        <v>1082171.4915</v>
      </c>
      <c r="AN15" s="54">
        <f>SUM(AN8:AN13)</f>
        <v>109937.85044999998</v>
      </c>
      <c r="AO15" s="54">
        <f>SUM(AO8:AO13)</f>
        <v>1192109.34195</v>
      </c>
      <c r="AP15" s="54">
        <f>SUM(AP8:AP13)</f>
        <v>120900.06436679998</v>
      </c>
      <c r="AQ15" s="54">
        <f>SUM(AQ8:AQ13)</f>
        <v>20035.696310999996</v>
      </c>
      <c r="AR15" s="38"/>
      <c r="AS15" s="54">
        <f>SUM(AS8:AS13)</f>
        <v>31261.758</v>
      </c>
      <c r="AT15" s="54">
        <f>SUM(AT8:AT13)</f>
        <v>3175.8834</v>
      </c>
      <c r="AU15" s="54">
        <f>SUM(AU8:AU13)</f>
        <v>34437.6414</v>
      </c>
      <c r="AV15" s="54">
        <f>SUM(AV8:AV13)</f>
        <v>3492.5597135999997</v>
      </c>
      <c r="AW15" s="54">
        <f>SUM(AW8:AW13)</f>
        <v>578.7909719999999</v>
      </c>
      <c r="AX15" s="38"/>
      <c r="AY15" s="54">
        <f>SUM(AY8:AY13)</f>
        <v>2757.029</v>
      </c>
      <c r="AZ15" s="54">
        <f>SUM(AZ8:AZ13)</f>
        <v>280.0867</v>
      </c>
      <c r="BA15" s="54">
        <f>SUM(BA8:BA13)</f>
        <v>3037.1157000000003</v>
      </c>
      <c r="BB15" s="54">
        <f>SUM(BB8:BB13)</f>
        <v>308.01493680000004</v>
      </c>
      <c r="BC15" s="54">
        <f>SUM(BC8:BC13)</f>
        <v>51.044585999999995</v>
      </c>
      <c r="BD15" s="38"/>
      <c r="BE15" s="54">
        <f>SUM(BE8:BE13)</f>
        <v>1980.2585000000004</v>
      </c>
      <c r="BF15" s="54">
        <f>SUM(BF8:BF13)</f>
        <v>201.17455000000004</v>
      </c>
      <c r="BG15" s="54">
        <f>SUM(BG8:BG13)</f>
        <v>2181.43305</v>
      </c>
      <c r="BH15" s="54">
        <f>SUM(BH8:BH13)</f>
        <v>221.2342332</v>
      </c>
      <c r="BI15" s="54">
        <f>SUM(BI8:BI13)</f>
        <v>36.663188999999996</v>
      </c>
      <c r="BJ15" s="38"/>
      <c r="BK15" s="54">
        <f>SUM(BK8:BK13)</f>
        <v>34364.500499999995</v>
      </c>
      <c r="BL15" s="54">
        <f>SUM(BL8:BL13)</f>
        <v>3491.09115</v>
      </c>
      <c r="BM15" s="54">
        <f>SUM(BM8:BM13)</f>
        <v>37855.59165</v>
      </c>
      <c r="BN15" s="54">
        <f>SUM(BN8:BN13)</f>
        <v>3839.1977196000003</v>
      </c>
      <c r="BO15" s="54">
        <f>SUM(BO8:BO13)</f>
        <v>636.236217</v>
      </c>
      <c r="BP15" s="38"/>
      <c r="BQ15" s="54">
        <f>SUM(BQ8:BQ13)</f>
        <v>855206.9625</v>
      </c>
      <c r="BR15" s="54">
        <f>SUM(BR8:BR13)</f>
        <v>86880.51374999998</v>
      </c>
      <c r="BS15" s="54">
        <f>SUM(BS8:BS13)</f>
        <v>942087.4762500001</v>
      </c>
      <c r="BT15" s="54">
        <f>SUM(BT8:BT13)</f>
        <v>95543.61543</v>
      </c>
      <c r="BU15" s="54">
        <f>SUM(BU8:BU13)</f>
        <v>15833.596725</v>
      </c>
      <c r="BV15" s="38"/>
      <c r="BW15" s="54">
        <f>SUM(BW8:BW13)</f>
        <v>261142.43100000004</v>
      </c>
      <c r="BX15" s="54">
        <f>SUM(BX8:BX13)</f>
        <v>26529.4713</v>
      </c>
      <c r="BY15" s="54">
        <f>SUM(BY8:BY13)</f>
        <v>287671.9023</v>
      </c>
      <c r="BZ15" s="54">
        <f>SUM(BZ8:BZ13)</f>
        <v>29174.7998952</v>
      </c>
      <c r="CA15" s="54">
        <f>SUM(CA8:CA13)</f>
        <v>4834.881054</v>
      </c>
      <c r="CB15" s="38"/>
      <c r="CC15" s="54">
        <f>SUM(CC8:CC13)</f>
        <v>745024.1645</v>
      </c>
      <c r="CD15" s="54">
        <f>SUM(CD8:CD13)</f>
        <v>75687.03834999999</v>
      </c>
      <c r="CE15" s="54">
        <f>SUM(CE8:CE13)</f>
        <v>820711.20285</v>
      </c>
      <c r="CF15" s="54">
        <f>SUM(CF8:CF13)</f>
        <v>83234.0069484</v>
      </c>
      <c r="CG15" s="54">
        <f>SUM(CG8:CG13)</f>
        <v>13793.634392999997</v>
      </c>
      <c r="CH15" s="38"/>
      <c r="CI15" s="54">
        <f>SUM(CI8:CI13)</f>
        <v>2048304.753</v>
      </c>
      <c r="CJ15" s="54">
        <f>SUM(CJ8:CJ13)</f>
        <v>208087.3719</v>
      </c>
      <c r="CK15" s="54">
        <f>SUM(CK8:CK13)</f>
        <v>2256392.1249</v>
      </c>
      <c r="CL15" s="54">
        <f>SUM(CL8:CL13)</f>
        <v>228836.3521176</v>
      </c>
      <c r="CM15" s="54">
        <f>SUM(CM8:CM13)</f>
        <v>37923.02080200001</v>
      </c>
      <c r="CN15" s="47"/>
      <c r="CO15" s="54">
        <f>SUM(CO8:CO13)</f>
        <v>890468.293</v>
      </c>
      <c r="CP15" s="54">
        <f>SUM(CP8:CP13)</f>
        <v>90462.7139</v>
      </c>
      <c r="CQ15" s="54">
        <f>SUM(CQ8:CQ13)</f>
        <v>980931.0068999999</v>
      </c>
      <c r="CR15" s="54">
        <f>SUM(CR8:CR13)</f>
        <v>99483.00688560001</v>
      </c>
      <c r="CS15" s="54">
        <f>SUM(CS8:CS13)</f>
        <v>16486.437162000002</v>
      </c>
      <c r="CT15" s="38"/>
      <c r="CU15" s="54">
        <f>SUM(CU8:CU13)</f>
        <v>777369.351</v>
      </c>
      <c r="CV15" s="54">
        <f>SUM(CV8:CV13)</f>
        <v>78972.98730000001</v>
      </c>
      <c r="CW15" s="54">
        <f>SUM(CW8:CW13)</f>
        <v>856342.3383</v>
      </c>
      <c r="CX15" s="54">
        <f>SUM(CX8:CX13)</f>
        <v>86847.6071592</v>
      </c>
      <c r="CY15" s="54">
        <f>SUM(CY8:CY13)</f>
        <v>14392.484334</v>
      </c>
      <c r="CZ15" s="47"/>
      <c r="DA15" s="82">
        <f>SUM(DA8:DA13)</f>
        <v>100845.6405</v>
      </c>
      <c r="DB15" s="82">
        <f>SUM(DB8:DB13)</f>
        <v>10244.91315</v>
      </c>
      <c r="DC15" s="82">
        <f>SUM(DC8:DC13)</f>
        <v>111090.55364999999</v>
      </c>
      <c r="DD15" s="82">
        <f>SUM(DD8:DD13)</f>
        <v>11266.4624076</v>
      </c>
      <c r="DE15" s="82">
        <f>SUM(DE8:DE13)</f>
        <v>1867.090977</v>
      </c>
      <c r="DF15" s="47"/>
      <c r="DG15" s="54">
        <f>SUM(DG8:DG13)</f>
        <v>2908.9115</v>
      </c>
      <c r="DH15" s="54">
        <f>SUM(DH8:DH13)</f>
        <v>295.51644999999996</v>
      </c>
      <c r="DI15" s="54">
        <f>SUM(DI8:DI13)</f>
        <v>3204.42795</v>
      </c>
      <c r="DJ15" s="54">
        <f>SUM(DJ8:DJ13)</f>
        <v>324.9832308</v>
      </c>
      <c r="DK15" s="54">
        <f>SUM(DK8:DK13)</f>
        <v>53.856591</v>
      </c>
      <c r="DL15" s="38"/>
      <c r="DM15" s="54">
        <f>SUM(DM8:DM13)</f>
        <v>681274.0165</v>
      </c>
      <c r="DN15" s="54">
        <f>SUM(DN8:DN13)</f>
        <v>69210.65795000001</v>
      </c>
      <c r="DO15" s="54">
        <f>SUM(DO8:DO13)</f>
        <v>750484.67445</v>
      </c>
      <c r="DP15" s="54">
        <f>SUM(DP8:DP13)</f>
        <v>76111.84834679999</v>
      </c>
      <c r="DQ15" s="54">
        <f>SUM(DQ8:DQ13)</f>
        <v>12613.342161</v>
      </c>
      <c r="DR15" s="38"/>
      <c r="DS15" s="54">
        <f>SUM(DS8:DS13)</f>
        <v>41553.605500000005</v>
      </c>
      <c r="DT15" s="54">
        <f>SUM(DT8:DT13)</f>
        <v>4221.432650000001</v>
      </c>
      <c r="DU15" s="54">
        <f>SUM(DU8:DU13)</f>
        <v>45775.03815</v>
      </c>
      <c r="DV15" s="54">
        <f>SUM(DV8:DV13)</f>
        <v>4642.3636356</v>
      </c>
      <c r="DW15" s="54">
        <f>SUM(DW8:DW13)</f>
        <v>769.337787</v>
      </c>
      <c r="DX15" s="38"/>
      <c r="DY15" s="54">
        <f>SUM(DY8:DY13)</f>
        <v>705054.4764999999</v>
      </c>
      <c r="DZ15" s="54">
        <f>SUM(DZ8:DZ13)</f>
        <v>71626.51595</v>
      </c>
      <c r="EA15" s="54">
        <f>SUM(EA8:EA13)</f>
        <v>776680.9924499999</v>
      </c>
      <c r="EB15" s="54">
        <f>SUM(EB8:EB13)</f>
        <v>78768.59837879999</v>
      </c>
      <c r="EC15" s="54">
        <f>SUM(EC8:EC13)</f>
        <v>13053.621800999998</v>
      </c>
      <c r="ED15" s="38"/>
      <c r="EE15" s="54">
        <f>SUM(EE8:EE13)</f>
        <v>87880.661</v>
      </c>
      <c r="EF15" s="54">
        <f>SUM(EF8:EF13)</f>
        <v>8927.800299999999</v>
      </c>
      <c r="EG15" s="54">
        <f>SUM(EG8:EG13)</f>
        <v>96808.4613</v>
      </c>
      <c r="EH15" s="54">
        <f>SUM(EH8:EH13)</f>
        <v>9818.016511200001</v>
      </c>
      <c r="EI15" s="54">
        <f>SUM(EI8:EI13)</f>
        <v>1627.052874</v>
      </c>
      <c r="EJ15" s="38"/>
      <c r="EK15" s="54">
        <f>SUM(EK8:EK13)</f>
        <v>37876.60250000001</v>
      </c>
      <c r="EL15" s="54">
        <f>SUM(EL8:EL13)</f>
        <v>3847.8857500000004</v>
      </c>
      <c r="EM15" s="54">
        <f>SUM(EM8:EM13)</f>
        <v>41724.48825000001</v>
      </c>
      <c r="EN15" s="54">
        <f>SUM(EN8:EN13)</f>
        <v>4231.569318000001</v>
      </c>
      <c r="EO15" s="54">
        <f>SUM(EO8:EO13)</f>
        <v>701.260485</v>
      </c>
      <c r="EP15" s="38"/>
      <c r="EQ15" s="54">
        <f>SUM(EQ8:EQ13)</f>
        <v>0</v>
      </c>
      <c r="ER15" s="54">
        <f>SUM(ER8:ER13)</f>
        <v>0</v>
      </c>
      <c r="ES15" s="54">
        <f>SUM(ES8:ES13)</f>
        <v>0</v>
      </c>
      <c r="ET15" s="47"/>
      <c r="EU15" s="47"/>
      <c r="EV15" s="38"/>
      <c r="EW15" s="54">
        <f>SUM(EW8:EW14)</f>
        <v>12581.657</v>
      </c>
      <c r="EX15" s="54">
        <f>SUM(EX8:EX14)</f>
        <v>1278.1710999999998</v>
      </c>
      <c r="EY15" s="54">
        <f>SUM(EY8:EY14)</f>
        <v>13859.828100000002</v>
      </c>
      <c r="EZ15" s="54">
        <f>SUM(EZ8:EZ14)</f>
        <v>1405.6211544</v>
      </c>
      <c r="FA15" s="54">
        <f>SUM(FA8:FA14)</f>
        <v>232.941138</v>
      </c>
      <c r="FB15" s="38"/>
      <c r="FC15" s="54">
        <f>SUM(FC8:FC14)</f>
        <v>28213.9825</v>
      </c>
      <c r="FD15" s="54">
        <f>SUM(FD8:FD14)</f>
        <v>2866.25975</v>
      </c>
      <c r="FE15" s="54">
        <f>SUM(FE8:FE14)</f>
        <v>31080.242249999996</v>
      </c>
      <c r="FF15" s="54">
        <f>SUM(FF8:FF14)</f>
        <v>3152.062614</v>
      </c>
      <c r="FG15" s="54">
        <f>SUM(FG8:FG14)</f>
        <v>522.3634050000001</v>
      </c>
      <c r="FH15" s="38"/>
      <c r="FI15" s="38"/>
      <c r="FJ15" s="38"/>
      <c r="FK15" s="38"/>
      <c r="FL15" s="38"/>
      <c r="FM15" s="38"/>
      <c r="FN15" s="38"/>
      <c r="FO15" s="38"/>
      <c r="FP15" s="38"/>
      <c r="FQ15" s="38"/>
    </row>
    <row r="16" spans="105:109" ht="13.5" thickTop="1">
      <c r="DA16" s="83"/>
      <c r="DB16" s="83"/>
      <c r="DC16" s="83"/>
      <c r="DD16" s="83"/>
      <c r="DE16" s="83"/>
    </row>
    <row r="17" spans="3:109" ht="12.75">
      <c r="C17" s="41">
        <f>I15+O15</f>
        <v>14464999.999999998</v>
      </c>
      <c r="D17" s="41">
        <f>J15+P15</f>
        <v>1469499.9999999998</v>
      </c>
      <c r="F17" s="41">
        <f>L15+R15</f>
        <v>1616028.0000000002</v>
      </c>
      <c r="G17" s="41">
        <f>M15+S15</f>
        <v>267809.9999999999</v>
      </c>
      <c r="U17" s="23">
        <f>SUM(U8:U14)</f>
        <v>2176991.179</v>
      </c>
      <c r="AA17" s="23">
        <f>SUM(AA8:AA14)</f>
        <v>2448322.756</v>
      </c>
      <c r="DA17" s="83"/>
      <c r="DB17" s="83"/>
      <c r="DC17" s="83"/>
      <c r="DD17" s="83"/>
      <c r="DE17" s="83"/>
    </row>
    <row r="18" spans="105:109" ht="12.75">
      <c r="DA18" s="83"/>
      <c r="DB18" s="83"/>
      <c r="DC18" s="83"/>
      <c r="DD18" s="83"/>
      <c r="DE18" s="83"/>
    </row>
  </sheetData>
  <sheetProtection/>
  <printOptions/>
  <pageMargins left="0.75" right="0.75" top="1" bottom="1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3" sqref="G43"/>
    </sheetView>
  </sheetViews>
  <sheetFormatPr defaultColWidth="8.8515625" defaultRowHeight="12.75"/>
  <cols>
    <col min="1" max="1" width="6.7109375" style="0" customWidth="1"/>
    <col min="2" max="2" width="20.7109375" style="0" customWidth="1"/>
    <col min="3" max="3" width="25.7109375" style="0" customWidth="1"/>
    <col min="4" max="9" width="13.7109375" style="6" customWidth="1"/>
    <col min="10" max="10" width="12.7109375" style="6" customWidth="1"/>
    <col min="11" max="13" width="13.7109375" style="6" customWidth="1"/>
    <col min="14" max="14" width="13.7109375" style="13" customWidth="1"/>
    <col min="15" max="15" width="10.28125" style="0" bestFit="1" customWidth="1"/>
  </cols>
  <sheetData>
    <row r="1" ht="12.75">
      <c r="A1" s="21" t="s">
        <v>47</v>
      </c>
    </row>
    <row r="2" spans="5:13" ht="12.75">
      <c r="E2" s="13"/>
      <c r="F2" s="13"/>
      <c r="G2" s="13"/>
      <c r="H2" s="13"/>
      <c r="I2" s="13"/>
      <c r="J2" s="13"/>
      <c r="K2" s="13"/>
      <c r="L2" s="13"/>
      <c r="M2" s="13"/>
    </row>
    <row r="3" spans="1:14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16" t="s">
        <v>0</v>
      </c>
    </row>
    <row r="4" spans="1:14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19</v>
      </c>
      <c r="H4" s="4" t="s">
        <v>6</v>
      </c>
      <c r="I4" s="4" t="s">
        <v>48</v>
      </c>
      <c r="J4" s="5" t="s">
        <v>7</v>
      </c>
      <c r="K4" s="5" t="s">
        <v>20</v>
      </c>
      <c r="L4" s="5" t="s">
        <v>8</v>
      </c>
      <c r="M4" s="5" t="s">
        <v>18</v>
      </c>
      <c r="N4" s="17" t="s">
        <v>9</v>
      </c>
    </row>
    <row r="5" spans="1:14" s="12" customFormat="1" ht="13.5" thickBot="1">
      <c r="A5" s="9"/>
      <c r="B5" s="9"/>
      <c r="C5" s="9" t="s">
        <v>10</v>
      </c>
      <c r="D5" s="10">
        <f aca="true" t="shared" si="0" ref="D5:L5">SUM(D7:D30)</f>
        <v>74918330.94</v>
      </c>
      <c r="E5" s="10">
        <f t="shared" si="0"/>
        <v>37057407.47</v>
      </c>
      <c r="F5" s="10">
        <f t="shared" si="0"/>
        <v>243146.76</v>
      </c>
      <c r="G5" s="10">
        <f t="shared" si="0"/>
        <v>9640585.5</v>
      </c>
      <c r="H5" s="10">
        <f t="shared" si="0"/>
        <v>19246957</v>
      </c>
      <c r="I5" s="10">
        <f t="shared" si="0"/>
        <v>522309.72</v>
      </c>
      <c r="J5" s="10">
        <f t="shared" si="0"/>
        <v>161191.93</v>
      </c>
      <c r="K5" s="10">
        <f t="shared" si="0"/>
        <v>3528509.5</v>
      </c>
      <c r="L5" s="10">
        <f t="shared" si="0"/>
        <v>215215.87</v>
      </c>
      <c r="M5" s="10">
        <f>SUM(M7:M30)</f>
        <v>4303007.1899999995</v>
      </c>
      <c r="N5" s="18"/>
    </row>
    <row r="6" spans="1:14" ht="13.5" thickTop="1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19"/>
    </row>
    <row r="7" spans="1:14" ht="12.75">
      <c r="A7" t="s">
        <v>17</v>
      </c>
      <c r="B7" s="33" t="s">
        <v>71</v>
      </c>
      <c r="C7" t="s">
        <v>11</v>
      </c>
      <c r="D7" s="6">
        <f aca="true" t="shared" si="1" ref="D7:D29">SUM(E7:M7)</f>
        <v>65164.12</v>
      </c>
      <c r="F7" s="6">
        <f>65164.12</f>
        <v>65164.12</v>
      </c>
      <c r="N7" s="13">
        <f>D7/D5</f>
        <v>0.0008698020789089406</v>
      </c>
    </row>
    <row r="8" spans="1:15" ht="12.75">
      <c r="A8" s="33" t="s">
        <v>7</v>
      </c>
      <c r="B8" s="33" t="s">
        <v>71</v>
      </c>
      <c r="C8" t="s">
        <v>11</v>
      </c>
      <c r="D8" s="6">
        <f t="shared" si="1"/>
        <v>146124</v>
      </c>
      <c r="J8" s="6">
        <f>146124</f>
        <v>146124</v>
      </c>
      <c r="N8" s="13">
        <f>D8/D5</f>
        <v>0.0019504438789089767</v>
      </c>
      <c r="O8" s="13">
        <f>SUM(N7:N8)</f>
        <v>0.0028202459578179173</v>
      </c>
    </row>
    <row r="9" spans="1:14" ht="12.75">
      <c r="A9" t="s">
        <v>5</v>
      </c>
      <c r="B9" s="21" t="s">
        <v>28</v>
      </c>
      <c r="C9" t="s">
        <v>50</v>
      </c>
      <c r="D9" s="6">
        <f t="shared" si="1"/>
        <v>11275251.68</v>
      </c>
      <c r="E9" s="6">
        <f>11275251.68</f>
        <v>11275251.68</v>
      </c>
      <c r="N9" s="13">
        <v>0.1505006</v>
      </c>
    </row>
    <row r="10" spans="1:14" ht="12.75">
      <c r="A10" t="s">
        <v>5</v>
      </c>
      <c r="B10" s="33" t="s">
        <v>49</v>
      </c>
      <c r="C10" t="s">
        <v>50</v>
      </c>
      <c r="D10" s="6">
        <f t="shared" si="1"/>
        <v>12680561.08</v>
      </c>
      <c r="E10" s="6">
        <f>12680561.08</f>
        <v>12680561.08</v>
      </c>
      <c r="N10" s="13">
        <v>0.1692584</v>
      </c>
    </row>
    <row r="11" spans="1:14" ht="12.75">
      <c r="A11" t="s">
        <v>5</v>
      </c>
      <c r="B11" s="33" t="s">
        <v>28</v>
      </c>
      <c r="C11" t="s">
        <v>51</v>
      </c>
      <c r="D11" s="6">
        <f t="shared" si="1"/>
        <v>14279.61</v>
      </c>
      <c r="E11" s="6">
        <v>14279.61</v>
      </c>
      <c r="N11" s="13">
        <f>D11/D5</f>
        <v>0.00019060235086438513</v>
      </c>
    </row>
    <row r="12" spans="1:14" ht="12.75">
      <c r="A12" t="s">
        <v>5</v>
      </c>
      <c r="B12" s="21" t="s">
        <v>55</v>
      </c>
      <c r="C12" t="s">
        <v>53</v>
      </c>
      <c r="D12" s="6">
        <f t="shared" si="1"/>
        <v>7310274.54</v>
      </c>
      <c r="E12" s="6">
        <f>1000877.87+6309396.67</f>
        <v>7310274.54</v>
      </c>
      <c r="N12" s="13">
        <f>D12/D5</f>
        <v>0.09757658036795554</v>
      </c>
    </row>
    <row r="13" spans="1:14" ht="12.75">
      <c r="A13" t="s">
        <v>5</v>
      </c>
      <c r="B13" t="s">
        <v>23</v>
      </c>
      <c r="C13" t="s">
        <v>54</v>
      </c>
      <c r="D13" s="6">
        <f t="shared" si="1"/>
        <v>5604872.71</v>
      </c>
      <c r="E13" s="6">
        <v>5604872.71</v>
      </c>
      <c r="N13" s="13">
        <f>D13/D5</f>
        <v>0.0748131016758607</v>
      </c>
    </row>
    <row r="14" spans="1:14" ht="12.75">
      <c r="A14" t="s">
        <v>5</v>
      </c>
      <c r="B14" t="s">
        <v>23</v>
      </c>
      <c r="C14" t="s">
        <v>27</v>
      </c>
      <c r="D14" s="6">
        <f t="shared" si="1"/>
        <v>161914.68</v>
      </c>
      <c r="E14" s="6">
        <v>161914.68</v>
      </c>
      <c r="N14" s="13">
        <f>D14/D5</f>
        <v>0.0021612157928301012</v>
      </c>
    </row>
    <row r="15" spans="1:14" ht="12.75">
      <c r="A15" t="s">
        <v>5</v>
      </c>
      <c r="B15" t="s">
        <v>21</v>
      </c>
      <c r="C15" t="s">
        <v>22</v>
      </c>
      <c r="D15" s="6">
        <f t="shared" si="1"/>
        <v>10253.17</v>
      </c>
      <c r="E15" s="6">
        <v>10253.17</v>
      </c>
      <c r="N15" s="13">
        <f>D15/D5</f>
        <v>0.00013685796081350875</v>
      </c>
    </row>
    <row r="16" spans="1:14" ht="12.75">
      <c r="A16" t="s">
        <v>17</v>
      </c>
      <c r="B16" t="s">
        <v>23</v>
      </c>
      <c r="C16" t="s">
        <v>26</v>
      </c>
      <c r="D16" s="6">
        <f t="shared" si="1"/>
        <v>177982.64</v>
      </c>
      <c r="F16" s="6">
        <v>177982.64</v>
      </c>
      <c r="N16" s="13">
        <f>D16/D5</f>
        <v>0.002375688803619255</v>
      </c>
    </row>
    <row r="17" spans="1:14" ht="12.75">
      <c r="A17" t="s">
        <v>19</v>
      </c>
      <c r="B17" t="s">
        <v>49</v>
      </c>
      <c r="C17" t="s">
        <v>56</v>
      </c>
      <c r="D17" s="6">
        <f t="shared" si="1"/>
        <v>4429360.46</v>
      </c>
      <c r="G17" s="6">
        <v>4429360.46</v>
      </c>
      <c r="N17" s="13">
        <f>D17/D5</f>
        <v>0.0591225192075802</v>
      </c>
    </row>
    <row r="18" spans="1:14" ht="12.75">
      <c r="A18" t="s">
        <v>19</v>
      </c>
      <c r="B18" s="33" t="s">
        <v>23</v>
      </c>
      <c r="C18" t="s">
        <v>24</v>
      </c>
      <c r="D18" s="6">
        <f t="shared" si="1"/>
        <v>3858691.39</v>
      </c>
      <c r="G18" s="6">
        <v>3858691.39</v>
      </c>
      <c r="N18" s="13">
        <f>D18/D5</f>
        <v>0.051505303729875114</v>
      </c>
    </row>
    <row r="19" spans="1:14" ht="12.75">
      <c r="A19" t="s">
        <v>19</v>
      </c>
      <c r="B19" s="21" t="s">
        <v>58</v>
      </c>
      <c r="C19" t="s">
        <v>57</v>
      </c>
      <c r="D19" s="6">
        <f t="shared" si="1"/>
        <v>1352533.65</v>
      </c>
      <c r="G19" s="6">
        <f>1227277.38+125256.27</f>
        <v>1352533.65</v>
      </c>
      <c r="N19" s="13">
        <f>D19/D5</f>
        <v>0.01805344076716293</v>
      </c>
    </row>
    <row r="20" spans="1:14" ht="12.75">
      <c r="A20" t="s">
        <v>6</v>
      </c>
      <c r="B20" s="21" t="s">
        <v>60</v>
      </c>
      <c r="C20" t="s">
        <v>59</v>
      </c>
      <c r="D20" s="6">
        <f t="shared" si="1"/>
        <v>10608749</v>
      </c>
      <c r="H20" s="6">
        <f>2616418.98+7992330.02</f>
        <v>10608749</v>
      </c>
      <c r="N20" s="13">
        <f>D20/D5</f>
        <v>0.14160418240625583</v>
      </c>
    </row>
    <row r="21" spans="1:14" ht="12.75">
      <c r="A21" t="s">
        <v>6</v>
      </c>
      <c r="B21" s="33" t="s">
        <v>28</v>
      </c>
      <c r="C21" t="s">
        <v>30</v>
      </c>
      <c r="D21" s="6">
        <f t="shared" si="1"/>
        <v>4026219</v>
      </c>
      <c r="H21" s="6">
        <f>4026219</f>
        <v>4026219</v>
      </c>
      <c r="N21" s="13">
        <f>D21/D5</f>
        <v>0.05374144017202528</v>
      </c>
    </row>
    <row r="22" spans="1:14" ht="12.75">
      <c r="A22" t="s">
        <v>6</v>
      </c>
      <c r="B22" t="s">
        <v>23</v>
      </c>
      <c r="C22" t="s">
        <v>61</v>
      </c>
      <c r="D22" s="6">
        <f t="shared" si="1"/>
        <v>4611989</v>
      </c>
      <c r="H22" s="6">
        <f>4611989</f>
        <v>4611989</v>
      </c>
      <c r="N22" s="13">
        <f>D22/D5</f>
        <v>0.061560220871626374</v>
      </c>
    </row>
    <row r="23" spans="1:14" ht="12.75">
      <c r="A23" t="s">
        <v>48</v>
      </c>
      <c r="B23" t="s">
        <v>49</v>
      </c>
      <c r="C23" t="s">
        <v>62</v>
      </c>
      <c r="D23" s="6">
        <f t="shared" si="1"/>
        <v>522309.72</v>
      </c>
      <c r="I23" s="6">
        <v>522309.72</v>
      </c>
      <c r="N23" s="13">
        <f>D23/D5</f>
        <v>0.006971721252283413</v>
      </c>
    </row>
    <row r="24" spans="1:14" ht="12.75">
      <c r="A24" t="s">
        <v>7</v>
      </c>
      <c r="B24" t="s">
        <v>28</v>
      </c>
      <c r="C24" t="s">
        <v>31</v>
      </c>
      <c r="D24" s="6">
        <f t="shared" si="1"/>
        <v>15067.93</v>
      </c>
      <c r="J24" s="6">
        <f>15067.93</f>
        <v>15067.93</v>
      </c>
      <c r="N24" s="13">
        <f>D24/D5</f>
        <v>0.00020112474224856245</v>
      </c>
    </row>
    <row r="25" spans="1:14" ht="12.75">
      <c r="A25" t="s">
        <v>20</v>
      </c>
      <c r="B25" t="s">
        <v>64</v>
      </c>
      <c r="C25" t="s">
        <v>24</v>
      </c>
      <c r="D25" s="6">
        <f t="shared" si="1"/>
        <v>3528509.5</v>
      </c>
      <c r="K25" s="6">
        <f>3528509.5</f>
        <v>3528509.5</v>
      </c>
      <c r="N25" s="13">
        <f>D25/D5</f>
        <v>0.047098079411644726</v>
      </c>
    </row>
    <row r="26" spans="1:14" ht="12.75">
      <c r="A26" t="s">
        <v>8</v>
      </c>
      <c r="B26" s="21" t="s">
        <v>65</v>
      </c>
      <c r="C26" t="s">
        <v>63</v>
      </c>
      <c r="D26" s="6">
        <f t="shared" si="1"/>
        <v>215215.87</v>
      </c>
      <c r="L26" s="6">
        <f>79402.9+135812.97</f>
        <v>215215.87</v>
      </c>
      <c r="N26" s="13">
        <f>D26/D5</f>
        <v>0.002872673046765556</v>
      </c>
    </row>
    <row r="27" spans="1:14" ht="12.75">
      <c r="A27" t="s">
        <v>18</v>
      </c>
      <c r="B27" s="21" t="s">
        <v>52</v>
      </c>
      <c r="C27" t="s">
        <v>29</v>
      </c>
      <c r="D27" s="6">
        <f t="shared" si="1"/>
        <v>455161.53</v>
      </c>
      <c r="M27" s="6">
        <f>261068.04+194093.49</f>
        <v>455161.53</v>
      </c>
      <c r="N27" s="13">
        <f>D27/D5</f>
        <v>0.006075436068704283</v>
      </c>
    </row>
    <row r="28" spans="1:14" ht="12.75">
      <c r="A28" t="s">
        <v>18</v>
      </c>
      <c r="B28" s="33" t="s">
        <v>49</v>
      </c>
      <c r="C28" t="s">
        <v>66</v>
      </c>
      <c r="D28" s="6">
        <f t="shared" si="1"/>
        <v>196170.17</v>
      </c>
      <c r="M28" s="6">
        <f>196170.17</f>
        <v>196170.17</v>
      </c>
      <c r="N28" s="13">
        <f>D28/D5</f>
        <v>0.0026184535552067657</v>
      </c>
    </row>
    <row r="29" spans="1:14" ht="12.75">
      <c r="A29" t="s">
        <v>18</v>
      </c>
      <c r="B29" s="21" t="s">
        <v>60</v>
      </c>
      <c r="C29" t="s">
        <v>25</v>
      </c>
      <c r="D29" s="6">
        <f t="shared" si="1"/>
        <v>3651675.4899999998</v>
      </c>
      <c r="M29" s="6">
        <f>3036580.3+615095.19</f>
        <v>3651675.4899999998</v>
      </c>
      <c r="N29" s="13">
        <f>D29/D5</f>
        <v>0.04874208280113081</v>
      </c>
    </row>
    <row r="30" spans="4:14" ht="12.7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0"/>
    </row>
    <row r="31" spans="3:14" s="13" customFormat="1" ht="13.5" thickBot="1">
      <c r="C31" s="14"/>
      <c r="D31" s="15">
        <f>SUM(E31:M31)</f>
        <v>0.9999999999999999</v>
      </c>
      <c r="E31" s="15">
        <f>E5/D5</f>
        <v>0.494637387206053</v>
      </c>
      <c r="F31" s="15">
        <f>F5/D5</f>
        <v>0.0032454908825281957</v>
      </c>
      <c r="G31" s="15">
        <f>G5/D5</f>
        <v>0.12868126370461824</v>
      </c>
      <c r="H31" s="15">
        <f>H5/D5</f>
        <v>0.25690584344990747</v>
      </c>
      <c r="I31" s="15">
        <f>I5/D5</f>
        <v>0.006971721252283413</v>
      </c>
      <c r="J31" s="15">
        <f>J5/D5</f>
        <v>0.002151568621157539</v>
      </c>
      <c r="K31" s="15">
        <f>K5/D5</f>
        <v>0.047098079411644726</v>
      </c>
      <c r="L31" s="15">
        <f>L5/D5</f>
        <v>0.002872673046765556</v>
      </c>
      <c r="M31" s="15">
        <f>M5/D5</f>
        <v>0.05743597242504185</v>
      </c>
      <c r="N31" s="15">
        <f>SUM(N7:N30)</f>
        <v>0.9999999709422712</v>
      </c>
    </row>
    <row r="32" spans="1:14" s="13" customFormat="1" ht="13.5" thickTop="1">
      <c r="A32" s="39"/>
      <c r="C32" s="14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s="13" customFormat="1" ht="12.75">
      <c r="A33" s="39"/>
      <c r="C33" s="14"/>
      <c r="D33" s="32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ht="12.75">
      <c r="A34" s="65"/>
    </row>
    <row r="35" spans="1:14" s="57" customFormat="1" ht="12.75">
      <c r="A35" s="39"/>
      <c r="B35" s="7"/>
      <c r="C35" s="7"/>
      <c r="D35" s="19"/>
      <c r="E35" s="32"/>
      <c r="F35" s="32"/>
      <c r="G35" s="39"/>
      <c r="H35" s="8"/>
      <c r="I35" s="8"/>
      <c r="J35" s="8"/>
      <c r="K35" s="8"/>
      <c r="L35" s="8"/>
      <c r="M35" s="8"/>
      <c r="N35" s="31"/>
    </row>
    <row r="36" spans="1:14" s="57" customFormat="1" ht="12.75">
      <c r="A36" s="7"/>
      <c r="B36" s="7"/>
      <c r="C36" s="7"/>
      <c r="D36" s="19"/>
      <c r="E36" s="32"/>
      <c r="F36" s="32"/>
      <c r="G36" s="39"/>
      <c r="H36" s="8"/>
      <c r="I36" s="8"/>
      <c r="J36" s="8"/>
      <c r="K36" s="8"/>
      <c r="L36" s="8"/>
      <c r="M36" s="8"/>
      <c r="N36" s="31"/>
    </row>
    <row r="37" spans="4:7" ht="12.75">
      <c r="D37" s="13"/>
      <c r="G37" s="40"/>
    </row>
    <row r="38" spans="4:7" ht="12.75">
      <c r="D38" s="13"/>
      <c r="G38" s="40"/>
    </row>
    <row r="39" ht="12.75">
      <c r="D39" s="13"/>
    </row>
    <row r="40" ht="12.75">
      <c r="D40" s="13"/>
    </row>
    <row r="41" ht="12.75">
      <c r="D41" s="13"/>
    </row>
    <row r="42" ht="12.75">
      <c r="D42" s="13"/>
    </row>
    <row r="43" ht="12.75">
      <c r="D43" s="13"/>
    </row>
    <row r="44" ht="12.75">
      <c r="D44" s="13"/>
    </row>
    <row r="45" ht="12.75">
      <c r="D45" s="13"/>
    </row>
    <row r="46" ht="12.75">
      <c r="D46" s="13"/>
    </row>
    <row r="47" ht="12.75">
      <c r="D47" s="13"/>
    </row>
    <row r="48" spans="3:4" ht="12.75">
      <c r="C48" s="21"/>
      <c r="D48" s="13"/>
    </row>
    <row r="49" ht="12.75">
      <c r="D49" s="13"/>
    </row>
    <row r="50" ht="12.75">
      <c r="D50" s="13"/>
    </row>
    <row r="51" ht="12.75">
      <c r="D51" s="13"/>
    </row>
  </sheetData>
  <sheetProtection/>
  <printOptions/>
  <pageMargins left="0" right="0" top="1" bottom="0" header="0.5" footer="0.5"/>
  <pageSetup horizontalDpi="300" verticalDpi="300" orientation="landscape" scale="65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2019-02-18T19:05:34Z</cp:lastPrinted>
  <dcterms:created xsi:type="dcterms:W3CDTF">1998-02-23T20:58:01Z</dcterms:created>
  <dcterms:modified xsi:type="dcterms:W3CDTF">2019-02-18T19:05:40Z</dcterms:modified>
  <cp:category/>
  <cp:version/>
  <cp:contentType/>
  <cp:contentStatus/>
</cp:coreProperties>
</file>